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hidePivotFieldList="1" defaultThemeVersion="124226"/>
  <bookViews>
    <workbookView xWindow="0" yWindow="0" windowWidth="19200" windowHeight="12165" tabRatio="813"/>
  </bookViews>
  <sheets>
    <sheet name="Guide" sheetId="39" r:id="rId1"/>
    <sheet name="Snapshot" sheetId="64" r:id="rId2"/>
    <sheet name="SituationAnalysis" sheetId="40" r:id="rId3"/>
    <sheet name="Funds analysis" sheetId="55" r:id="rId4"/>
    <sheet name="Cluster indicator" sheetId="57" r:id="rId5"/>
    <sheet name="UNICEF" sheetId="65" state="hidden" r:id="rId6"/>
    <sheet name="Database" sheetId="58" r:id="rId7"/>
    <sheet name="Agency funds received" sheetId="63" r:id="rId8"/>
    <sheet name="List" sheetId="54" state="hidden" r:id="rId9"/>
  </sheets>
  <externalReferences>
    <externalReference r:id="rId10"/>
  </externalReferences>
  <definedNames>
    <definedName name="_xlnm._FilterDatabase" localSheetId="7" hidden="1">'Agency funds received'!$A$4:$AK$4</definedName>
    <definedName name="_xlnm._FilterDatabase" localSheetId="6" hidden="1">Database!$B$4:$CG$180</definedName>
    <definedName name="aa" localSheetId="4">#REF!</definedName>
    <definedName name="aa" localSheetId="5">#REF!</definedName>
    <definedName name="aa">[1]List!$B$3:$B$6</definedName>
    <definedName name="List" localSheetId="7">'Agency funds received'!$C$76:$C$79</definedName>
    <definedName name="List" localSheetId="5">#REF!</definedName>
    <definedName name="List">#REF!</definedName>
    <definedName name="_xlnm.Print_Area" localSheetId="6">Database!$B$4:$CG$4</definedName>
    <definedName name="_xlnm.Print_Area" localSheetId="1">Snapshot!$A$1:$O$39</definedName>
  </definedNames>
  <calcPr calcId="152511"/>
  <pivotCaches>
    <pivotCache cacheId="0" r:id="rId11"/>
    <pivotCache cacheId="1" r:id="rId12"/>
    <pivotCache cacheId="2" r:id="rId13"/>
  </pivotCaches>
</workbook>
</file>

<file path=xl/calcChain.xml><?xml version="1.0" encoding="utf-8"?>
<calcChain xmlns="http://schemas.openxmlformats.org/spreadsheetml/2006/main">
  <c r="M173" i="58" l="1"/>
  <c r="M174" i="58"/>
  <c r="M175" i="58"/>
  <c r="M176" i="58"/>
  <c r="M177" i="58"/>
  <c r="M178" i="58"/>
  <c r="AC173" i="58"/>
  <c r="AD173" i="58" s="1"/>
  <c r="AE173" i="58"/>
  <c r="AF173" i="58" s="1"/>
  <c r="AC174" i="58"/>
  <c r="AD174" i="58" s="1"/>
  <c r="AE174" i="58"/>
  <c r="AF174" i="58" s="1"/>
  <c r="AC175" i="58"/>
  <c r="AD175" i="58" s="1"/>
  <c r="AE175" i="58"/>
  <c r="AF175" i="58" s="1"/>
  <c r="AC176" i="58"/>
  <c r="AD176" i="58" s="1"/>
  <c r="AE176" i="58"/>
  <c r="AF176" i="58"/>
  <c r="AC177" i="58"/>
  <c r="AD177" i="58" s="1"/>
  <c r="AE177" i="58"/>
  <c r="AF177" i="58" s="1"/>
  <c r="AC178" i="58"/>
  <c r="AD178" i="58" s="1"/>
  <c r="AE178" i="58"/>
  <c r="AF178" i="58"/>
  <c r="AV172" i="58"/>
  <c r="AW172" i="58" s="1"/>
  <c r="AV173" i="58"/>
  <c r="AW173" i="58" s="1"/>
  <c r="AV174" i="58"/>
  <c r="AW174" i="58"/>
  <c r="AV175" i="58"/>
  <c r="AW175" i="58" s="1"/>
  <c r="AV176" i="58"/>
  <c r="AW176" i="58" s="1"/>
  <c r="AV177" i="58"/>
  <c r="AW177" i="58" s="1"/>
  <c r="AV178" i="58"/>
  <c r="AZ172" i="58"/>
  <c r="AZ173" i="58"/>
  <c r="AZ174" i="58"/>
  <c r="BA174" i="58" s="1"/>
  <c r="AZ175" i="58"/>
  <c r="BA175" i="58" s="1"/>
  <c r="AZ176" i="58"/>
  <c r="BA176" i="58" s="1"/>
  <c r="AZ177" i="58"/>
  <c r="AZ178" i="58"/>
  <c r="BE172" i="58"/>
  <c r="BE173" i="58"/>
  <c r="BE174" i="58"/>
  <c r="BE175" i="58"/>
  <c r="BE176" i="58"/>
  <c r="BE177" i="58"/>
  <c r="BE178" i="58"/>
  <c r="BH172" i="58"/>
  <c r="BI172" i="58" s="1"/>
  <c r="BJ172" i="58"/>
  <c r="BH173" i="58"/>
  <c r="BI173" i="58" s="1"/>
  <c r="BJ173" i="58"/>
  <c r="BH174" i="58"/>
  <c r="BI174" i="58" s="1"/>
  <c r="BJ174" i="58"/>
  <c r="BH175" i="58"/>
  <c r="BI175" i="58" s="1"/>
  <c r="BJ175" i="58"/>
  <c r="BH176" i="58"/>
  <c r="BI176" i="58"/>
  <c r="BJ176" i="58"/>
  <c r="BH177" i="58"/>
  <c r="BI177" i="58" s="1"/>
  <c r="BJ177" i="58"/>
  <c r="BH178" i="58"/>
  <c r="BI178" i="58" s="1"/>
  <c r="BJ178" i="58"/>
  <c r="BN173" i="58"/>
  <c r="BN174" i="58"/>
  <c r="BN175" i="58"/>
  <c r="BN176" i="58"/>
  <c r="BN177" i="58"/>
  <c r="BN178" i="58"/>
  <c r="BO173" i="58"/>
  <c r="BO174" i="58"/>
  <c r="BO175" i="58"/>
  <c r="BO176" i="58"/>
  <c r="BO177" i="58"/>
  <c r="BO178" i="58"/>
  <c r="BS171" i="58"/>
  <c r="BS172" i="58"/>
  <c r="BV172" i="58" s="1"/>
  <c r="BW172" i="58" s="1"/>
  <c r="BS173" i="58"/>
  <c r="BV173" i="58" s="1"/>
  <c r="BW173" i="58" s="1"/>
  <c r="BS174" i="58"/>
  <c r="BV174" i="58" s="1"/>
  <c r="BW174" i="58" s="1"/>
  <c r="BX174" i="58" s="1"/>
  <c r="BS175" i="58"/>
  <c r="BV175" i="58" s="1"/>
  <c r="BW175" i="58" s="1"/>
  <c r="BX175" i="58" s="1"/>
  <c r="BS176" i="58"/>
  <c r="BV176" i="58" s="1"/>
  <c r="BW176" i="58" s="1"/>
  <c r="BX176" i="58" s="1"/>
  <c r="BS177" i="58"/>
  <c r="BV177" i="58" s="1"/>
  <c r="BW177" i="58" s="1"/>
  <c r="BS178" i="58"/>
  <c r="BV178" i="58" s="1"/>
  <c r="BW178" i="58" s="1"/>
  <c r="BY169" i="58"/>
  <c r="BY170" i="58"/>
  <c r="BY171" i="58"/>
  <c r="BY172" i="58"/>
  <c r="BY173" i="58"/>
  <c r="BY174" i="58"/>
  <c r="BY175" i="58"/>
  <c r="BY176" i="58"/>
  <c r="BY177" i="58"/>
  <c r="BY178" i="58"/>
  <c r="CD172" i="58"/>
  <c r="CD173" i="58"/>
  <c r="CD174" i="58"/>
  <c r="CD175" i="58"/>
  <c r="CD176" i="58"/>
  <c r="CD177" i="58"/>
  <c r="CD178" i="58"/>
  <c r="CB172" i="58"/>
  <c r="CB173" i="58"/>
  <c r="CB174" i="58"/>
  <c r="CB175" i="58"/>
  <c r="CB176" i="58"/>
  <c r="CB177" i="58"/>
  <c r="CB178" i="58"/>
  <c r="BL174" i="58"/>
  <c r="BL175" i="58"/>
  <c r="BL176" i="58"/>
  <c r="BL177" i="58"/>
  <c r="BL178" i="58"/>
  <c r="BD174" i="58"/>
  <c r="BD175" i="58"/>
  <c r="BD176" i="58"/>
  <c r="BD177" i="58"/>
  <c r="BD178" i="58"/>
  <c r="AP174" i="58"/>
  <c r="AP175" i="58"/>
  <c r="AP176" i="58"/>
  <c r="AP177" i="58"/>
  <c r="AL174" i="58"/>
  <c r="AM174" i="58"/>
  <c r="AN174" i="58"/>
  <c r="AL175" i="58"/>
  <c r="AM175" i="58"/>
  <c r="AN175" i="58"/>
  <c r="AL176" i="58"/>
  <c r="AM176" i="58"/>
  <c r="AN176" i="58"/>
  <c r="AL177" i="58"/>
  <c r="AM177" i="58"/>
  <c r="AN177" i="58"/>
  <c r="AL178" i="58"/>
  <c r="AM178" i="58"/>
  <c r="AN178" i="58"/>
  <c r="T174" i="58"/>
  <c r="T175" i="58"/>
  <c r="T176" i="58"/>
  <c r="T177" i="58"/>
  <c r="T178" i="58"/>
  <c r="Q174" i="58"/>
  <c r="Q175" i="58"/>
  <c r="Q176" i="58"/>
  <c r="Q177" i="58"/>
  <c r="Q178" i="58"/>
  <c r="AI176" i="58" l="1"/>
  <c r="AI178" i="58"/>
  <c r="AI174" i="58"/>
  <c r="AI173" i="58"/>
  <c r="AG178" i="58"/>
  <c r="AH178" i="58" s="1"/>
  <c r="AI177" i="58"/>
  <c r="AG176" i="58"/>
  <c r="AH176" i="58" s="1"/>
  <c r="AI175" i="58"/>
  <c r="AG174" i="58"/>
  <c r="AH174" i="58" s="1"/>
  <c r="AJ173" i="58"/>
  <c r="AX172" i="58"/>
  <c r="AX175" i="58"/>
  <c r="AY175" i="58" s="1"/>
  <c r="AX178" i="58"/>
  <c r="AX176" i="58"/>
  <c r="AY176" i="58" s="1"/>
  <c r="AJ178" i="58"/>
  <c r="AG177" i="58"/>
  <c r="AH177" i="58" s="1"/>
  <c r="AJ176" i="58"/>
  <c r="AK176" i="58" s="1"/>
  <c r="AG175" i="58"/>
  <c r="AH175" i="58" s="1"/>
  <c r="AJ174" i="58"/>
  <c r="AK174" i="58" s="1"/>
  <c r="AG173" i="58"/>
  <c r="AH173" i="58" s="1"/>
  <c r="AJ177" i="58"/>
  <c r="AJ175" i="58"/>
  <c r="AK175" i="58" s="1"/>
  <c r="AX174" i="58"/>
  <c r="AY174" i="58" s="1"/>
  <c r="AW178" i="58"/>
  <c r="AX177" i="58"/>
  <c r="AX173" i="58"/>
  <c r="J3" i="58"/>
  <c r="L3" i="58" l="1"/>
  <c r="K3" i="58" l="1"/>
  <c r="E3" i="58"/>
  <c r="M169" i="58" l="1"/>
  <c r="M170" i="58"/>
  <c r="M171" i="58"/>
  <c r="M172" i="58"/>
  <c r="M179" i="58"/>
  <c r="M180" i="58"/>
  <c r="AC180" i="58"/>
  <c r="AE180" i="58"/>
  <c r="AF180" i="58" s="1"/>
  <c r="AL180" i="58"/>
  <c r="AM180" i="58"/>
  <c r="AN180" i="58"/>
  <c r="AJ180" i="58" l="1"/>
  <c r="AK180" i="58" s="1"/>
  <c r="AG180" i="58"/>
  <c r="AH180" i="58" s="1"/>
  <c r="AI180" i="58"/>
  <c r="AD180" i="58"/>
  <c r="AC34" i="63"/>
  <c r="AB34" i="63" s="1"/>
  <c r="AA34" i="63" s="1"/>
  <c r="V34" i="63"/>
  <c r="M34" i="63"/>
  <c r="N34" i="63" s="1"/>
  <c r="K34" i="63"/>
  <c r="K36" i="63"/>
  <c r="AC36" i="63" l="1"/>
  <c r="AB36" i="63" s="1"/>
  <c r="AA36" i="63" s="1"/>
  <c r="K7" i="63" l="1"/>
  <c r="K8" i="63"/>
  <c r="AC8" i="63"/>
  <c r="AB8" i="63" s="1"/>
  <c r="AA8" i="63" s="1"/>
  <c r="K30" i="63"/>
  <c r="AC30" i="63"/>
  <c r="AB30" i="63" s="1"/>
  <c r="AA30" i="63" s="1"/>
  <c r="K29" i="63"/>
  <c r="AC29" i="63"/>
  <c r="AB29" i="63" s="1"/>
  <c r="AA29" i="63" s="1"/>
  <c r="K60" i="63"/>
  <c r="AC60" i="63"/>
  <c r="AB60" i="63" s="1"/>
  <c r="AA60" i="63" s="1"/>
  <c r="K37" i="63"/>
  <c r="N37" i="63"/>
  <c r="C36" i="57" l="1"/>
  <c r="C35" i="57"/>
  <c r="C28" i="57"/>
  <c r="C27" i="57"/>
  <c r="C20" i="57"/>
  <c r="C19" i="57"/>
  <c r="D8" i="57"/>
  <c r="D36" i="57" s="1"/>
  <c r="D7" i="57"/>
  <c r="D35" i="57" s="1"/>
  <c r="D9" i="57"/>
  <c r="D37" i="57" s="1"/>
  <c r="C34" i="65"/>
  <c r="D38" i="65"/>
  <c r="C26" i="65"/>
  <c r="C18" i="65"/>
  <c r="D11" i="65"/>
  <c r="F11" i="65" s="1"/>
  <c r="F10" i="65"/>
  <c r="E38" i="57"/>
  <c r="E22" i="57"/>
  <c r="E30" i="57"/>
  <c r="D38" i="57"/>
  <c r="C38" i="57"/>
  <c r="C37" i="57"/>
  <c r="D30" i="57"/>
  <c r="C30" i="57"/>
  <c r="C29" i="57"/>
  <c r="C34" i="57" l="1"/>
  <c r="D34" i="57"/>
  <c r="D68" i="57" s="1"/>
  <c r="C26" i="57"/>
  <c r="E34" i="57" l="1"/>
  <c r="C68" i="57" s="1"/>
  <c r="C21" i="57" l="1"/>
  <c r="D22" i="57"/>
  <c r="C22" i="57"/>
  <c r="C18" i="57" l="1"/>
  <c r="D9" i="65"/>
  <c r="F9" i="65" s="1"/>
  <c r="D37" i="65" s="1"/>
  <c r="D7" i="65"/>
  <c r="F7" i="65" s="1"/>
  <c r="D35" i="65" s="1"/>
  <c r="D8" i="65"/>
  <c r="F8" i="65" s="1"/>
  <c r="D36" i="65" s="1"/>
  <c r="D34" i="65" l="1"/>
  <c r="E34" i="65" s="1"/>
  <c r="D12" i="65"/>
  <c r="E12" i="65"/>
  <c r="E11" i="57"/>
  <c r="E9" i="57"/>
  <c r="E8" i="57"/>
  <c r="E7" i="57"/>
  <c r="F12" i="65" l="1"/>
  <c r="G12" i="65" s="1"/>
  <c r="K65" i="63"/>
  <c r="K43" i="63" l="1"/>
  <c r="AC40" i="63"/>
  <c r="AB40" i="63" s="1"/>
  <c r="AA40" i="63" s="1"/>
  <c r="N40" i="63"/>
  <c r="AC65" i="63"/>
  <c r="AB65" i="63" s="1"/>
  <c r="AA65" i="63" s="1"/>
  <c r="CD180" i="58" l="1"/>
  <c r="CB180" i="58"/>
  <c r="BY180" i="58"/>
  <c r="BS179" i="58"/>
  <c r="BS180" i="58"/>
  <c r="BV180" i="58" s="1"/>
  <c r="BW180" i="58" s="1"/>
  <c r="BX180" i="58" s="1"/>
  <c r="BN180" i="58"/>
  <c r="BO180" i="58"/>
  <c r="BL180" i="58"/>
  <c r="BH180" i="58"/>
  <c r="BI180" i="58" s="1"/>
  <c r="BJ180" i="58"/>
  <c r="BD180" i="58"/>
  <c r="BE180" i="58"/>
  <c r="AV180" i="58"/>
  <c r="AW180" i="58" s="1"/>
  <c r="AZ180" i="58"/>
  <c r="BA180" i="58" s="1"/>
  <c r="AP6" i="58"/>
  <c r="AP7" i="58"/>
  <c r="AP8" i="58"/>
  <c r="AP9" i="58"/>
  <c r="AP10" i="58"/>
  <c r="AP11" i="58"/>
  <c r="AP12" i="58"/>
  <c r="AP13" i="58"/>
  <c r="AP14" i="58"/>
  <c r="AP15" i="58"/>
  <c r="AP16" i="58"/>
  <c r="AP17" i="58"/>
  <c r="AP18" i="58"/>
  <c r="AP19" i="58"/>
  <c r="AP20" i="58"/>
  <c r="AP21" i="58"/>
  <c r="AP22" i="58"/>
  <c r="AP23" i="58"/>
  <c r="AP24" i="58"/>
  <c r="AP25" i="58"/>
  <c r="AP26" i="58"/>
  <c r="AP27" i="58"/>
  <c r="AP28" i="58"/>
  <c r="AP29" i="58"/>
  <c r="AP30" i="58"/>
  <c r="AP31" i="58"/>
  <c r="AP32" i="58"/>
  <c r="AP33" i="58"/>
  <c r="AP34" i="58"/>
  <c r="AP35" i="58"/>
  <c r="AP36" i="58"/>
  <c r="AP37" i="58"/>
  <c r="AP38" i="58"/>
  <c r="AP39" i="58"/>
  <c r="AP40" i="58"/>
  <c r="AP41" i="58"/>
  <c r="AP42" i="58"/>
  <c r="AP43" i="58"/>
  <c r="AP44" i="58"/>
  <c r="AP45" i="58"/>
  <c r="AP46" i="58"/>
  <c r="AP47" i="58"/>
  <c r="AP48" i="58"/>
  <c r="AP49" i="58"/>
  <c r="AP50" i="58"/>
  <c r="AP51" i="58"/>
  <c r="AP52" i="58"/>
  <c r="AP53" i="58"/>
  <c r="AP54" i="58"/>
  <c r="AP55" i="58"/>
  <c r="AP56" i="58"/>
  <c r="AP57" i="58"/>
  <c r="AP58" i="58"/>
  <c r="AP59" i="58"/>
  <c r="AP60" i="58"/>
  <c r="AP61" i="58"/>
  <c r="AP62" i="58"/>
  <c r="AP63" i="58"/>
  <c r="AP64" i="58"/>
  <c r="AP65" i="58"/>
  <c r="AP66" i="58"/>
  <c r="AP67" i="58"/>
  <c r="AP68" i="58"/>
  <c r="AP69" i="58"/>
  <c r="AP70" i="58"/>
  <c r="AP71" i="58"/>
  <c r="AP72" i="58"/>
  <c r="AP73" i="58"/>
  <c r="AP74" i="58"/>
  <c r="AP75" i="58"/>
  <c r="AP76" i="58"/>
  <c r="AP77" i="58"/>
  <c r="AP78" i="58"/>
  <c r="AP79" i="58"/>
  <c r="AP80" i="58"/>
  <c r="AP81" i="58"/>
  <c r="AP82" i="58"/>
  <c r="AP83" i="58"/>
  <c r="AP84" i="58"/>
  <c r="AP85" i="58"/>
  <c r="AP86" i="58"/>
  <c r="AP87" i="58"/>
  <c r="AP88" i="58"/>
  <c r="AP89" i="58"/>
  <c r="AP90" i="58"/>
  <c r="AP91" i="58"/>
  <c r="AP92" i="58"/>
  <c r="AP93" i="58"/>
  <c r="AP94" i="58"/>
  <c r="AP95" i="58"/>
  <c r="AP96" i="58"/>
  <c r="AP97" i="58"/>
  <c r="AP98" i="58"/>
  <c r="AP99" i="58"/>
  <c r="AP100" i="58"/>
  <c r="AP101" i="58"/>
  <c r="AP102" i="58"/>
  <c r="AP103" i="58"/>
  <c r="AP104" i="58"/>
  <c r="AP105" i="58"/>
  <c r="AP106" i="58"/>
  <c r="AP107" i="58"/>
  <c r="AP108" i="58"/>
  <c r="AP109" i="58"/>
  <c r="AP110" i="58"/>
  <c r="AP111" i="58"/>
  <c r="AP112" i="58"/>
  <c r="AP113" i="58"/>
  <c r="AP114" i="58"/>
  <c r="AP115" i="58"/>
  <c r="AP116" i="58"/>
  <c r="AP117" i="58"/>
  <c r="AP118" i="58"/>
  <c r="AP119" i="58"/>
  <c r="AP120" i="58"/>
  <c r="AP121" i="58"/>
  <c r="AP122" i="58"/>
  <c r="AP123" i="58"/>
  <c r="AP124" i="58"/>
  <c r="AP125" i="58"/>
  <c r="AP126" i="58"/>
  <c r="AP127" i="58"/>
  <c r="AP128" i="58"/>
  <c r="AP129" i="58"/>
  <c r="AP130" i="58"/>
  <c r="AP131" i="58"/>
  <c r="AP132" i="58"/>
  <c r="AP133" i="58"/>
  <c r="AP134" i="58"/>
  <c r="AP135" i="58"/>
  <c r="AP136" i="58"/>
  <c r="AP137" i="58"/>
  <c r="AP138" i="58"/>
  <c r="AP139" i="58"/>
  <c r="AP140" i="58"/>
  <c r="AP141" i="58"/>
  <c r="AP142" i="58"/>
  <c r="AP143" i="58"/>
  <c r="AP144" i="58"/>
  <c r="AP145" i="58"/>
  <c r="AP146" i="58"/>
  <c r="AP147" i="58"/>
  <c r="AP148" i="58"/>
  <c r="AP149" i="58"/>
  <c r="AP150" i="58"/>
  <c r="AP151" i="58"/>
  <c r="AP152" i="58"/>
  <c r="AP153" i="58"/>
  <c r="AP154" i="58"/>
  <c r="AP155" i="58"/>
  <c r="AP156" i="58"/>
  <c r="AP157" i="58"/>
  <c r="AP158" i="58"/>
  <c r="AP159" i="58"/>
  <c r="AP160" i="58"/>
  <c r="AP161" i="58"/>
  <c r="AP162" i="58"/>
  <c r="AP163" i="58"/>
  <c r="AP164" i="58"/>
  <c r="AP165" i="58"/>
  <c r="AP166" i="58"/>
  <c r="AP167" i="58"/>
  <c r="AP168" i="58"/>
  <c r="AP169" i="58"/>
  <c r="AP170" i="58"/>
  <c r="AP171" i="58"/>
  <c r="AP172" i="58"/>
  <c r="AP173" i="58"/>
  <c r="AP178" i="58"/>
  <c r="AP179" i="58"/>
  <c r="AP180" i="58"/>
  <c r="T180" i="58"/>
  <c r="Q180" i="58"/>
  <c r="AX180" i="58" l="1"/>
  <c r="AY180" i="58" s="1"/>
  <c r="AC44" i="63" l="1"/>
  <c r="AB44" i="63" s="1"/>
  <c r="AA44" i="63" s="1"/>
  <c r="K44" i="63"/>
  <c r="AC43" i="63"/>
  <c r="AB43" i="63" s="1"/>
  <c r="AA43" i="63" s="1"/>
  <c r="K57" i="63" l="1"/>
  <c r="K58" i="63"/>
  <c r="K59" i="63"/>
  <c r="K45" i="63"/>
  <c r="N58" i="63" l="1"/>
  <c r="AC57" i="63"/>
  <c r="AB57" i="63" s="1"/>
  <c r="AA57" i="63" s="1"/>
  <c r="AC58" i="63"/>
  <c r="AB58" i="63" s="1"/>
  <c r="AA58" i="63" s="1"/>
  <c r="Q173" i="58" l="1"/>
  <c r="Q172" i="58"/>
  <c r="Q171" i="58"/>
  <c r="Q179" i="58"/>
  <c r="Q170" i="58"/>
  <c r="Q169" i="58"/>
  <c r="Q168" i="58"/>
  <c r="Q167" i="58"/>
  <c r="Q166" i="58"/>
  <c r="Q165" i="58"/>
  <c r="Q164" i="58"/>
  <c r="Q163" i="58"/>
  <c r="Q162" i="58"/>
  <c r="Q161" i="58"/>
  <c r="Q160" i="58"/>
  <c r="Q159" i="58"/>
  <c r="Q158" i="58"/>
  <c r="Q157" i="58"/>
  <c r="Q156" i="58"/>
  <c r="Q155" i="58"/>
  <c r="Q154" i="58"/>
  <c r="Q153" i="58"/>
  <c r="Q152" i="58"/>
  <c r="Q151" i="58"/>
  <c r="Q150" i="58"/>
  <c r="Q149" i="58"/>
  <c r="Q148" i="58"/>
  <c r="Q147" i="58"/>
  <c r="Q146" i="58"/>
  <c r="Q145" i="58"/>
  <c r="Q144" i="58"/>
  <c r="Q143" i="58"/>
  <c r="Q142" i="58"/>
  <c r="Q141" i="58"/>
  <c r="Q140" i="58"/>
  <c r="Q139" i="58"/>
  <c r="Q138" i="58"/>
  <c r="Q137" i="58"/>
  <c r="Q136" i="58"/>
  <c r="Q135" i="58"/>
  <c r="Q134" i="58"/>
  <c r="Q133" i="58"/>
  <c r="Q132" i="58"/>
  <c r="Q131" i="58"/>
  <c r="Q130" i="58"/>
  <c r="Q129" i="58"/>
  <c r="Q128" i="58"/>
  <c r="Q127" i="58"/>
  <c r="Q126" i="58"/>
  <c r="Q125" i="58"/>
  <c r="Q124" i="58"/>
  <c r="Q123" i="58"/>
  <c r="Q122" i="58"/>
  <c r="Q121" i="58"/>
  <c r="Q120" i="58"/>
  <c r="Q119" i="58"/>
  <c r="Q118" i="58"/>
  <c r="Q117" i="58"/>
  <c r="Q116" i="58"/>
  <c r="Q115" i="58"/>
  <c r="Q114" i="58"/>
  <c r="Q113" i="58"/>
  <c r="Q112" i="58"/>
  <c r="Q111" i="58"/>
  <c r="Q110" i="58"/>
  <c r="Q109" i="58"/>
  <c r="Q108" i="58"/>
  <c r="Q107" i="58"/>
  <c r="Q106" i="58"/>
  <c r="Q105" i="58"/>
  <c r="Q104" i="58"/>
  <c r="Q103" i="58"/>
  <c r="Q102" i="58"/>
  <c r="Q101" i="58"/>
  <c r="Q100" i="58"/>
  <c r="Q99" i="58"/>
  <c r="Q98" i="58"/>
  <c r="Q97" i="58"/>
  <c r="Q96" i="58"/>
  <c r="Q95" i="58"/>
  <c r="Q94" i="58"/>
  <c r="Q93" i="58"/>
  <c r="Q92" i="58"/>
  <c r="Q91" i="58"/>
  <c r="Q90" i="58"/>
  <c r="Q89" i="58"/>
  <c r="Q88" i="58"/>
  <c r="Q87" i="58"/>
  <c r="Q86" i="58"/>
  <c r="Q85" i="58"/>
  <c r="Q84" i="58"/>
  <c r="Q83" i="58"/>
  <c r="Q82" i="58"/>
  <c r="Q81" i="58"/>
  <c r="Q80" i="58"/>
  <c r="Q79" i="58"/>
  <c r="Q78" i="58"/>
  <c r="Q77" i="58"/>
  <c r="Q76" i="58"/>
  <c r="Q75" i="58"/>
  <c r="Q74" i="58"/>
  <c r="Q73" i="58"/>
  <c r="Q72" i="58"/>
  <c r="Q71" i="58"/>
  <c r="Q70" i="58"/>
  <c r="Q69" i="58"/>
  <c r="Q68" i="58"/>
  <c r="Q67" i="58"/>
  <c r="Q66" i="58"/>
  <c r="Q65" i="58"/>
  <c r="Q64" i="58"/>
  <c r="Q63" i="58"/>
  <c r="Q62" i="58"/>
  <c r="Q61" i="58"/>
  <c r="Q60" i="58"/>
  <c r="Q59" i="58"/>
  <c r="Q58" i="58"/>
  <c r="Q57" i="58"/>
  <c r="Q56" i="58"/>
  <c r="Q55" i="58"/>
  <c r="Q54" i="58"/>
  <c r="Q53" i="58"/>
  <c r="Q52" i="58"/>
  <c r="Q51" i="58"/>
  <c r="Q50" i="58"/>
  <c r="Q49" i="58"/>
  <c r="Q48" i="58"/>
  <c r="Q47" i="58"/>
  <c r="Q46" i="58"/>
  <c r="Q45" i="58"/>
  <c r="Q44" i="58"/>
  <c r="Q43" i="58"/>
  <c r="Q42" i="58"/>
  <c r="Q41" i="58"/>
  <c r="Q40" i="58"/>
  <c r="Q39" i="58"/>
  <c r="Q38" i="58"/>
  <c r="Q37" i="58"/>
  <c r="Q36" i="58"/>
  <c r="Q35" i="58"/>
  <c r="Q34" i="58"/>
  <c r="Q33" i="58"/>
  <c r="Q32" i="58"/>
  <c r="Q31" i="58"/>
  <c r="Q30" i="58"/>
  <c r="Q29" i="58"/>
  <c r="Q28" i="58"/>
  <c r="Q27" i="58"/>
  <c r="Q26" i="58"/>
  <c r="Q25" i="58"/>
  <c r="Q24" i="58"/>
  <c r="Q23" i="58"/>
  <c r="Q22" i="58"/>
  <c r="Q21" i="58"/>
  <c r="Q20" i="58"/>
  <c r="Q19" i="58"/>
  <c r="Q18" i="58"/>
  <c r="Q17" i="58"/>
  <c r="Q16" i="58"/>
  <c r="Q15" i="58"/>
  <c r="Q14" i="58"/>
  <c r="Q13" i="58"/>
  <c r="Q12" i="58"/>
  <c r="Q11" i="58"/>
  <c r="Q10" i="58"/>
  <c r="Q9" i="58"/>
  <c r="Q8" i="58"/>
  <c r="Q7" i="58"/>
  <c r="Q6" i="58"/>
  <c r="Q5" i="58"/>
  <c r="BA177" i="58"/>
  <c r="BX177" i="58"/>
  <c r="AY177" i="58" l="1"/>
  <c r="AK177" i="58"/>
  <c r="CD171" i="58" l="1"/>
  <c r="CB171" i="58"/>
  <c r="BV171" i="58"/>
  <c r="BW171" i="58" s="1"/>
  <c r="BX171" i="58" s="1"/>
  <c r="BX172" i="58"/>
  <c r="BX173" i="58"/>
  <c r="BN171" i="58"/>
  <c r="BO171" i="58"/>
  <c r="BN172" i="58"/>
  <c r="BO172" i="58"/>
  <c r="BL171" i="58"/>
  <c r="BL172" i="58"/>
  <c r="BL173" i="58"/>
  <c r="BH171" i="58"/>
  <c r="BI171" i="58" s="1"/>
  <c r="BJ171" i="58"/>
  <c r="BD171" i="58"/>
  <c r="BE171" i="58"/>
  <c r="BD172" i="58"/>
  <c r="BD173" i="58"/>
  <c r="AV171" i="58"/>
  <c r="AW171" i="58" s="1"/>
  <c r="AZ171" i="58"/>
  <c r="BA171" i="58" s="1"/>
  <c r="BA172" i="58"/>
  <c r="BA173" i="58"/>
  <c r="AC171" i="58"/>
  <c r="AD171" i="58" s="1"/>
  <c r="AE171" i="58"/>
  <c r="AF171" i="58" s="1"/>
  <c r="AL171" i="58"/>
  <c r="AM171" i="58"/>
  <c r="AN171" i="58"/>
  <c r="AC172" i="58"/>
  <c r="AD172" i="58" s="1"/>
  <c r="AE172" i="58"/>
  <c r="AF172" i="58" s="1"/>
  <c r="AL172" i="58"/>
  <c r="AM172" i="58"/>
  <c r="AN172" i="58"/>
  <c r="AL173" i="58"/>
  <c r="AM173" i="58"/>
  <c r="AN173" i="58"/>
  <c r="T171" i="58"/>
  <c r="T172" i="58"/>
  <c r="T173" i="58"/>
  <c r="AX171" i="58" l="1"/>
  <c r="AY171" i="58" s="1"/>
  <c r="AG172" i="58"/>
  <c r="AH172" i="58" s="1"/>
  <c r="AY173" i="58"/>
  <c r="AG171" i="58"/>
  <c r="AH171" i="58" s="1"/>
  <c r="AY172" i="58"/>
  <c r="AK173" i="58"/>
  <c r="AJ172" i="58"/>
  <c r="AK172" i="58" s="1"/>
  <c r="AJ171" i="58"/>
  <c r="AK171" i="58" s="1"/>
  <c r="AI172" i="58"/>
  <c r="AI171" i="58"/>
  <c r="AP5" i="58" l="1"/>
  <c r="AC5" i="58"/>
  <c r="AI5" i="58" s="1"/>
  <c r="AE5" i="58"/>
  <c r="AF5" i="58" s="1"/>
  <c r="AL5" i="58"/>
  <c r="AM5" i="58"/>
  <c r="AN5" i="58"/>
  <c r="AC6" i="58"/>
  <c r="AE6" i="58"/>
  <c r="AF6" i="58" s="1"/>
  <c r="AL6" i="58"/>
  <c r="AM6" i="58"/>
  <c r="AN6" i="58"/>
  <c r="AC7" i="58"/>
  <c r="AG7" i="58" s="1"/>
  <c r="AH7" i="58" s="1"/>
  <c r="AE7" i="58"/>
  <c r="AF7" i="58" s="1"/>
  <c r="AL7" i="58"/>
  <c r="AM7" i="58"/>
  <c r="AN7" i="58"/>
  <c r="AC8" i="58"/>
  <c r="AE8" i="58"/>
  <c r="AF8" i="58" s="1"/>
  <c r="AL8" i="58"/>
  <c r="AM8" i="58"/>
  <c r="AN8" i="58"/>
  <c r="AC9" i="58"/>
  <c r="AI9" i="58" s="1"/>
  <c r="AE9" i="58"/>
  <c r="AF9" i="58" s="1"/>
  <c r="AL9" i="58"/>
  <c r="AM9" i="58"/>
  <c r="AN9" i="58"/>
  <c r="AC10" i="58"/>
  <c r="AE10" i="58"/>
  <c r="AF10" i="58" s="1"/>
  <c r="AL10" i="58"/>
  <c r="AM10" i="58"/>
  <c r="AN10" i="58"/>
  <c r="AC11" i="58"/>
  <c r="AG11" i="58" s="1"/>
  <c r="AH11" i="58" s="1"/>
  <c r="AE11" i="58"/>
  <c r="AF11" i="58" s="1"/>
  <c r="AL11" i="58"/>
  <c r="AM11" i="58"/>
  <c r="AN11" i="58"/>
  <c r="AC12" i="58"/>
  <c r="AE12" i="58"/>
  <c r="AF12" i="58" s="1"/>
  <c r="AL12" i="58"/>
  <c r="AM12" i="58"/>
  <c r="AN12" i="58"/>
  <c r="AC13" i="58"/>
  <c r="AI13" i="58" s="1"/>
  <c r="AE13" i="58"/>
  <c r="AF13" i="58" s="1"/>
  <c r="AL13" i="58"/>
  <c r="AM13" i="58"/>
  <c r="AN13" i="58"/>
  <c r="AC14" i="58"/>
  <c r="AE14" i="58"/>
  <c r="AF14" i="58" s="1"/>
  <c r="AL14" i="58"/>
  <c r="AM14" i="58"/>
  <c r="AN14" i="58"/>
  <c r="AC15" i="58"/>
  <c r="AG15" i="58" s="1"/>
  <c r="AH15" i="58" s="1"/>
  <c r="AE15" i="58"/>
  <c r="AF15" i="58" s="1"/>
  <c r="AL15" i="58"/>
  <c r="AM15" i="58"/>
  <c r="AN15" i="58"/>
  <c r="AC16" i="58"/>
  <c r="AE16" i="58"/>
  <c r="AL16" i="58"/>
  <c r="AM16" i="58"/>
  <c r="AN16" i="58"/>
  <c r="AC17" i="58"/>
  <c r="AI17" i="58" s="1"/>
  <c r="AE17" i="58"/>
  <c r="AF17" i="58" s="1"/>
  <c r="AL17" i="58"/>
  <c r="AM17" i="58"/>
  <c r="AN17" i="58"/>
  <c r="AC18" i="58"/>
  <c r="AE18" i="58"/>
  <c r="AF18" i="58" s="1"/>
  <c r="AL18" i="58"/>
  <c r="AM18" i="58"/>
  <c r="AN18" i="58"/>
  <c r="AC19" i="58"/>
  <c r="AE19" i="58"/>
  <c r="AF19" i="58" s="1"/>
  <c r="AL19" i="58"/>
  <c r="AM19" i="58"/>
  <c r="AN19" i="58"/>
  <c r="AC20" i="58"/>
  <c r="AE20" i="58"/>
  <c r="AF20" i="58" s="1"/>
  <c r="AL20" i="58"/>
  <c r="AM20" i="58"/>
  <c r="AN20" i="58"/>
  <c r="AC21" i="58"/>
  <c r="AI21" i="58" s="1"/>
  <c r="AE21" i="58"/>
  <c r="AF21" i="58" s="1"/>
  <c r="AL21" i="58"/>
  <c r="AM21" i="58"/>
  <c r="AN21" i="58"/>
  <c r="AC22" i="58"/>
  <c r="AE22" i="58"/>
  <c r="AF22" i="58" s="1"/>
  <c r="AL22" i="58"/>
  <c r="AM22" i="58"/>
  <c r="AN22" i="58"/>
  <c r="AC23" i="58"/>
  <c r="AG23" i="58" s="1"/>
  <c r="AH23" i="58" s="1"/>
  <c r="AE23" i="58"/>
  <c r="AF23" i="58" s="1"/>
  <c r="AL23" i="58"/>
  <c r="AM23" i="58"/>
  <c r="AN23" i="58"/>
  <c r="AC24" i="58"/>
  <c r="AE24" i="58"/>
  <c r="AL24" i="58"/>
  <c r="AM24" i="58"/>
  <c r="AN24" i="58"/>
  <c r="AC25" i="58"/>
  <c r="AI25" i="58" s="1"/>
  <c r="AE25" i="58"/>
  <c r="AF25" i="58" s="1"/>
  <c r="AL25" i="58"/>
  <c r="AM25" i="58"/>
  <c r="AN25" i="58"/>
  <c r="AC26" i="58"/>
  <c r="AE26" i="58"/>
  <c r="AF26" i="58" s="1"/>
  <c r="AL26" i="58"/>
  <c r="AM26" i="58"/>
  <c r="AN26" i="58"/>
  <c r="AC27" i="58"/>
  <c r="AG27" i="58" s="1"/>
  <c r="AH27" i="58" s="1"/>
  <c r="AE27" i="58"/>
  <c r="AF27" i="58" s="1"/>
  <c r="AL27" i="58"/>
  <c r="AM27" i="58"/>
  <c r="AN27" i="58"/>
  <c r="AC28" i="58"/>
  <c r="AE28" i="58"/>
  <c r="AF28" i="58" s="1"/>
  <c r="AL28" i="58"/>
  <c r="AM28" i="58"/>
  <c r="AN28" i="58"/>
  <c r="AC29" i="58"/>
  <c r="AI29" i="58" s="1"/>
  <c r="AE29" i="58"/>
  <c r="AF29" i="58" s="1"/>
  <c r="AL29" i="58"/>
  <c r="AM29" i="58"/>
  <c r="AN29" i="58"/>
  <c r="AC30" i="58"/>
  <c r="AE30" i="58"/>
  <c r="AF30" i="58" s="1"/>
  <c r="AL30" i="58"/>
  <c r="AM30" i="58"/>
  <c r="AN30" i="58"/>
  <c r="AC31" i="58"/>
  <c r="AE31" i="58"/>
  <c r="AL31" i="58"/>
  <c r="AM31" i="58"/>
  <c r="AN31" i="58"/>
  <c r="AC32" i="58"/>
  <c r="AI32" i="58" s="1"/>
  <c r="AE32" i="58"/>
  <c r="AF32" i="58" s="1"/>
  <c r="AL32" i="58"/>
  <c r="AM32" i="58"/>
  <c r="AN32" i="58"/>
  <c r="AC33" i="58"/>
  <c r="AE33" i="58"/>
  <c r="AF33" i="58" s="1"/>
  <c r="AL33" i="58"/>
  <c r="AM33" i="58"/>
  <c r="AN33" i="58"/>
  <c r="AC34" i="58"/>
  <c r="AG34" i="58" s="1"/>
  <c r="AH34" i="58" s="1"/>
  <c r="AE34" i="58"/>
  <c r="AF34" i="58" s="1"/>
  <c r="AL34" i="58"/>
  <c r="AM34" i="58"/>
  <c r="AN34" i="58"/>
  <c r="AC35" i="58"/>
  <c r="AE35" i="58"/>
  <c r="AF35" i="58" s="1"/>
  <c r="AL35" i="58"/>
  <c r="AM35" i="58"/>
  <c r="AN35" i="58"/>
  <c r="AC36" i="58"/>
  <c r="AI36" i="58" s="1"/>
  <c r="AE36" i="58"/>
  <c r="AF36" i="58" s="1"/>
  <c r="AL36" i="58"/>
  <c r="AM36" i="58"/>
  <c r="AN36" i="58"/>
  <c r="AC37" i="58"/>
  <c r="AE37" i="58"/>
  <c r="AF37" i="58" s="1"/>
  <c r="AL37" i="58"/>
  <c r="AM37" i="58"/>
  <c r="AN37" i="58"/>
  <c r="AC38" i="58"/>
  <c r="AG38" i="58" s="1"/>
  <c r="AH38" i="58" s="1"/>
  <c r="AE38" i="58"/>
  <c r="AF38" i="58" s="1"/>
  <c r="AL38" i="58"/>
  <c r="AM38" i="58"/>
  <c r="AN38" i="58"/>
  <c r="AC39" i="58"/>
  <c r="AE39" i="58"/>
  <c r="AF39" i="58" s="1"/>
  <c r="AL39" i="58"/>
  <c r="AM39" i="58"/>
  <c r="AN39" i="58"/>
  <c r="AC40" i="58"/>
  <c r="AI40" i="58" s="1"/>
  <c r="AE40" i="58"/>
  <c r="AF40" i="58" s="1"/>
  <c r="AL40" i="58"/>
  <c r="AM40" i="58"/>
  <c r="AN40" i="58"/>
  <c r="AC41" i="58"/>
  <c r="AE41" i="58"/>
  <c r="AF41" i="58" s="1"/>
  <c r="AL41" i="58"/>
  <c r="AM41" i="58"/>
  <c r="AN41" i="58"/>
  <c r="AC42" i="58"/>
  <c r="AG42" i="58" s="1"/>
  <c r="AH42" i="58" s="1"/>
  <c r="AE42" i="58"/>
  <c r="AF42" i="58" s="1"/>
  <c r="AL42" i="58"/>
  <c r="AM42" i="58"/>
  <c r="AN42" i="58"/>
  <c r="AC43" i="58"/>
  <c r="AE43" i="58"/>
  <c r="AF43" i="58" s="1"/>
  <c r="AL43" i="58"/>
  <c r="AM43" i="58"/>
  <c r="AN43" i="58"/>
  <c r="AC44" i="58"/>
  <c r="AI44" i="58" s="1"/>
  <c r="AE44" i="58"/>
  <c r="AF44" i="58" s="1"/>
  <c r="AL44" i="58"/>
  <c r="AM44" i="58"/>
  <c r="AN44" i="58"/>
  <c r="AC45" i="58"/>
  <c r="AE45" i="58"/>
  <c r="AF45" i="58" s="1"/>
  <c r="AL45" i="58"/>
  <c r="AM45" i="58"/>
  <c r="AN45" i="58"/>
  <c r="AC46" i="58"/>
  <c r="AG46" i="58" s="1"/>
  <c r="AH46" i="58" s="1"/>
  <c r="AE46" i="58"/>
  <c r="AF46" i="58" s="1"/>
  <c r="AL46" i="58"/>
  <c r="AM46" i="58"/>
  <c r="AN46" i="58"/>
  <c r="AC47" i="58"/>
  <c r="AI47" i="58" s="1"/>
  <c r="AE47" i="58"/>
  <c r="AF47" i="58" s="1"/>
  <c r="AL47" i="58"/>
  <c r="AM47" i="58"/>
  <c r="AN47" i="58"/>
  <c r="AC48" i="58"/>
  <c r="AE48" i="58"/>
  <c r="AF48" i="58" s="1"/>
  <c r="AL48" i="58"/>
  <c r="AM48" i="58"/>
  <c r="AN48" i="58"/>
  <c r="AC49" i="58"/>
  <c r="AE49" i="58"/>
  <c r="AF49" i="58" s="1"/>
  <c r="AL49" i="58"/>
  <c r="AM49" i="58"/>
  <c r="AN49" i="58"/>
  <c r="AC50" i="58"/>
  <c r="AE50" i="58"/>
  <c r="AF50" i="58" s="1"/>
  <c r="AL50" i="58"/>
  <c r="AM50" i="58"/>
  <c r="AN50" i="58"/>
  <c r="AC51" i="58"/>
  <c r="AI51" i="58" s="1"/>
  <c r="AE51" i="58"/>
  <c r="AF51" i="58" s="1"/>
  <c r="AL51" i="58"/>
  <c r="AM51" i="58"/>
  <c r="AN51" i="58"/>
  <c r="AC52" i="58"/>
  <c r="AD52" i="58" s="1"/>
  <c r="AE52" i="58"/>
  <c r="AF52" i="58" s="1"/>
  <c r="AL52" i="58"/>
  <c r="AM52" i="58"/>
  <c r="AN52" i="58"/>
  <c r="AC53" i="58"/>
  <c r="AE53" i="58"/>
  <c r="AF53" i="58" s="1"/>
  <c r="AL53" i="58"/>
  <c r="AM53" i="58"/>
  <c r="AN53" i="58"/>
  <c r="AC54" i="58"/>
  <c r="AI54" i="58" s="1"/>
  <c r="AE54" i="58"/>
  <c r="AF54" i="58" s="1"/>
  <c r="AL54" i="58"/>
  <c r="AM54" i="58"/>
  <c r="AN54" i="58"/>
  <c r="AC55" i="58"/>
  <c r="AD55" i="58" s="1"/>
  <c r="AE55" i="58"/>
  <c r="AF55" i="58" s="1"/>
  <c r="AL55" i="58"/>
  <c r="AM55" i="58"/>
  <c r="AN55" i="58"/>
  <c r="AC56" i="58"/>
  <c r="AG56" i="58" s="1"/>
  <c r="AH56" i="58" s="1"/>
  <c r="AE56" i="58"/>
  <c r="AF56" i="58" s="1"/>
  <c r="AL56" i="58"/>
  <c r="AM56" i="58"/>
  <c r="AN56" i="58"/>
  <c r="AC57" i="58"/>
  <c r="AI57" i="58" s="1"/>
  <c r="AE57" i="58"/>
  <c r="AF57" i="58" s="1"/>
  <c r="AL57" i="58"/>
  <c r="AM57" i="58"/>
  <c r="AN57" i="58"/>
  <c r="AC58" i="58"/>
  <c r="AE58" i="58"/>
  <c r="AF58" i="58" s="1"/>
  <c r="AL58" i="58"/>
  <c r="AM58" i="58"/>
  <c r="AN58" i="58"/>
  <c r="AC59" i="58"/>
  <c r="AD59" i="58" s="1"/>
  <c r="AE59" i="58"/>
  <c r="AF59" i="58" s="1"/>
  <c r="AL59" i="58"/>
  <c r="AM59" i="58"/>
  <c r="AN59" i="58"/>
  <c r="AC60" i="58"/>
  <c r="AI60" i="58" s="1"/>
  <c r="AE60" i="58"/>
  <c r="AF60" i="58" s="1"/>
  <c r="AL60" i="58"/>
  <c r="AM60" i="58"/>
  <c r="AN60" i="58"/>
  <c r="AC61" i="58"/>
  <c r="AE61" i="58"/>
  <c r="AF61" i="58" s="1"/>
  <c r="AL61" i="58"/>
  <c r="AM61" i="58"/>
  <c r="AN61" i="58"/>
  <c r="AC62" i="58"/>
  <c r="AG62" i="58" s="1"/>
  <c r="AH62" i="58" s="1"/>
  <c r="AE62" i="58"/>
  <c r="AF62" i="58" s="1"/>
  <c r="AL62" i="58"/>
  <c r="AM62" i="58"/>
  <c r="AN62" i="58"/>
  <c r="AC63" i="58"/>
  <c r="AE63" i="58"/>
  <c r="AF63" i="58" s="1"/>
  <c r="AL63" i="58"/>
  <c r="AM63" i="58"/>
  <c r="AN63" i="58"/>
  <c r="AC64" i="58"/>
  <c r="AD64" i="58" s="1"/>
  <c r="AE64" i="58"/>
  <c r="AF64" i="58" s="1"/>
  <c r="AL64" i="58"/>
  <c r="AM64" i="58"/>
  <c r="AN64" i="58"/>
  <c r="AC65" i="58"/>
  <c r="AI65" i="58" s="1"/>
  <c r="AE65" i="58"/>
  <c r="AF65" i="58" s="1"/>
  <c r="AL65" i="58"/>
  <c r="AM65" i="58"/>
  <c r="AN65" i="58"/>
  <c r="AC66" i="58"/>
  <c r="AD66" i="58" s="1"/>
  <c r="AE66" i="58"/>
  <c r="AF66" i="58" s="1"/>
  <c r="AL66" i="58"/>
  <c r="AM66" i="58"/>
  <c r="AN66" i="58"/>
  <c r="AC67" i="58"/>
  <c r="AE67" i="58"/>
  <c r="AF67" i="58" s="1"/>
  <c r="AL67" i="58"/>
  <c r="AM67" i="58"/>
  <c r="AN67" i="58"/>
  <c r="AC68" i="58"/>
  <c r="AI68" i="58" s="1"/>
  <c r="AE68" i="58"/>
  <c r="AF68" i="58" s="1"/>
  <c r="AL68" i="58"/>
  <c r="AM68" i="58"/>
  <c r="AN68" i="58"/>
  <c r="AC69" i="58"/>
  <c r="AE69" i="58"/>
  <c r="AF69" i="58" s="1"/>
  <c r="AL69" i="58"/>
  <c r="AM69" i="58"/>
  <c r="AN69" i="58"/>
  <c r="AC70" i="58"/>
  <c r="AG70" i="58" s="1"/>
  <c r="AH70" i="58" s="1"/>
  <c r="AE70" i="58"/>
  <c r="AL70" i="58"/>
  <c r="AM70" i="58"/>
  <c r="AN70" i="58"/>
  <c r="AC71" i="58"/>
  <c r="AI71" i="58" s="1"/>
  <c r="AE71" i="58"/>
  <c r="AF71" i="58" s="1"/>
  <c r="AL71" i="58"/>
  <c r="AM71" i="58"/>
  <c r="AN71" i="58"/>
  <c r="AC72" i="58"/>
  <c r="AE72" i="58"/>
  <c r="AF72" i="58" s="1"/>
  <c r="AL72" i="58"/>
  <c r="AM72" i="58"/>
  <c r="AN72" i="58"/>
  <c r="AC73" i="58"/>
  <c r="AE73" i="58"/>
  <c r="AF73" i="58" s="1"/>
  <c r="AL73" i="58"/>
  <c r="AM73" i="58"/>
  <c r="AN73" i="58"/>
  <c r="AC74" i="58"/>
  <c r="AI74" i="58" s="1"/>
  <c r="AE74" i="58"/>
  <c r="AF74" i="58" s="1"/>
  <c r="AL74" i="58"/>
  <c r="AM74" i="58"/>
  <c r="AN74" i="58"/>
  <c r="AC75" i="58"/>
  <c r="AE75" i="58"/>
  <c r="AF75" i="58" s="1"/>
  <c r="AL75" i="58"/>
  <c r="AM75" i="58"/>
  <c r="AN75" i="58"/>
  <c r="AC76" i="58"/>
  <c r="AI76" i="58" s="1"/>
  <c r="AE76" i="58"/>
  <c r="AF76" i="58" s="1"/>
  <c r="AL76" i="58"/>
  <c r="AM76" i="58"/>
  <c r="AN76" i="58"/>
  <c r="AC77" i="58"/>
  <c r="AG77" i="58" s="1"/>
  <c r="AH77" i="58" s="1"/>
  <c r="AE77" i="58"/>
  <c r="AF77" i="58" s="1"/>
  <c r="AL77" i="58"/>
  <c r="AM77" i="58"/>
  <c r="AN77" i="58"/>
  <c r="AC78" i="58"/>
  <c r="AG78" i="58" s="1"/>
  <c r="AH78" i="58" s="1"/>
  <c r="AE78" i="58"/>
  <c r="AF78" i="58" s="1"/>
  <c r="AL78" i="58"/>
  <c r="AM78" i="58"/>
  <c r="AN78" i="58"/>
  <c r="AC79" i="58"/>
  <c r="AI79" i="58" s="1"/>
  <c r="AE79" i="58"/>
  <c r="AF79" i="58" s="1"/>
  <c r="AL79" i="58"/>
  <c r="AM79" i="58"/>
  <c r="AN79" i="58"/>
  <c r="AC80" i="58"/>
  <c r="AE80" i="58"/>
  <c r="AF80" i="58" s="1"/>
  <c r="AL80" i="58"/>
  <c r="AM80" i="58"/>
  <c r="AN80" i="58"/>
  <c r="AC81" i="58"/>
  <c r="AI81" i="58" s="1"/>
  <c r="AE81" i="58"/>
  <c r="AF81" i="58" s="1"/>
  <c r="AL81" i="58"/>
  <c r="AM81" i="58"/>
  <c r="AN81" i="58"/>
  <c r="AC82" i="58"/>
  <c r="AD82" i="58" s="1"/>
  <c r="AE82" i="58"/>
  <c r="AF82" i="58" s="1"/>
  <c r="AL82" i="58"/>
  <c r="AM82" i="58"/>
  <c r="AN82" i="58"/>
  <c r="AC83" i="58"/>
  <c r="AE83" i="58"/>
  <c r="AF83" i="58" s="1"/>
  <c r="AL83" i="58"/>
  <c r="AM83" i="58"/>
  <c r="AN83" i="58"/>
  <c r="AC84" i="58"/>
  <c r="AI84" i="58" s="1"/>
  <c r="AE84" i="58"/>
  <c r="AF84" i="58" s="1"/>
  <c r="AL84" i="58"/>
  <c r="AM84" i="58"/>
  <c r="AN84" i="58"/>
  <c r="AC85" i="58"/>
  <c r="AE85" i="58"/>
  <c r="AF85" i="58" s="1"/>
  <c r="AL85" i="58"/>
  <c r="AM85" i="58"/>
  <c r="AN85" i="58"/>
  <c r="AC86" i="58"/>
  <c r="AE86" i="58"/>
  <c r="AF86" i="58" s="1"/>
  <c r="AL86" i="58"/>
  <c r="AM86" i="58"/>
  <c r="AN86" i="58"/>
  <c r="AC87" i="58"/>
  <c r="AI87" i="58" s="1"/>
  <c r="AE87" i="58"/>
  <c r="AF87" i="58" s="1"/>
  <c r="AL87" i="58"/>
  <c r="AM87" i="58"/>
  <c r="AN87" i="58"/>
  <c r="AC88" i="58"/>
  <c r="AD88" i="58" s="1"/>
  <c r="AE88" i="58"/>
  <c r="AF88" i="58" s="1"/>
  <c r="AL88" i="58"/>
  <c r="AM88" i="58"/>
  <c r="AN88" i="58"/>
  <c r="AC89" i="58"/>
  <c r="AD89" i="58" s="1"/>
  <c r="AE89" i="58"/>
  <c r="AF89" i="58" s="1"/>
  <c r="AL89" i="58"/>
  <c r="AM89" i="58"/>
  <c r="AN89" i="58"/>
  <c r="AC90" i="58"/>
  <c r="AI90" i="58" s="1"/>
  <c r="AE90" i="58"/>
  <c r="AF90" i="58" s="1"/>
  <c r="AL90" i="58"/>
  <c r="AM90" i="58"/>
  <c r="AN90" i="58"/>
  <c r="AC91" i="58"/>
  <c r="AE91" i="58"/>
  <c r="AF91" i="58" s="1"/>
  <c r="AL91" i="58"/>
  <c r="AM91" i="58"/>
  <c r="AN91" i="58"/>
  <c r="AC92" i="58"/>
  <c r="AI92" i="58" s="1"/>
  <c r="AE92" i="58"/>
  <c r="AF92" i="58" s="1"/>
  <c r="AL92" i="58"/>
  <c r="AM92" i="58"/>
  <c r="AN92" i="58"/>
  <c r="AC93" i="58"/>
  <c r="AE93" i="58"/>
  <c r="AF93" i="58" s="1"/>
  <c r="AL93" i="58"/>
  <c r="AM93" i="58"/>
  <c r="AN93" i="58"/>
  <c r="AC94" i="58"/>
  <c r="AE94" i="58"/>
  <c r="AF94" i="58" s="1"/>
  <c r="AL94" i="58"/>
  <c r="AM94" i="58"/>
  <c r="AN94" i="58"/>
  <c r="AC95" i="58"/>
  <c r="AI95" i="58" s="1"/>
  <c r="AE95" i="58"/>
  <c r="AF95" i="58" s="1"/>
  <c r="AL95" i="58"/>
  <c r="AM95" i="58"/>
  <c r="AN95" i="58"/>
  <c r="AC96" i="58"/>
  <c r="AE96" i="58"/>
  <c r="AF96" i="58" s="1"/>
  <c r="AL96" i="58"/>
  <c r="AM96" i="58"/>
  <c r="AN96" i="58"/>
  <c r="AC97" i="58"/>
  <c r="AI97" i="58" s="1"/>
  <c r="AE97" i="58"/>
  <c r="AF97" i="58" s="1"/>
  <c r="AL97" i="58"/>
  <c r="AM97" i="58"/>
  <c r="AN97" i="58"/>
  <c r="AC98" i="58"/>
  <c r="AD98" i="58" s="1"/>
  <c r="AE98" i="58"/>
  <c r="AF98" i="58" s="1"/>
  <c r="AL98" i="58"/>
  <c r="AM98" i="58"/>
  <c r="AN98" i="58"/>
  <c r="AC99" i="58"/>
  <c r="AE99" i="58"/>
  <c r="AF99" i="58" s="1"/>
  <c r="AL99" i="58"/>
  <c r="AM99" i="58"/>
  <c r="AN99" i="58"/>
  <c r="AC100" i="58"/>
  <c r="AI100" i="58" s="1"/>
  <c r="AE100" i="58"/>
  <c r="AF100" i="58" s="1"/>
  <c r="AL100" i="58"/>
  <c r="AM100" i="58"/>
  <c r="AN100" i="58"/>
  <c r="AC101" i="58"/>
  <c r="AG101" i="58" s="1"/>
  <c r="AH101" i="58" s="1"/>
  <c r="AE101" i="58"/>
  <c r="AF101" i="58" s="1"/>
  <c r="AL101" i="58"/>
  <c r="AM101" i="58"/>
  <c r="AN101" i="58"/>
  <c r="AC102" i="58"/>
  <c r="AG102" i="58" s="1"/>
  <c r="AH102" i="58" s="1"/>
  <c r="AE102" i="58"/>
  <c r="AF102" i="58" s="1"/>
  <c r="AL102" i="58"/>
  <c r="AM102" i="58"/>
  <c r="AN102" i="58"/>
  <c r="AC103" i="58"/>
  <c r="AI103" i="58" s="1"/>
  <c r="AE103" i="58"/>
  <c r="AF103" i="58" s="1"/>
  <c r="AL103" i="58"/>
  <c r="AM103" i="58"/>
  <c r="AN103" i="58"/>
  <c r="AC104" i="58"/>
  <c r="AG104" i="58" s="1"/>
  <c r="AH104" i="58" s="1"/>
  <c r="AE104" i="58"/>
  <c r="AF104" i="58" s="1"/>
  <c r="AL104" i="58"/>
  <c r="AM104" i="58"/>
  <c r="AN104" i="58"/>
  <c r="AC105" i="58"/>
  <c r="AG105" i="58" s="1"/>
  <c r="AH105" i="58" s="1"/>
  <c r="AE105" i="58"/>
  <c r="AF105" i="58" s="1"/>
  <c r="AL105" i="58"/>
  <c r="AM105" i="58"/>
  <c r="AN105" i="58"/>
  <c r="AC106" i="58"/>
  <c r="AI106" i="58" s="1"/>
  <c r="AE106" i="58"/>
  <c r="AF106" i="58" s="1"/>
  <c r="AL106" i="58"/>
  <c r="AM106" i="58"/>
  <c r="AN106" i="58"/>
  <c r="AC107" i="58"/>
  <c r="AI107" i="58" s="1"/>
  <c r="AE107" i="58"/>
  <c r="AF107" i="58" s="1"/>
  <c r="AL107" i="58"/>
  <c r="AM107" i="58"/>
  <c r="AN107" i="58"/>
  <c r="AC108" i="58"/>
  <c r="AE108" i="58"/>
  <c r="AF108" i="58" s="1"/>
  <c r="AL108" i="58"/>
  <c r="AM108" i="58"/>
  <c r="AN108" i="58"/>
  <c r="AC109" i="58"/>
  <c r="AE109" i="58"/>
  <c r="AF109" i="58" s="1"/>
  <c r="AL109" i="58"/>
  <c r="AM109" i="58"/>
  <c r="AN109" i="58"/>
  <c r="AC110" i="58"/>
  <c r="AI110" i="58" s="1"/>
  <c r="AE110" i="58"/>
  <c r="AF110" i="58" s="1"/>
  <c r="AL110" i="58"/>
  <c r="AM110" i="58"/>
  <c r="AN110" i="58"/>
  <c r="AC111" i="58"/>
  <c r="AG111" i="58" s="1"/>
  <c r="AH111" i="58" s="1"/>
  <c r="AE111" i="58"/>
  <c r="AF111" i="58" s="1"/>
  <c r="AL111" i="58"/>
  <c r="AM111" i="58"/>
  <c r="AN111" i="58"/>
  <c r="AC112" i="58"/>
  <c r="AG112" i="58" s="1"/>
  <c r="AH112" i="58" s="1"/>
  <c r="AE112" i="58"/>
  <c r="AF112" i="58" s="1"/>
  <c r="AL112" i="58"/>
  <c r="AM112" i="58"/>
  <c r="AN112" i="58"/>
  <c r="AC113" i="58"/>
  <c r="AD113" i="58" s="1"/>
  <c r="AE113" i="58"/>
  <c r="AF113" i="58" s="1"/>
  <c r="AL113" i="58"/>
  <c r="AM113" i="58"/>
  <c r="AN113" i="58"/>
  <c r="AC114" i="58"/>
  <c r="AI114" i="58" s="1"/>
  <c r="AE114" i="58"/>
  <c r="AF114" i="58" s="1"/>
  <c r="AL114" i="58"/>
  <c r="AM114" i="58"/>
  <c r="AN114" i="58"/>
  <c r="AC115" i="58"/>
  <c r="AE115" i="58"/>
  <c r="AF115" i="58" s="1"/>
  <c r="AL115" i="58"/>
  <c r="AM115" i="58"/>
  <c r="AN115" i="58"/>
  <c r="AC116" i="58"/>
  <c r="AD116" i="58" s="1"/>
  <c r="AE116" i="58"/>
  <c r="AF116" i="58" s="1"/>
  <c r="AL116" i="58"/>
  <c r="AM116" i="58"/>
  <c r="AN116" i="58"/>
  <c r="AC117" i="58"/>
  <c r="AI117" i="58" s="1"/>
  <c r="AE117" i="58"/>
  <c r="AF117" i="58" s="1"/>
  <c r="AL117" i="58"/>
  <c r="AM117" i="58"/>
  <c r="AN117" i="58"/>
  <c r="AC118" i="58"/>
  <c r="AI118" i="58" s="1"/>
  <c r="AE118" i="58"/>
  <c r="AF118" i="58" s="1"/>
  <c r="AL118" i="58"/>
  <c r="AM118" i="58"/>
  <c r="AN118" i="58"/>
  <c r="AC119" i="58"/>
  <c r="AG119" i="58" s="1"/>
  <c r="AH119" i="58" s="1"/>
  <c r="AE119" i="58"/>
  <c r="AF119" i="58" s="1"/>
  <c r="AL119" i="58"/>
  <c r="AM119" i="58"/>
  <c r="AN119" i="58"/>
  <c r="AC120" i="58"/>
  <c r="AE120" i="58"/>
  <c r="AL120" i="58"/>
  <c r="AM120" i="58"/>
  <c r="AN120" i="58"/>
  <c r="AC121" i="58"/>
  <c r="AI121" i="58" s="1"/>
  <c r="AE121" i="58"/>
  <c r="AF121" i="58" s="1"/>
  <c r="AL121" i="58"/>
  <c r="AM121" i="58"/>
  <c r="AN121" i="58"/>
  <c r="AC122" i="58"/>
  <c r="AI122" i="58" s="1"/>
  <c r="AE122" i="58"/>
  <c r="AF122" i="58" s="1"/>
  <c r="AL122" i="58"/>
  <c r="AM122" i="58"/>
  <c r="AN122" i="58"/>
  <c r="AC123" i="58"/>
  <c r="AE123" i="58"/>
  <c r="AF123" i="58" s="1"/>
  <c r="AL123" i="58"/>
  <c r="AM123" i="58"/>
  <c r="AN123" i="58"/>
  <c r="AC124" i="58"/>
  <c r="AI124" i="58" s="1"/>
  <c r="AE124" i="58"/>
  <c r="AF124" i="58" s="1"/>
  <c r="AL124" i="58"/>
  <c r="AM124" i="58"/>
  <c r="AN124" i="58"/>
  <c r="AC125" i="58"/>
  <c r="AD125" i="58" s="1"/>
  <c r="AE125" i="58"/>
  <c r="AF125" i="58" s="1"/>
  <c r="AL125" i="58"/>
  <c r="AM125" i="58"/>
  <c r="AN125" i="58"/>
  <c r="AC126" i="58"/>
  <c r="AE126" i="58"/>
  <c r="AF126" i="58" s="1"/>
  <c r="AL126" i="58"/>
  <c r="AM126" i="58"/>
  <c r="AN126" i="58"/>
  <c r="AC127" i="58"/>
  <c r="AE127" i="58"/>
  <c r="AF127" i="58" s="1"/>
  <c r="AL127" i="58"/>
  <c r="AM127" i="58"/>
  <c r="AN127" i="58"/>
  <c r="AC128" i="58"/>
  <c r="AI128" i="58" s="1"/>
  <c r="AE128" i="58"/>
  <c r="AF128" i="58" s="1"/>
  <c r="AL128" i="58"/>
  <c r="AM128" i="58"/>
  <c r="AN128" i="58"/>
  <c r="AC129" i="58"/>
  <c r="AG129" i="58" s="1"/>
  <c r="AH129" i="58" s="1"/>
  <c r="AE129" i="58"/>
  <c r="AF129" i="58" s="1"/>
  <c r="AL129" i="58"/>
  <c r="AM129" i="58"/>
  <c r="AN129" i="58"/>
  <c r="AC130" i="58"/>
  <c r="AI130" i="58" s="1"/>
  <c r="AE130" i="58"/>
  <c r="AF130" i="58" s="1"/>
  <c r="AL130" i="58"/>
  <c r="AM130" i="58"/>
  <c r="AN130" i="58"/>
  <c r="AC131" i="58"/>
  <c r="AI131" i="58" s="1"/>
  <c r="AE131" i="58"/>
  <c r="AF131" i="58" s="1"/>
  <c r="AL131" i="58"/>
  <c r="AM131" i="58"/>
  <c r="AN131" i="58"/>
  <c r="AC132" i="58"/>
  <c r="AG132" i="58" s="1"/>
  <c r="AH132" i="58" s="1"/>
  <c r="AE132" i="58"/>
  <c r="AF132" i="58" s="1"/>
  <c r="AL132" i="58"/>
  <c r="AM132" i="58"/>
  <c r="AN132" i="58"/>
  <c r="AC133" i="58"/>
  <c r="AI133" i="58" s="1"/>
  <c r="AE133" i="58"/>
  <c r="AF133" i="58" s="1"/>
  <c r="AL133" i="58"/>
  <c r="AM133" i="58"/>
  <c r="AN133" i="58"/>
  <c r="AC134" i="58"/>
  <c r="AI134" i="58" s="1"/>
  <c r="AE134" i="58"/>
  <c r="AF134" i="58" s="1"/>
  <c r="AL134" i="58"/>
  <c r="AM134" i="58"/>
  <c r="AN134" i="58"/>
  <c r="AC135" i="58"/>
  <c r="AG135" i="58" s="1"/>
  <c r="AH135" i="58" s="1"/>
  <c r="AE135" i="58"/>
  <c r="AF135" i="58" s="1"/>
  <c r="AL135" i="58"/>
  <c r="AM135" i="58"/>
  <c r="AN135" i="58"/>
  <c r="AC136" i="58"/>
  <c r="AE136" i="58"/>
  <c r="AF136" i="58" s="1"/>
  <c r="AL136" i="58"/>
  <c r="AM136" i="58"/>
  <c r="AN136" i="58"/>
  <c r="AC137" i="58"/>
  <c r="AI137" i="58" s="1"/>
  <c r="AE137" i="58"/>
  <c r="AF137" i="58" s="1"/>
  <c r="AL137" i="58"/>
  <c r="AM137" i="58"/>
  <c r="AN137" i="58"/>
  <c r="AC138" i="58"/>
  <c r="AI138" i="58" s="1"/>
  <c r="AE138" i="58"/>
  <c r="AF138" i="58" s="1"/>
  <c r="AL138" i="58"/>
  <c r="AM138" i="58"/>
  <c r="AN138" i="58"/>
  <c r="AC139" i="58"/>
  <c r="AE139" i="58"/>
  <c r="AF139" i="58" s="1"/>
  <c r="AL139" i="58"/>
  <c r="AM139" i="58"/>
  <c r="AN139" i="58"/>
  <c r="AC140" i="58"/>
  <c r="AG140" i="58" s="1"/>
  <c r="AH140" i="58" s="1"/>
  <c r="AE140" i="58"/>
  <c r="AF140" i="58" s="1"/>
  <c r="AL140" i="58"/>
  <c r="AM140" i="58"/>
  <c r="AN140" i="58"/>
  <c r="AC141" i="58"/>
  <c r="AI141" i="58" s="1"/>
  <c r="AE141" i="58"/>
  <c r="AF141" i="58" s="1"/>
  <c r="AL141" i="58"/>
  <c r="AM141" i="58"/>
  <c r="AN141" i="58"/>
  <c r="AC142" i="58"/>
  <c r="AI142" i="58" s="1"/>
  <c r="AE142" i="58"/>
  <c r="AF142" i="58" s="1"/>
  <c r="AL142" i="58"/>
  <c r="AM142" i="58"/>
  <c r="AN142" i="58"/>
  <c r="AC143" i="58"/>
  <c r="AG143" i="58" s="1"/>
  <c r="AH143" i="58" s="1"/>
  <c r="AE143" i="58"/>
  <c r="AF143" i="58" s="1"/>
  <c r="AL143" i="58"/>
  <c r="AM143" i="58"/>
  <c r="AN143" i="58"/>
  <c r="AC144" i="58"/>
  <c r="AI144" i="58" s="1"/>
  <c r="AE144" i="58"/>
  <c r="AF144" i="58" s="1"/>
  <c r="AL144" i="58"/>
  <c r="AM144" i="58"/>
  <c r="AN144" i="58"/>
  <c r="AC145" i="58"/>
  <c r="AE145" i="58"/>
  <c r="AF145" i="58" s="1"/>
  <c r="AL145" i="58"/>
  <c r="AM145" i="58"/>
  <c r="AN145" i="58"/>
  <c r="AC146" i="58"/>
  <c r="AI146" i="58" s="1"/>
  <c r="AE146" i="58"/>
  <c r="AF146" i="58" s="1"/>
  <c r="AL146" i="58"/>
  <c r="AM146" i="58"/>
  <c r="AN146" i="58"/>
  <c r="AC147" i="58"/>
  <c r="AE147" i="58"/>
  <c r="AF147" i="58" s="1"/>
  <c r="AL147" i="58"/>
  <c r="AM147" i="58"/>
  <c r="AN147" i="58"/>
  <c r="AC148" i="58"/>
  <c r="AI148" i="58" s="1"/>
  <c r="AE148" i="58"/>
  <c r="AF148" i="58" s="1"/>
  <c r="AL148" i="58"/>
  <c r="AM148" i="58"/>
  <c r="AN148" i="58"/>
  <c r="AC149" i="58"/>
  <c r="AI149" i="58" s="1"/>
  <c r="AE149" i="58"/>
  <c r="AF149" i="58" s="1"/>
  <c r="AL149" i="58"/>
  <c r="AM149" i="58"/>
  <c r="AN149" i="58"/>
  <c r="AC150" i="58"/>
  <c r="AI150" i="58" s="1"/>
  <c r="AE150" i="58"/>
  <c r="AF150" i="58" s="1"/>
  <c r="AL150" i="58"/>
  <c r="AM150" i="58"/>
  <c r="AN150" i="58"/>
  <c r="AC151" i="58"/>
  <c r="AE151" i="58"/>
  <c r="AF151" i="58" s="1"/>
  <c r="AL151" i="58"/>
  <c r="AM151" i="58"/>
  <c r="AN151" i="58"/>
  <c r="AC152" i="58"/>
  <c r="AI152" i="58" s="1"/>
  <c r="AE152" i="58"/>
  <c r="AF152" i="58" s="1"/>
  <c r="AL152" i="58"/>
  <c r="AM152" i="58"/>
  <c r="AN152" i="58"/>
  <c r="AC153" i="58"/>
  <c r="AE153" i="58"/>
  <c r="AF153" i="58" s="1"/>
  <c r="AL153" i="58"/>
  <c r="AM153" i="58"/>
  <c r="AN153" i="58"/>
  <c r="AC154" i="58"/>
  <c r="AI154" i="58" s="1"/>
  <c r="AE154" i="58"/>
  <c r="AF154" i="58" s="1"/>
  <c r="AL154" i="58"/>
  <c r="AM154" i="58"/>
  <c r="AN154" i="58"/>
  <c r="AC155" i="58"/>
  <c r="AE155" i="58"/>
  <c r="AF155" i="58" s="1"/>
  <c r="AL155" i="58"/>
  <c r="AM155" i="58"/>
  <c r="AN155" i="58"/>
  <c r="AC156" i="58"/>
  <c r="AE156" i="58"/>
  <c r="AF156" i="58" s="1"/>
  <c r="AL156" i="58"/>
  <c r="AM156" i="58"/>
  <c r="AN156" i="58"/>
  <c r="AC157" i="58"/>
  <c r="AI157" i="58" s="1"/>
  <c r="AE157" i="58"/>
  <c r="AF157" i="58" s="1"/>
  <c r="AL157" i="58"/>
  <c r="AM157" i="58"/>
  <c r="AN157" i="58"/>
  <c r="AC158" i="58"/>
  <c r="AI158" i="58" s="1"/>
  <c r="AE158" i="58"/>
  <c r="AF158" i="58" s="1"/>
  <c r="AL158" i="58"/>
  <c r="AM158" i="58"/>
  <c r="AN158" i="58"/>
  <c r="AC159" i="58"/>
  <c r="AG159" i="58" s="1"/>
  <c r="AH159" i="58" s="1"/>
  <c r="AE159" i="58"/>
  <c r="AF159" i="58" s="1"/>
  <c r="AL159" i="58"/>
  <c r="AM159" i="58"/>
  <c r="AN159" i="58"/>
  <c r="AC160" i="58"/>
  <c r="AI160" i="58" s="1"/>
  <c r="AE160" i="58"/>
  <c r="AF160" i="58" s="1"/>
  <c r="AL160" i="58"/>
  <c r="AM160" i="58"/>
  <c r="AN160" i="58"/>
  <c r="AC161" i="58"/>
  <c r="AE161" i="58"/>
  <c r="AF161" i="58" s="1"/>
  <c r="AL161" i="58"/>
  <c r="AM161" i="58"/>
  <c r="AN161" i="58"/>
  <c r="AC162" i="58"/>
  <c r="AI162" i="58" s="1"/>
  <c r="AE162" i="58"/>
  <c r="AF162" i="58" s="1"/>
  <c r="AL162" i="58"/>
  <c r="AM162" i="58"/>
  <c r="AN162" i="58"/>
  <c r="AC163" i="58"/>
  <c r="AE163" i="58"/>
  <c r="AF163" i="58" s="1"/>
  <c r="AL163" i="58"/>
  <c r="AM163" i="58"/>
  <c r="AN163" i="58"/>
  <c r="AC164" i="58"/>
  <c r="AI164" i="58" s="1"/>
  <c r="AE164" i="58"/>
  <c r="AF164" i="58" s="1"/>
  <c r="AL164" i="58"/>
  <c r="AM164" i="58"/>
  <c r="AN164" i="58"/>
  <c r="AC165" i="58"/>
  <c r="AI165" i="58" s="1"/>
  <c r="AE165" i="58"/>
  <c r="AF165" i="58" s="1"/>
  <c r="AL165" i="58"/>
  <c r="AM165" i="58"/>
  <c r="AN165" i="58"/>
  <c r="AC166" i="58"/>
  <c r="AI166" i="58" s="1"/>
  <c r="AE166" i="58"/>
  <c r="AF166" i="58" s="1"/>
  <c r="AL166" i="58"/>
  <c r="AM166" i="58"/>
  <c r="AN166" i="58"/>
  <c r="AC167" i="58"/>
  <c r="AG167" i="58" s="1"/>
  <c r="AH167" i="58" s="1"/>
  <c r="AE167" i="58"/>
  <c r="AF167" i="58" s="1"/>
  <c r="AL167" i="58"/>
  <c r="AM167" i="58"/>
  <c r="AN167" i="58"/>
  <c r="AC168" i="58"/>
  <c r="AI168" i="58" s="1"/>
  <c r="AE168" i="58"/>
  <c r="AF168" i="58" s="1"/>
  <c r="AL168" i="58"/>
  <c r="AM168" i="58"/>
  <c r="AN168" i="58"/>
  <c r="AD107" i="58" l="1"/>
  <c r="AD148" i="58"/>
  <c r="AG124" i="58"/>
  <c r="AH124" i="58" s="1"/>
  <c r="AG117" i="58"/>
  <c r="AH117" i="58" s="1"/>
  <c r="AG148" i="58"/>
  <c r="AH148" i="58" s="1"/>
  <c r="AG89" i="58"/>
  <c r="AH89" i="58" s="1"/>
  <c r="AG144" i="58"/>
  <c r="AH144" i="58" s="1"/>
  <c r="AG141" i="58"/>
  <c r="AH141" i="58" s="1"/>
  <c r="AD60" i="58"/>
  <c r="AI34" i="58"/>
  <c r="AG125" i="58"/>
  <c r="AH125" i="58" s="1"/>
  <c r="AI7" i="58"/>
  <c r="AD168" i="58"/>
  <c r="AG165" i="58"/>
  <c r="AH165" i="58" s="1"/>
  <c r="AG47" i="58"/>
  <c r="AH47" i="58" s="1"/>
  <c r="AD68" i="58"/>
  <c r="AJ24" i="58"/>
  <c r="AK24" i="58" s="1"/>
  <c r="AG149" i="58"/>
  <c r="AH149" i="58" s="1"/>
  <c r="AD152" i="58"/>
  <c r="AD149" i="58"/>
  <c r="AG92" i="58"/>
  <c r="AH92" i="58" s="1"/>
  <c r="AJ152" i="58"/>
  <c r="AK152" i="58" s="1"/>
  <c r="AD141" i="58"/>
  <c r="AD97" i="58"/>
  <c r="AG164" i="58"/>
  <c r="AH164" i="58" s="1"/>
  <c r="AG157" i="58"/>
  <c r="AH157" i="58" s="1"/>
  <c r="AG133" i="58"/>
  <c r="AH133" i="58" s="1"/>
  <c r="AJ97" i="58"/>
  <c r="AK97" i="58" s="1"/>
  <c r="AJ22" i="58"/>
  <c r="AK22" i="58" s="1"/>
  <c r="AG168" i="58"/>
  <c r="AH168" i="58" s="1"/>
  <c r="AG162" i="58"/>
  <c r="AH162" i="58" s="1"/>
  <c r="AG146" i="58"/>
  <c r="AH146" i="58" s="1"/>
  <c r="AG138" i="58"/>
  <c r="AH138" i="58" s="1"/>
  <c r="AG98" i="58"/>
  <c r="AH98" i="58" s="1"/>
  <c r="AG71" i="58"/>
  <c r="AH71" i="58" s="1"/>
  <c r="AG52" i="58"/>
  <c r="AH52" i="58" s="1"/>
  <c r="AJ164" i="58"/>
  <c r="AK164" i="58" s="1"/>
  <c r="AD164" i="58"/>
  <c r="AJ148" i="58"/>
  <c r="AK148" i="58" s="1"/>
  <c r="AD124" i="58"/>
  <c r="AD121" i="58"/>
  <c r="AG107" i="58"/>
  <c r="AH107" i="58" s="1"/>
  <c r="AG97" i="58"/>
  <c r="AH97" i="58" s="1"/>
  <c r="AD92" i="58"/>
  <c r="AD74" i="58"/>
  <c r="AG68" i="58"/>
  <c r="AH68" i="58" s="1"/>
  <c r="AG65" i="58"/>
  <c r="AH65" i="58" s="1"/>
  <c r="AG60" i="58"/>
  <c r="AH60" i="58" s="1"/>
  <c r="AJ48" i="58"/>
  <c r="AK48" i="58" s="1"/>
  <c r="AD47" i="58"/>
  <c r="AJ33" i="58"/>
  <c r="AK33" i="58" s="1"/>
  <c r="AJ6" i="58"/>
  <c r="AK6" i="58" s="1"/>
  <c r="AJ108" i="58"/>
  <c r="AK108" i="58" s="1"/>
  <c r="AJ37" i="58"/>
  <c r="AK37" i="58" s="1"/>
  <c r="AJ157" i="58"/>
  <c r="AK157" i="58" s="1"/>
  <c r="AG152" i="58"/>
  <c r="AH152" i="58" s="1"/>
  <c r="AJ133" i="58"/>
  <c r="AK133" i="58" s="1"/>
  <c r="AG122" i="58"/>
  <c r="AH122" i="58" s="1"/>
  <c r="AG90" i="58"/>
  <c r="AH90" i="58" s="1"/>
  <c r="AJ85" i="58"/>
  <c r="AK85" i="58" s="1"/>
  <c r="AG84" i="58"/>
  <c r="AH84" i="58" s="1"/>
  <c r="AJ81" i="58"/>
  <c r="AK81" i="58" s="1"/>
  <c r="AG76" i="58"/>
  <c r="AH76" i="58" s="1"/>
  <c r="AJ74" i="58"/>
  <c r="AK74" i="58" s="1"/>
  <c r="AG59" i="58"/>
  <c r="AH59" i="58" s="1"/>
  <c r="AG54" i="58"/>
  <c r="AH54" i="58" s="1"/>
  <c r="AI38" i="58"/>
  <c r="AJ14" i="58"/>
  <c r="AK14" i="58" s="1"/>
  <c r="AI11" i="58"/>
  <c r="AJ168" i="58"/>
  <c r="AK168" i="58" s="1"/>
  <c r="AD165" i="58"/>
  <c r="AG160" i="58"/>
  <c r="AH160" i="58" s="1"/>
  <c r="AD157" i="58"/>
  <c r="AJ141" i="58"/>
  <c r="AK141" i="58" s="1"/>
  <c r="AD133" i="58"/>
  <c r="AJ124" i="58"/>
  <c r="AK124" i="58" s="1"/>
  <c r="AD117" i="58"/>
  <c r="AG100" i="58"/>
  <c r="AH100" i="58" s="1"/>
  <c r="AG95" i="58"/>
  <c r="AH95" i="58" s="1"/>
  <c r="AG81" i="58"/>
  <c r="AH81" i="58" s="1"/>
  <c r="AG79" i="58"/>
  <c r="AH79" i="58" s="1"/>
  <c r="AJ77" i="58"/>
  <c r="AK77" i="58" s="1"/>
  <c r="AG74" i="58"/>
  <c r="AH74" i="58" s="1"/>
  <c r="AG66" i="58"/>
  <c r="AH66" i="58" s="1"/>
  <c r="AG51" i="58"/>
  <c r="AH51" i="58" s="1"/>
  <c r="AJ45" i="58"/>
  <c r="AK45" i="58" s="1"/>
  <c r="AI42" i="58"/>
  <c r="AI156" i="58"/>
  <c r="AD156" i="58"/>
  <c r="AI127" i="58"/>
  <c r="AD127" i="58"/>
  <c r="AI115" i="58"/>
  <c r="AD115" i="58"/>
  <c r="AI75" i="58"/>
  <c r="AG75" i="58"/>
  <c r="AH75" i="58" s="1"/>
  <c r="AI50" i="58"/>
  <c r="AG50" i="58"/>
  <c r="AH50" i="58" s="1"/>
  <c r="AG19" i="58"/>
  <c r="AH19" i="58" s="1"/>
  <c r="AI19" i="58"/>
  <c r="AI151" i="58"/>
  <c r="AD151" i="58"/>
  <c r="AI163" i="58"/>
  <c r="AG163" i="58"/>
  <c r="AH163" i="58" s="1"/>
  <c r="AI161" i="58"/>
  <c r="AG161" i="58"/>
  <c r="AH161" i="58" s="1"/>
  <c r="AD161" i="58"/>
  <c r="AJ161" i="58"/>
  <c r="AK161" i="58" s="1"/>
  <c r="AI159" i="58"/>
  <c r="AD159" i="58"/>
  <c r="AI153" i="58"/>
  <c r="AG153" i="58"/>
  <c r="AH153" i="58" s="1"/>
  <c r="AG151" i="58"/>
  <c r="AH151" i="58" s="1"/>
  <c r="AI140" i="58"/>
  <c r="AD140" i="58"/>
  <c r="AI119" i="58"/>
  <c r="AD119" i="58"/>
  <c r="AG116" i="58"/>
  <c r="AH116" i="58" s="1"/>
  <c r="AG113" i="58"/>
  <c r="AH113" i="58" s="1"/>
  <c r="AI112" i="58"/>
  <c r="AD112" i="58"/>
  <c r="AJ112" i="58"/>
  <c r="AK112" i="58" s="1"/>
  <c r="AJ70" i="58"/>
  <c r="AK70" i="58" s="1"/>
  <c r="AF70" i="58"/>
  <c r="AI62" i="58"/>
  <c r="AD62" i="58"/>
  <c r="AJ51" i="58"/>
  <c r="AK51" i="58" s="1"/>
  <c r="AI167" i="58"/>
  <c r="AD167" i="58"/>
  <c r="AG156" i="58"/>
  <c r="AH156" i="58" s="1"/>
  <c r="AI155" i="58"/>
  <c r="AD155" i="58"/>
  <c r="AG155" i="58"/>
  <c r="AH155" i="58" s="1"/>
  <c r="AI147" i="58"/>
  <c r="AG147" i="58"/>
  <c r="AH147" i="58" s="1"/>
  <c r="AI145" i="58"/>
  <c r="AG145" i="58"/>
  <c r="AH145" i="58" s="1"/>
  <c r="AD145" i="58"/>
  <c r="AJ145" i="58"/>
  <c r="AK145" i="58" s="1"/>
  <c r="AI143" i="58"/>
  <c r="AD143" i="58"/>
  <c r="AJ136" i="58"/>
  <c r="AK136" i="58" s="1"/>
  <c r="AI135" i="58"/>
  <c r="AD135" i="58"/>
  <c r="AG127" i="58"/>
  <c r="AH127" i="58" s="1"/>
  <c r="AJ120" i="58"/>
  <c r="AK120" i="58" s="1"/>
  <c r="AF120" i="58"/>
  <c r="AJ94" i="58"/>
  <c r="AK94" i="58" s="1"/>
  <c r="AJ90" i="58"/>
  <c r="AK90" i="58" s="1"/>
  <c r="AG82" i="58"/>
  <c r="AH82" i="58" s="1"/>
  <c r="AJ16" i="58"/>
  <c r="AK16" i="58" s="1"/>
  <c r="AF16" i="58"/>
  <c r="AJ102" i="58"/>
  <c r="AK102" i="58" s="1"/>
  <c r="AD100" i="58"/>
  <c r="AD94" i="58"/>
  <c r="AD90" i="58"/>
  <c r="AD84" i="58"/>
  <c r="AD81" i="58"/>
  <c r="AD54" i="58"/>
  <c r="AD51" i="58"/>
  <c r="AF24" i="58"/>
  <c r="AG130" i="58"/>
  <c r="AH130" i="58" s="1"/>
  <c r="AJ129" i="58"/>
  <c r="AK129" i="58" s="1"/>
  <c r="AJ117" i="58"/>
  <c r="AK117" i="58" s="1"/>
  <c r="AG110" i="58"/>
  <c r="AH110" i="58" s="1"/>
  <c r="AJ60" i="58"/>
  <c r="AK60" i="58" s="1"/>
  <c r="AG57" i="58"/>
  <c r="AH57" i="58" s="1"/>
  <c r="AJ31" i="58"/>
  <c r="AK31" i="58" s="1"/>
  <c r="AI27" i="58"/>
  <c r="AI139" i="58"/>
  <c r="AD139" i="58"/>
  <c r="AI136" i="58"/>
  <c r="AD136" i="58"/>
  <c r="AI132" i="58"/>
  <c r="AJ132" i="58"/>
  <c r="AK132" i="58" s="1"/>
  <c r="AI93" i="58"/>
  <c r="AD93" i="58"/>
  <c r="AG93" i="58"/>
  <c r="AH93" i="58" s="1"/>
  <c r="AI86" i="58"/>
  <c r="AD86" i="58"/>
  <c r="AI85" i="58"/>
  <c r="AG85" i="58"/>
  <c r="AH85" i="58" s="1"/>
  <c r="AI72" i="58"/>
  <c r="AD72" i="58"/>
  <c r="AI58" i="58"/>
  <c r="AG58" i="58"/>
  <c r="AH58" i="58" s="1"/>
  <c r="AI53" i="58"/>
  <c r="AG53" i="58"/>
  <c r="AH53" i="58" s="1"/>
  <c r="AG158" i="58"/>
  <c r="AH158" i="58" s="1"/>
  <c r="AG142" i="58"/>
  <c r="AH142" i="58" s="1"/>
  <c r="AG139" i="58"/>
  <c r="AH139" i="58" s="1"/>
  <c r="AG137" i="58"/>
  <c r="AH137" i="58" s="1"/>
  <c r="AG136" i="58"/>
  <c r="AH136" i="58" s="1"/>
  <c r="AG134" i="58"/>
  <c r="AH134" i="58" s="1"/>
  <c r="AG131" i="58"/>
  <c r="AH131" i="58" s="1"/>
  <c r="AG128" i="58"/>
  <c r="AH128" i="58" s="1"/>
  <c r="AI125" i="58"/>
  <c r="AJ125" i="58"/>
  <c r="AK125" i="58" s="1"/>
  <c r="AJ121" i="58"/>
  <c r="AK121" i="58" s="1"/>
  <c r="AI109" i="58"/>
  <c r="AD109" i="58"/>
  <c r="AJ109" i="58"/>
  <c r="AK109" i="58" s="1"/>
  <c r="AI108" i="58"/>
  <c r="AD108" i="58"/>
  <c r="AI94" i="58"/>
  <c r="AG94" i="58"/>
  <c r="AH94" i="58" s="1"/>
  <c r="AJ93" i="58"/>
  <c r="AK93" i="58" s="1"/>
  <c r="AJ86" i="58"/>
  <c r="AK86" i="58" s="1"/>
  <c r="AI80" i="58"/>
  <c r="AD80" i="58"/>
  <c r="AI73" i="58"/>
  <c r="AJ73" i="58"/>
  <c r="AK73" i="58" s="1"/>
  <c r="AD73" i="58"/>
  <c r="AI69" i="58"/>
  <c r="AD69" i="58"/>
  <c r="AJ69" i="58"/>
  <c r="AK69" i="58" s="1"/>
  <c r="AI66" i="58"/>
  <c r="AJ66" i="58"/>
  <c r="AK66" i="58" s="1"/>
  <c r="AI61" i="58"/>
  <c r="AG61" i="58"/>
  <c r="AH61" i="58" s="1"/>
  <c r="AI59" i="58"/>
  <c r="AJ59" i="58"/>
  <c r="AK59" i="58" s="1"/>
  <c r="AI49" i="58"/>
  <c r="AD49" i="58"/>
  <c r="AJ49" i="58"/>
  <c r="AK49" i="58" s="1"/>
  <c r="AI48" i="58"/>
  <c r="AD48" i="58"/>
  <c r="AJ26" i="58"/>
  <c r="AK26" i="58" s="1"/>
  <c r="AJ160" i="58"/>
  <c r="AK160" i="58" s="1"/>
  <c r="AG154" i="58"/>
  <c r="AH154" i="58" s="1"/>
  <c r="AJ153" i="58"/>
  <c r="AK153" i="58" s="1"/>
  <c r="AJ144" i="58"/>
  <c r="AK144" i="58" s="1"/>
  <c r="AI123" i="58"/>
  <c r="AD123" i="58"/>
  <c r="AI120" i="58"/>
  <c r="AD120" i="58"/>
  <c r="AI116" i="58"/>
  <c r="AJ116" i="58"/>
  <c r="AK116" i="58" s="1"/>
  <c r="AG114" i="58"/>
  <c r="AH114" i="58" s="1"/>
  <c r="AG108" i="58"/>
  <c r="AH108" i="58" s="1"/>
  <c r="AG106" i="58"/>
  <c r="AH106" i="58" s="1"/>
  <c r="AI104" i="58"/>
  <c r="AD104" i="58"/>
  <c r="AG103" i="58"/>
  <c r="AH103" i="58" s="1"/>
  <c r="AI88" i="58"/>
  <c r="AG88" i="58"/>
  <c r="AH88" i="58" s="1"/>
  <c r="AG87" i="58"/>
  <c r="AH87" i="58" s="1"/>
  <c r="AG86" i="58"/>
  <c r="AH86" i="58" s="1"/>
  <c r="AI83" i="58"/>
  <c r="AG83" i="58"/>
  <c r="AH83" i="58" s="1"/>
  <c r="AG80" i="58"/>
  <c r="AH80" i="58" s="1"/>
  <c r="AG73" i="58"/>
  <c r="AH73" i="58" s="1"/>
  <c r="AG72" i="58"/>
  <c r="AH72" i="58" s="1"/>
  <c r="AI63" i="58"/>
  <c r="AD63" i="58"/>
  <c r="AG63" i="58"/>
  <c r="AH63" i="58" s="1"/>
  <c r="AI56" i="58"/>
  <c r="AD56" i="58"/>
  <c r="AJ55" i="58"/>
  <c r="AK55" i="58" s="1"/>
  <c r="AI55" i="58"/>
  <c r="AG55" i="58"/>
  <c r="AH55" i="58" s="1"/>
  <c r="AG48" i="58"/>
  <c r="AH48" i="58" s="1"/>
  <c r="AI23" i="58"/>
  <c r="AJ18" i="58"/>
  <c r="AK18" i="58" s="1"/>
  <c r="AG166" i="58"/>
  <c r="AH166" i="58" s="1"/>
  <c r="AJ165" i="58"/>
  <c r="AK165" i="58" s="1"/>
  <c r="AD163" i="58"/>
  <c r="AD160" i="58"/>
  <c r="AJ156" i="58"/>
  <c r="AK156" i="58" s="1"/>
  <c r="AD153" i="58"/>
  <c r="AG150" i="58"/>
  <c r="AH150" i="58" s="1"/>
  <c r="AJ149" i="58"/>
  <c r="AK149" i="58" s="1"/>
  <c r="AD147" i="58"/>
  <c r="AD144" i="58"/>
  <c r="AJ140" i="58"/>
  <c r="AK140" i="58" s="1"/>
  <c r="AJ137" i="58"/>
  <c r="AK137" i="58" s="1"/>
  <c r="AD137" i="58"/>
  <c r="AD132" i="58"/>
  <c r="AD131" i="58"/>
  <c r="AI129" i="58"/>
  <c r="AD129" i="58"/>
  <c r="AJ128" i="58"/>
  <c r="AK128" i="58" s="1"/>
  <c r="AD128" i="58"/>
  <c r="AI126" i="58"/>
  <c r="AG126" i="58"/>
  <c r="AH126" i="58" s="1"/>
  <c r="AG123" i="58"/>
  <c r="AH123" i="58" s="1"/>
  <c r="AG121" i="58"/>
  <c r="AH121" i="58" s="1"/>
  <c r="AG120" i="58"/>
  <c r="AH120" i="58" s="1"/>
  <c r="AG118" i="58"/>
  <c r="AH118" i="58" s="1"/>
  <c r="AG115" i="58"/>
  <c r="AH115" i="58" s="1"/>
  <c r="AI111" i="58"/>
  <c r="AD111" i="58"/>
  <c r="AG109" i="58"/>
  <c r="AH109" i="58" s="1"/>
  <c r="AI105" i="58"/>
  <c r="AJ105" i="58"/>
  <c r="AK105" i="58" s="1"/>
  <c r="AD105" i="58"/>
  <c r="AI101" i="58"/>
  <c r="AD101" i="58"/>
  <c r="AJ101" i="58"/>
  <c r="AK101" i="58" s="1"/>
  <c r="AI98" i="58"/>
  <c r="AJ98" i="58"/>
  <c r="AK98" i="58" s="1"/>
  <c r="AI96" i="58"/>
  <c r="AD96" i="58"/>
  <c r="AG96" i="58"/>
  <c r="AH96" i="58" s="1"/>
  <c r="AI91" i="58"/>
  <c r="AG91" i="58"/>
  <c r="AH91" i="58" s="1"/>
  <c r="AI89" i="58"/>
  <c r="AJ89" i="58"/>
  <c r="AK89" i="58" s="1"/>
  <c r="AD85" i="58"/>
  <c r="AI78" i="58"/>
  <c r="AD78" i="58"/>
  <c r="AJ78" i="58"/>
  <c r="AK78" i="58" s="1"/>
  <c r="AI77" i="58"/>
  <c r="AD77" i="58"/>
  <c r="AD76" i="58"/>
  <c r="AG69" i="58"/>
  <c r="AH69" i="58" s="1"/>
  <c r="AJ64" i="58"/>
  <c r="AK64" i="58" s="1"/>
  <c r="AI64" i="58"/>
  <c r="AG64" i="58"/>
  <c r="AH64" i="58" s="1"/>
  <c r="AJ63" i="58"/>
  <c r="AK63" i="58" s="1"/>
  <c r="AD58" i="58"/>
  <c r="AJ56" i="58"/>
  <c r="AK56" i="58" s="1"/>
  <c r="AG49" i="58"/>
  <c r="AH49" i="58" s="1"/>
  <c r="AJ46" i="58"/>
  <c r="AK46" i="58" s="1"/>
  <c r="AJ41" i="58"/>
  <c r="AK41" i="58" s="1"/>
  <c r="AJ39" i="58"/>
  <c r="AK39" i="58" s="1"/>
  <c r="AF31" i="58"/>
  <c r="AJ30" i="58"/>
  <c r="AK30" i="58" s="1"/>
  <c r="AI15" i="58"/>
  <c r="AJ10" i="58"/>
  <c r="AK10" i="58" s="1"/>
  <c r="AJ8" i="58"/>
  <c r="AK8" i="58" s="1"/>
  <c r="AI113" i="58"/>
  <c r="AJ113" i="58"/>
  <c r="AK113" i="58" s="1"/>
  <c r="AI102" i="58"/>
  <c r="AD102" i="58"/>
  <c r="AI99" i="58"/>
  <c r="AG99" i="58"/>
  <c r="AH99" i="58" s="1"/>
  <c r="AI82" i="58"/>
  <c r="AJ82" i="58"/>
  <c r="AK82" i="58" s="1"/>
  <c r="AI70" i="58"/>
  <c r="AD70" i="58"/>
  <c r="AI67" i="58"/>
  <c r="AG67" i="58"/>
  <c r="AH67" i="58" s="1"/>
  <c r="AI52" i="58"/>
  <c r="AJ52" i="58"/>
  <c r="AK52" i="58" s="1"/>
  <c r="AJ43" i="58"/>
  <c r="AK43" i="58" s="1"/>
  <c r="AJ35" i="58"/>
  <c r="AK35" i="58" s="1"/>
  <c r="AJ28" i="58"/>
  <c r="AK28" i="58" s="1"/>
  <c r="AJ20" i="58"/>
  <c r="AK20" i="58" s="1"/>
  <c r="AJ12" i="58"/>
  <c r="AK12" i="58" s="1"/>
  <c r="AD45" i="58"/>
  <c r="AG45" i="58"/>
  <c r="AH45" i="58" s="1"/>
  <c r="AD41" i="58"/>
  <c r="AG41" i="58"/>
  <c r="AH41" i="58" s="1"/>
  <c r="AD37" i="58"/>
  <c r="AG37" i="58"/>
  <c r="AH37" i="58" s="1"/>
  <c r="AD33" i="58"/>
  <c r="AG33" i="58"/>
  <c r="AH33" i="58" s="1"/>
  <c r="AD30" i="58"/>
  <c r="AG30" i="58"/>
  <c r="AH30" i="58" s="1"/>
  <c r="AD26" i="58"/>
  <c r="AG26" i="58"/>
  <c r="AH26" i="58" s="1"/>
  <c r="AD22" i="58"/>
  <c r="AG22" i="58"/>
  <c r="AH22" i="58" s="1"/>
  <c r="AD18" i="58"/>
  <c r="AG18" i="58"/>
  <c r="AH18" i="58" s="1"/>
  <c r="AD14" i="58"/>
  <c r="AG14" i="58"/>
  <c r="AH14" i="58" s="1"/>
  <c r="AD10" i="58"/>
  <c r="AG10" i="58"/>
  <c r="AH10" i="58" s="1"/>
  <c r="AD6" i="58"/>
  <c r="AG6" i="58"/>
  <c r="AH6" i="58" s="1"/>
  <c r="AD5" i="58"/>
  <c r="AJ5" i="58"/>
  <c r="AK5" i="58" s="1"/>
  <c r="AI45" i="58"/>
  <c r="AD44" i="58"/>
  <c r="AJ44" i="58"/>
  <c r="AK44" i="58" s="1"/>
  <c r="AI41" i="58"/>
  <c r="AD40" i="58"/>
  <c r="AJ40" i="58"/>
  <c r="AK40" i="58" s="1"/>
  <c r="AI37" i="58"/>
  <c r="AD36" i="58"/>
  <c r="AJ36" i="58"/>
  <c r="AK36" i="58" s="1"/>
  <c r="AI33" i="58"/>
  <c r="AD32" i="58"/>
  <c r="AJ32" i="58"/>
  <c r="AK32" i="58" s="1"/>
  <c r="AI30" i="58"/>
  <c r="AD29" i="58"/>
  <c r="AJ29" i="58"/>
  <c r="AK29" i="58" s="1"/>
  <c r="AI26" i="58"/>
  <c r="AD25" i="58"/>
  <c r="AJ25" i="58"/>
  <c r="AK25" i="58" s="1"/>
  <c r="AI22" i="58"/>
  <c r="AD21" i="58"/>
  <c r="AJ21" i="58"/>
  <c r="AK21" i="58" s="1"/>
  <c r="AI18" i="58"/>
  <c r="AD17" i="58"/>
  <c r="AJ17" i="58"/>
  <c r="AK17" i="58" s="1"/>
  <c r="AI14" i="58"/>
  <c r="AD13" i="58"/>
  <c r="AJ13" i="58"/>
  <c r="AK13" i="58" s="1"/>
  <c r="AI10" i="58"/>
  <c r="AD9" i="58"/>
  <c r="AJ9" i="58"/>
  <c r="AK9" i="58" s="1"/>
  <c r="AI6" i="58"/>
  <c r="AG5" i="58"/>
  <c r="AH5" i="58" s="1"/>
  <c r="AJ166" i="58"/>
  <c r="AK166" i="58" s="1"/>
  <c r="AJ162" i="58"/>
  <c r="AK162" i="58" s="1"/>
  <c r="AJ158" i="58"/>
  <c r="AK158" i="58" s="1"/>
  <c r="AJ154" i="58"/>
  <c r="AK154" i="58" s="1"/>
  <c r="AJ150" i="58"/>
  <c r="AK150" i="58" s="1"/>
  <c r="AJ146" i="58"/>
  <c r="AK146" i="58" s="1"/>
  <c r="AJ142" i="58"/>
  <c r="AK142" i="58" s="1"/>
  <c r="AJ138" i="58"/>
  <c r="AK138" i="58" s="1"/>
  <c r="AJ134" i="58"/>
  <c r="AK134" i="58" s="1"/>
  <c r="AJ130" i="58"/>
  <c r="AK130" i="58" s="1"/>
  <c r="AJ126" i="58"/>
  <c r="AK126" i="58" s="1"/>
  <c r="AJ122" i="58"/>
  <c r="AK122" i="58" s="1"/>
  <c r="AJ118" i="58"/>
  <c r="AK118" i="58" s="1"/>
  <c r="AJ114" i="58"/>
  <c r="AK114" i="58" s="1"/>
  <c r="AJ110" i="58"/>
  <c r="AK110" i="58" s="1"/>
  <c r="AJ106" i="58"/>
  <c r="AK106" i="58" s="1"/>
  <c r="AJ103" i="58"/>
  <c r="AK103" i="58" s="1"/>
  <c r="AJ99" i="58"/>
  <c r="AK99" i="58" s="1"/>
  <c r="AJ95" i="58"/>
  <c r="AK95" i="58" s="1"/>
  <c r="AJ91" i="58"/>
  <c r="AK91" i="58" s="1"/>
  <c r="AJ87" i="58"/>
  <c r="AK87" i="58" s="1"/>
  <c r="AJ83" i="58"/>
  <c r="AK83" i="58" s="1"/>
  <c r="AJ79" i="58"/>
  <c r="AK79" i="58" s="1"/>
  <c r="AJ75" i="58"/>
  <c r="AK75" i="58" s="1"/>
  <c r="AJ71" i="58"/>
  <c r="AK71" i="58" s="1"/>
  <c r="AJ67" i="58"/>
  <c r="AK67" i="58" s="1"/>
  <c r="AJ65" i="58"/>
  <c r="AK65" i="58" s="1"/>
  <c r="AJ61" i="58"/>
  <c r="AK61" i="58" s="1"/>
  <c r="AJ57" i="58"/>
  <c r="AK57" i="58" s="1"/>
  <c r="AJ53" i="58"/>
  <c r="AK53" i="58" s="1"/>
  <c r="AJ50" i="58"/>
  <c r="AK50" i="58" s="1"/>
  <c r="AG44" i="58"/>
  <c r="AH44" i="58" s="1"/>
  <c r="AD43" i="58"/>
  <c r="AG43" i="58"/>
  <c r="AH43" i="58" s="1"/>
  <c r="AG40" i="58"/>
  <c r="AH40" i="58" s="1"/>
  <c r="AD39" i="58"/>
  <c r="AG39" i="58"/>
  <c r="AH39" i="58" s="1"/>
  <c r="AG36" i="58"/>
  <c r="AH36" i="58" s="1"/>
  <c r="D20" i="65" s="1"/>
  <c r="AD35" i="58"/>
  <c r="AG35" i="58"/>
  <c r="AH35" i="58" s="1"/>
  <c r="AG32" i="58"/>
  <c r="AH32" i="58" s="1"/>
  <c r="AD31" i="58"/>
  <c r="AG31" i="58"/>
  <c r="AH31" i="58" s="1"/>
  <c r="AG29" i="58"/>
  <c r="AH29" i="58" s="1"/>
  <c r="AD28" i="58"/>
  <c r="AG28" i="58"/>
  <c r="AH28" i="58" s="1"/>
  <c r="AG25" i="58"/>
  <c r="AH25" i="58" s="1"/>
  <c r="AD24" i="58"/>
  <c r="AG24" i="58"/>
  <c r="AH24" i="58" s="1"/>
  <c r="AG21" i="58"/>
  <c r="AH21" i="58" s="1"/>
  <c r="AD20" i="58"/>
  <c r="AG20" i="58"/>
  <c r="AH20" i="58" s="1"/>
  <c r="AG17" i="58"/>
  <c r="AH17" i="58" s="1"/>
  <c r="AD16" i="58"/>
  <c r="AG16" i="58"/>
  <c r="AH16" i="58" s="1"/>
  <c r="AG13" i="58"/>
  <c r="AH13" i="58" s="1"/>
  <c r="AD12" i="58"/>
  <c r="AG12" i="58"/>
  <c r="AH12" i="58" s="1"/>
  <c r="AG9" i="58"/>
  <c r="AH9" i="58" s="1"/>
  <c r="AD8" i="58"/>
  <c r="AG8" i="58"/>
  <c r="AH8" i="58" s="1"/>
  <c r="AJ167" i="58"/>
  <c r="AK167" i="58" s="1"/>
  <c r="AD166" i="58"/>
  <c r="AJ163" i="58"/>
  <c r="AK163" i="58" s="1"/>
  <c r="AD162" i="58"/>
  <c r="AJ159" i="58"/>
  <c r="AK159" i="58" s="1"/>
  <c r="AD158" i="58"/>
  <c r="AJ155" i="58"/>
  <c r="AK155" i="58" s="1"/>
  <c r="AD154" i="58"/>
  <c r="AJ151" i="58"/>
  <c r="AK151" i="58" s="1"/>
  <c r="AD150" i="58"/>
  <c r="AJ147" i="58"/>
  <c r="AK147" i="58" s="1"/>
  <c r="AD146" i="58"/>
  <c r="AJ143" i="58"/>
  <c r="AK143" i="58" s="1"/>
  <c r="AD142" i="58"/>
  <c r="AJ139" i="58"/>
  <c r="AK139" i="58" s="1"/>
  <c r="AD138" i="58"/>
  <c r="AJ135" i="58"/>
  <c r="AK135" i="58" s="1"/>
  <c r="AD134" i="58"/>
  <c r="AJ131" i="58"/>
  <c r="AK131" i="58" s="1"/>
  <c r="AD130" i="58"/>
  <c r="AJ127" i="58"/>
  <c r="AK127" i="58" s="1"/>
  <c r="AD126" i="58"/>
  <c r="AJ123" i="58"/>
  <c r="AK123" i="58" s="1"/>
  <c r="AD122" i="58"/>
  <c r="AJ119" i="58"/>
  <c r="AK119" i="58" s="1"/>
  <c r="AD118" i="58"/>
  <c r="AJ115" i="58"/>
  <c r="AK115" i="58" s="1"/>
  <c r="AD114" i="58"/>
  <c r="AJ111" i="58"/>
  <c r="AK111" i="58" s="1"/>
  <c r="AD110" i="58"/>
  <c r="AJ107" i="58"/>
  <c r="AK107" i="58" s="1"/>
  <c r="AD106" i="58"/>
  <c r="AJ104" i="58"/>
  <c r="AK104" i="58" s="1"/>
  <c r="AD103" i="58"/>
  <c r="AJ100" i="58"/>
  <c r="AK100" i="58" s="1"/>
  <c r="AD99" i="58"/>
  <c r="AJ96" i="58"/>
  <c r="AK96" i="58" s="1"/>
  <c r="AD95" i="58"/>
  <c r="AJ92" i="58"/>
  <c r="AK92" i="58" s="1"/>
  <c r="AD91" i="58"/>
  <c r="AJ88" i="58"/>
  <c r="AK88" i="58" s="1"/>
  <c r="AD87" i="58"/>
  <c r="AJ84" i="58"/>
  <c r="AK84" i="58" s="1"/>
  <c r="AD83" i="58"/>
  <c r="AJ80" i="58"/>
  <c r="AK80" i="58" s="1"/>
  <c r="AD79" i="58"/>
  <c r="AJ76" i="58"/>
  <c r="AK76" i="58" s="1"/>
  <c r="AD75" i="58"/>
  <c r="AJ72" i="58"/>
  <c r="AK72" i="58" s="1"/>
  <c r="AD71" i="58"/>
  <c r="AJ68" i="58"/>
  <c r="AK68" i="58" s="1"/>
  <c r="AD67" i="58"/>
  <c r="AD65" i="58"/>
  <c r="AJ62" i="58"/>
  <c r="AK62" i="58" s="1"/>
  <c r="AD61" i="58"/>
  <c r="AJ58" i="58"/>
  <c r="AK58" i="58" s="1"/>
  <c r="AD57" i="58"/>
  <c r="AJ54" i="58"/>
  <c r="AK54" i="58" s="1"/>
  <c r="AD53" i="58"/>
  <c r="AD50" i="58"/>
  <c r="AJ47" i="58"/>
  <c r="AK47" i="58" s="1"/>
  <c r="AD46" i="58"/>
  <c r="AI46" i="58"/>
  <c r="AI43" i="58"/>
  <c r="AD42" i="58"/>
  <c r="AJ42" i="58"/>
  <c r="AK42" i="58" s="1"/>
  <c r="AI39" i="58"/>
  <c r="AD38" i="58"/>
  <c r="AJ38" i="58"/>
  <c r="AK38" i="58" s="1"/>
  <c r="AI35" i="58"/>
  <c r="AD34" i="58"/>
  <c r="AJ34" i="58"/>
  <c r="AK34" i="58" s="1"/>
  <c r="AI31" i="58"/>
  <c r="AI28" i="58"/>
  <c r="AD27" i="58"/>
  <c r="AJ27" i="58"/>
  <c r="AK27" i="58" s="1"/>
  <c r="AI24" i="58"/>
  <c r="AD23" i="58"/>
  <c r="AJ23" i="58"/>
  <c r="AK23" i="58" s="1"/>
  <c r="AI20" i="58"/>
  <c r="AD19" i="58"/>
  <c r="AJ19" i="58"/>
  <c r="AK19" i="58" s="1"/>
  <c r="AI16" i="58"/>
  <c r="AD15" i="58"/>
  <c r="AJ15" i="58"/>
  <c r="AK15" i="58" s="1"/>
  <c r="AI12" i="58"/>
  <c r="AD11" i="58"/>
  <c r="AJ11" i="58"/>
  <c r="AK11" i="58" s="1"/>
  <c r="AI8" i="58"/>
  <c r="AD7" i="58"/>
  <c r="AJ7" i="58"/>
  <c r="AK7" i="58" s="1"/>
  <c r="T146" i="58"/>
  <c r="AV146" i="58"/>
  <c r="AW146" i="58" s="1"/>
  <c r="D21" i="65" l="1"/>
  <c r="D19" i="65"/>
  <c r="D21" i="57"/>
  <c r="E21" i="57" s="1"/>
  <c r="CD168" i="58"/>
  <c r="CB168" i="58"/>
  <c r="BY168" i="58"/>
  <c r="BS168" i="58"/>
  <c r="BV168" i="58" s="1"/>
  <c r="BW168" i="58" s="1"/>
  <c r="BX168" i="58" s="1"/>
  <c r="BO168" i="58"/>
  <c r="BN168" i="58"/>
  <c r="BL168" i="58"/>
  <c r="BJ168" i="58"/>
  <c r="BH168" i="58"/>
  <c r="BI168" i="58" s="1"/>
  <c r="BE168" i="58"/>
  <c r="BD168" i="58"/>
  <c r="AZ168" i="58"/>
  <c r="BA168" i="58" s="1"/>
  <c r="AV168" i="58"/>
  <c r="AW168" i="58" s="1"/>
  <c r="T168" i="58"/>
  <c r="M168" i="58"/>
  <c r="CD167" i="58"/>
  <c r="CB167" i="58"/>
  <c r="BY167" i="58"/>
  <c r="BS167" i="58"/>
  <c r="BV167" i="58" s="1"/>
  <c r="BW167" i="58" s="1"/>
  <c r="BX167" i="58" s="1"/>
  <c r="BO167" i="58"/>
  <c r="BN167" i="58"/>
  <c r="BL167" i="58"/>
  <c r="BJ167" i="58"/>
  <c r="BH167" i="58"/>
  <c r="BI167" i="58" s="1"/>
  <c r="BE167" i="58"/>
  <c r="BD167" i="58"/>
  <c r="AZ167" i="58"/>
  <c r="BA167" i="58" s="1"/>
  <c r="AV167" i="58"/>
  <c r="T167" i="58"/>
  <c r="M167" i="58"/>
  <c r="D18" i="65" l="1"/>
  <c r="E18" i="65" s="1"/>
  <c r="AX167" i="58"/>
  <c r="AY167" i="58" s="1"/>
  <c r="AW167" i="58"/>
  <c r="AX168" i="58"/>
  <c r="AY168" i="58" s="1"/>
  <c r="AB5" i="63"/>
  <c r="AC7" i="63" l="1"/>
  <c r="AB7" i="63" s="1"/>
  <c r="AA7" i="63" s="1"/>
  <c r="AC53" i="63" l="1"/>
  <c r="AB53" i="63" s="1"/>
  <c r="AA53" i="63" s="1"/>
  <c r="AC51" i="63"/>
  <c r="AB51" i="63" s="1"/>
  <c r="AA51" i="63" s="1"/>
  <c r="F9" i="57" l="1"/>
  <c r="AC68" i="63"/>
  <c r="AB68" i="63" s="1"/>
  <c r="AA68" i="63" s="1"/>
  <c r="AC67" i="63"/>
  <c r="AB67" i="63" s="1"/>
  <c r="AA67" i="63" s="1"/>
  <c r="AC66" i="63"/>
  <c r="AB66" i="63" s="1"/>
  <c r="AA66" i="63" s="1"/>
  <c r="AC64" i="63"/>
  <c r="AB64" i="63" s="1"/>
  <c r="AA64" i="63" s="1"/>
  <c r="AC63" i="63"/>
  <c r="AB63" i="63"/>
  <c r="AC62" i="63"/>
  <c r="AB62" i="63" s="1"/>
  <c r="AA62" i="63" s="1"/>
  <c r="AC61" i="63"/>
  <c r="AB61" i="63"/>
  <c r="AC59" i="63"/>
  <c r="AB59" i="63" s="1"/>
  <c r="AA59" i="63" s="1"/>
  <c r="AC56" i="63"/>
  <c r="AB56" i="63" s="1"/>
  <c r="AA56" i="63" s="1"/>
  <c r="AC55" i="63"/>
  <c r="AB55" i="63" s="1"/>
  <c r="AA55" i="63" s="1"/>
  <c r="AC54" i="63"/>
  <c r="AB54" i="63" s="1"/>
  <c r="AA54" i="63" s="1"/>
  <c r="AC52" i="63"/>
  <c r="AB52" i="63" s="1"/>
  <c r="AA52" i="63" s="1"/>
  <c r="AC50" i="63"/>
  <c r="AB50" i="63"/>
  <c r="AC49" i="63"/>
  <c r="AB49" i="63"/>
  <c r="AC48" i="63"/>
  <c r="AB48" i="63" s="1"/>
  <c r="AA48" i="63" s="1"/>
  <c r="AC47" i="63"/>
  <c r="AB47" i="63"/>
  <c r="AC46" i="63"/>
  <c r="AB46" i="63"/>
  <c r="AC45" i="63"/>
  <c r="AB45" i="63" s="1"/>
  <c r="AA45" i="63" s="1"/>
  <c r="AC42" i="63"/>
  <c r="AB42" i="63" s="1"/>
  <c r="AA42" i="63" s="1"/>
  <c r="AC41" i="63"/>
  <c r="AB41" i="63" s="1"/>
  <c r="AC39" i="63"/>
  <c r="AB39" i="63" s="1"/>
  <c r="AA39" i="63" s="1"/>
  <c r="AC38" i="63"/>
  <c r="AB38" i="63" s="1"/>
  <c r="AA38" i="63" s="1"/>
  <c r="AC37" i="63"/>
  <c r="AB37" i="63" s="1"/>
  <c r="AA37" i="63" s="1"/>
  <c r="AC35" i="63"/>
  <c r="AB35" i="63" s="1"/>
  <c r="AA35" i="63" s="1"/>
  <c r="AC33" i="63"/>
  <c r="AB33" i="63" s="1"/>
  <c r="AA33" i="63" s="1"/>
  <c r="AC32" i="63"/>
  <c r="AB32" i="63" s="1"/>
  <c r="AA32" i="63" s="1"/>
  <c r="AC31" i="63"/>
  <c r="AB31" i="63" s="1"/>
  <c r="AA31" i="63" s="1"/>
  <c r="AC28" i="63"/>
  <c r="AB28" i="63" s="1"/>
  <c r="AA28" i="63" s="1"/>
  <c r="AC27" i="63"/>
  <c r="AB27" i="63" s="1"/>
  <c r="AA27" i="63" s="1"/>
  <c r="AC26" i="63"/>
  <c r="AB26" i="63" s="1"/>
  <c r="AA26" i="63" s="1"/>
  <c r="AC25" i="63"/>
  <c r="AB25" i="63"/>
  <c r="AC24" i="63"/>
  <c r="AB24" i="63"/>
  <c r="AC23" i="63"/>
  <c r="AB23" i="63"/>
  <c r="AC22" i="63"/>
  <c r="AB22" i="63"/>
  <c r="AC21" i="63"/>
  <c r="AB21" i="63"/>
  <c r="AC20" i="63"/>
  <c r="AB20" i="63" s="1"/>
  <c r="AA20" i="63" s="1"/>
  <c r="AC19" i="63"/>
  <c r="AB19" i="63" s="1"/>
  <c r="AA19" i="63" s="1"/>
  <c r="AC18" i="63"/>
  <c r="AB18" i="63"/>
  <c r="AC17" i="63"/>
  <c r="AB17" i="63"/>
  <c r="AC16" i="63"/>
  <c r="AB16" i="63"/>
  <c r="AC15" i="63"/>
  <c r="AB15" i="63"/>
  <c r="AC14" i="63"/>
  <c r="AB14" i="63" s="1"/>
  <c r="AA14" i="63" s="1"/>
  <c r="AC13" i="63"/>
  <c r="AB13" i="63"/>
  <c r="AC12" i="63"/>
  <c r="AB12" i="63"/>
  <c r="AC11" i="63"/>
  <c r="AB11" i="63"/>
  <c r="AC10" i="63"/>
  <c r="AB10" i="63"/>
  <c r="AC9" i="63"/>
  <c r="AB9" i="63"/>
  <c r="AC6" i="63"/>
  <c r="AB6" i="63" s="1"/>
  <c r="AA6" i="63" s="1"/>
  <c r="AC5" i="63"/>
  <c r="AA63" i="63" l="1"/>
  <c r="AA5" i="63"/>
  <c r="AA10" i="63"/>
  <c r="AA50" i="63"/>
  <c r="AA9" i="63"/>
  <c r="AA18" i="63"/>
  <c r="AA46" i="63"/>
  <c r="AA49" i="63"/>
  <c r="AA61" i="63"/>
  <c r="AA41" i="63"/>
  <c r="AA47" i="63"/>
  <c r="CD170" i="58"/>
  <c r="CB170" i="58"/>
  <c r="BS170" i="58"/>
  <c r="BV170" i="58" s="1"/>
  <c r="BW170" i="58" s="1"/>
  <c r="BX170" i="58" s="1"/>
  <c r="BO170" i="58"/>
  <c r="BN170" i="58"/>
  <c r="BL170" i="58"/>
  <c r="BJ170" i="58"/>
  <c r="BH170" i="58"/>
  <c r="BI170" i="58" s="1"/>
  <c r="BE170" i="58"/>
  <c r="BD170" i="58"/>
  <c r="AZ170" i="58"/>
  <c r="BA170" i="58" s="1"/>
  <c r="AV170" i="58"/>
  <c r="AN170" i="58"/>
  <c r="AM170" i="58"/>
  <c r="AL170" i="58"/>
  <c r="AE170" i="58"/>
  <c r="AF170" i="58" s="1"/>
  <c r="AC170" i="58"/>
  <c r="T170" i="58"/>
  <c r="AX170" i="58" l="1"/>
  <c r="AY170" i="58" s="1"/>
  <c r="AW170" i="58"/>
  <c r="AJ170" i="58"/>
  <c r="AK170" i="58" s="1"/>
  <c r="AG170" i="58"/>
  <c r="AH170" i="58" s="1"/>
  <c r="AI170" i="58"/>
  <c r="AD170" i="58"/>
  <c r="N55" i="63"/>
  <c r="K55" i="63"/>
  <c r="F10" i="57" l="1"/>
  <c r="C12" i="57"/>
  <c r="CD169" i="58" l="1"/>
  <c r="BS169" i="58"/>
  <c r="BV169" i="58" s="1"/>
  <c r="BW169" i="58" s="1"/>
  <c r="BX169" i="58" s="1"/>
  <c r="BO179" i="58"/>
  <c r="BN179" i="58"/>
  <c r="BO169" i="58"/>
  <c r="BN169" i="58"/>
  <c r="BO166" i="58"/>
  <c r="BN166" i="58"/>
  <c r="BO165" i="58"/>
  <c r="BN165" i="58"/>
  <c r="BO164" i="58"/>
  <c r="BN164" i="58"/>
  <c r="BO163" i="58"/>
  <c r="BN163" i="58"/>
  <c r="BO162" i="58"/>
  <c r="BN162" i="58"/>
  <c r="BO161" i="58"/>
  <c r="BN161" i="58"/>
  <c r="BO160" i="58"/>
  <c r="BN160" i="58"/>
  <c r="BO159" i="58"/>
  <c r="BN159" i="58"/>
  <c r="BO158" i="58"/>
  <c r="BN158" i="58"/>
  <c r="BO157" i="58"/>
  <c r="BN157" i="58"/>
  <c r="BO156" i="58"/>
  <c r="BN156" i="58"/>
  <c r="BO155" i="58"/>
  <c r="BN155" i="58"/>
  <c r="BL179" i="58"/>
  <c r="BL169" i="58"/>
  <c r="BL166" i="58"/>
  <c r="BL165" i="58"/>
  <c r="BL164" i="58"/>
  <c r="BL163" i="58"/>
  <c r="BL162" i="58"/>
  <c r="BL161" i="58"/>
  <c r="BL160" i="58"/>
  <c r="BL159" i="58"/>
  <c r="BL158" i="58"/>
  <c r="BL157" i="58"/>
  <c r="BL156" i="58"/>
  <c r="BL155" i="58"/>
  <c r="BL154" i="58"/>
  <c r="BJ179" i="58"/>
  <c r="BH179" i="58"/>
  <c r="BI179" i="58" s="1"/>
  <c r="BJ169" i="58"/>
  <c r="BH169" i="58"/>
  <c r="BI169" i="58" s="1"/>
  <c r="BJ166" i="58"/>
  <c r="BH166" i="58"/>
  <c r="BI166" i="58" s="1"/>
  <c r="BJ165" i="58"/>
  <c r="BH165" i="58"/>
  <c r="BI165" i="58" s="1"/>
  <c r="BJ164" i="58"/>
  <c r="BH164" i="58"/>
  <c r="BI164" i="58" s="1"/>
  <c r="BJ163" i="58"/>
  <c r="BH163" i="58"/>
  <c r="BI163" i="58" s="1"/>
  <c r="BJ162" i="58"/>
  <c r="BH162" i="58"/>
  <c r="BI162" i="58" s="1"/>
  <c r="BJ161" i="58"/>
  <c r="BH161" i="58"/>
  <c r="BI161" i="58" s="1"/>
  <c r="BJ160" i="58"/>
  <c r="BH160" i="58"/>
  <c r="BI160" i="58" s="1"/>
  <c r="BJ159" i="58"/>
  <c r="BH159" i="58"/>
  <c r="BI159" i="58" s="1"/>
  <c r="BJ158" i="58"/>
  <c r="BH158" i="58"/>
  <c r="BI158" i="58" s="1"/>
  <c r="BJ157" i="58"/>
  <c r="BH157" i="58"/>
  <c r="BI157" i="58" s="1"/>
  <c r="BJ156" i="58"/>
  <c r="BH156" i="58"/>
  <c r="BI156" i="58" s="1"/>
  <c r="BJ155" i="58"/>
  <c r="BH155" i="58"/>
  <c r="BI155" i="58" s="1"/>
  <c r="AZ179" i="58"/>
  <c r="BA179" i="58" s="1"/>
  <c r="AV179" i="58"/>
  <c r="AW179" i="58" s="1"/>
  <c r="BA178" i="58"/>
  <c r="AZ169" i="58"/>
  <c r="BA169" i="58" s="1"/>
  <c r="AV169" i="58"/>
  <c r="AW169" i="58" s="1"/>
  <c r="AZ166" i="58"/>
  <c r="BA166" i="58" s="1"/>
  <c r="AV166" i="58"/>
  <c r="AW166" i="58" s="1"/>
  <c r="AZ165" i="58"/>
  <c r="BA165" i="58" s="1"/>
  <c r="AV165" i="58"/>
  <c r="AW165" i="58" s="1"/>
  <c r="AZ164" i="58"/>
  <c r="BA164" i="58" s="1"/>
  <c r="AV164" i="58"/>
  <c r="AW164" i="58" s="1"/>
  <c r="AZ163" i="58"/>
  <c r="BA163" i="58" s="1"/>
  <c r="AV163" i="58"/>
  <c r="AW163" i="58" s="1"/>
  <c r="AZ162" i="58"/>
  <c r="BA162" i="58" s="1"/>
  <c r="AV162" i="58"/>
  <c r="AW162" i="58" s="1"/>
  <c r="AZ161" i="58"/>
  <c r="BA161" i="58" s="1"/>
  <c r="AV161" i="58"/>
  <c r="AW161" i="58" s="1"/>
  <c r="AZ160" i="58"/>
  <c r="BA160" i="58" s="1"/>
  <c r="AV160" i="58"/>
  <c r="AW160" i="58" s="1"/>
  <c r="AZ159" i="58"/>
  <c r="BA159" i="58" s="1"/>
  <c r="AV159" i="58"/>
  <c r="AW159" i="58" s="1"/>
  <c r="AZ158" i="58"/>
  <c r="BA158" i="58" s="1"/>
  <c r="AV158" i="58"/>
  <c r="AW158" i="58" s="1"/>
  <c r="AZ157" i="58"/>
  <c r="BA157" i="58" s="1"/>
  <c r="AV157" i="58"/>
  <c r="AW157" i="58" s="1"/>
  <c r="AZ156" i="58"/>
  <c r="BA156" i="58" s="1"/>
  <c r="AV156" i="58"/>
  <c r="AW156" i="58" s="1"/>
  <c r="AZ155" i="58"/>
  <c r="BA155" i="58" s="1"/>
  <c r="AV155" i="58"/>
  <c r="AW155" i="58" s="1"/>
  <c r="AV154" i="58"/>
  <c r="BJ154" i="58"/>
  <c r="BJ153" i="58"/>
  <c r="BJ152" i="58"/>
  <c r="BJ151" i="58"/>
  <c r="BJ150" i="58"/>
  <c r="BJ149" i="58"/>
  <c r="BJ148" i="58"/>
  <c r="BJ147" i="58"/>
  <c r="BJ146" i="58"/>
  <c r="BJ145" i="58"/>
  <c r="BJ144" i="58"/>
  <c r="BJ143" i="58"/>
  <c r="BJ142" i="58"/>
  <c r="BJ141" i="58"/>
  <c r="BJ140" i="58"/>
  <c r="BJ139" i="58"/>
  <c r="BJ138" i="58"/>
  <c r="BJ137" i="58"/>
  <c r="BJ136" i="58"/>
  <c r="BJ135" i="58"/>
  <c r="BJ134" i="58"/>
  <c r="BJ133" i="58"/>
  <c r="BJ132" i="58"/>
  <c r="BJ131" i="58"/>
  <c r="BJ130" i="58"/>
  <c r="BJ129" i="58"/>
  <c r="BJ128" i="58"/>
  <c r="BJ127" i="58"/>
  <c r="BJ126" i="58"/>
  <c r="BJ125" i="58"/>
  <c r="BJ124" i="58"/>
  <c r="BJ123" i="58"/>
  <c r="BJ122" i="58"/>
  <c r="BJ121" i="58"/>
  <c r="BJ120" i="58"/>
  <c r="BJ119" i="58"/>
  <c r="BJ118" i="58"/>
  <c r="BJ117" i="58"/>
  <c r="BJ116" i="58"/>
  <c r="BJ115" i="58"/>
  <c r="BJ114" i="58"/>
  <c r="BJ113" i="58"/>
  <c r="BJ112" i="58"/>
  <c r="BJ111" i="58"/>
  <c r="BJ110" i="58"/>
  <c r="BJ109" i="58"/>
  <c r="BJ108" i="58"/>
  <c r="BJ107" i="58"/>
  <c r="BJ106" i="58"/>
  <c r="BJ105" i="58"/>
  <c r="BJ104" i="58"/>
  <c r="BJ103" i="58"/>
  <c r="BJ102" i="58"/>
  <c r="BJ101" i="58"/>
  <c r="BJ100" i="58"/>
  <c r="BJ99" i="58"/>
  <c r="BJ98" i="58"/>
  <c r="BJ97" i="58"/>
  <c r="BJ96" i="58"/>
  <c r="BJ95" i="58"/>
  <c r="BJ94" i="58"/>
  <c r="BJ93" i="58"/>
  <c r="BJ92" i="58"/>
  <c r="BJ91" i="58"/>
  <c r="BJ90" i="58"/>
  <c r="BJ89" i="58"/>
  <c r="BJ88" i="58"/>
  <c r="BJ87" i="58"/>
  <c r="BJ86" i="58"/>
  <c r="BJ85" i="58"/>
  <c r="BJ84" i="58"/>
  <c r="BJ83" i="58"/>
  <c r="BJ82" i="58"/>
  <c r="BJ81" i="58"/>
  <c r="BJ80" i="58"/>
  <c r="BJ79" i="58"/>
  <c r="BJ78" i="58"/>
  <c r="BJ77" i="58"/>
  <c r="BJ76" i="58"/>
  <c r="BJ75" i="58"/>
  <c r="BJ74" i="58"/>
  <c r="BJ73" i="58"/>
  <c r="BJ72" i="58"/>
  <c r="BJ71" i="58"/>
  <c r="BJ70" i="58"/>
  <c r="BJ69" i="58"/>
  <c r="BJ68" i="58"/>
  <c r="BJ67" i="58"/>
  <c r="BJ66" i="58"/>
  <c r="BJ65" i="58"/>
  <c r="BJ64" i="58"/>
  <c r="BJ63" i="58"/>
  <c r="BJ62" i="58"/>
  <c r="BJ61" i="58"/>
  <c r="BJ60" i="58"/>
  <c r="BJ59" i="58"/>
  <c r="BJ58" i="58"/>
  <c r="BJ57" i="58"/>
  <c r="BJ56" i="58"/>
  <c r="BJ55" i="58"/>
  <c r="BJ54" i="58"/>
  <c r="BJ53" i="58"/>
  <c r="BJ52" i="58"/>
  <c r="BJ51" i="58"/>
  <c r="BJ50" i="58"/>
  <c r="BJ49" i="58"/>
  <c r="BJ48" i="58"/>
  <c r="BJ47" i="58"/>
  <c r="BJ46" i="58"/>
  <c r="BJ45" i="58"/>
  <c r="BJ44" i="58"/>
  <c r="BJ43" i="58"/>
  <c r="BJ42" i="58"/>
  <c r="BJ41" i="58"/>
  <c r="BJ40" i="58"/>
  <c r="BJ39" i="58"/>
  <c r="BJ38" i="58"/>
  <c r="BJ37" i="58"/>
  <c r="BJ36" i="58"/>
  <c r="BJ35" i="58"/>
  <c r="BJ34" i="58"/>
  <c r="BJ33" i="58"/>
  <c r="BJ32" i="58"/>
  <c r="BJ31" i="58"/>
  <c r="BJ30" i="58"/>
  <c r="BJ29" i="58"/>
  <c r="BJ28" i="58"/>
  <c r="BJ27" i="58"/>
  <c r="BJ26" i="58"/>
  <c r="BJ25" i="58"/>
  <c r="BJ24" i="58"/>
  <c r="BJ23" i="58"/>
  <c r="BJ22" i="58"/>
  <c r="BJ21" i="58"/>
  <c r="BJ20" i="58"/>
  <c r="BJ19" i="58"/>
  <c r="BJ18" i="58"/>
  <c r="BJ17" i="58"/>
  <c r="BJ16" i="58"/>
  <c r="BJ15" i="58"/>
  <c r="BJ14" i="58"/>
  <c r="BJ13" i="58"/>
  <c r="BJ12" i="58"/>
  <c r="BJ11" i="58"/>
  <c r="BJ10" i="58"/>
  <c r="BJ9" i="58"/>
  <c r="BJ8" i="58"/>
  <c r="BJ7" i="58"/>
  <c r="BJ6" i="58"/>
  <c r="BJ5" i="58"/>
  <c r="AN169" i="58"/>
  <c r="AM169" i="58"/>
  <c r="AL169" i="58"/>
  <c r="AE169" i="58"/>
  <c r="AF169" i="58" s="1"/>
  <c r="AC169" i="58"/>
  <c r="T169" i="58"/>
  <c r="T5" i="58"/>
  <c r="T6" i="58"/>
  <c r="T7" i="58"/>
  <c r="T8" i="58"/>
  <c r="T9" i="58"/>
  <c r="T10" i="58"/>
  <c r="T11" i="58"/>
  <c r="T12" i="58"/>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7" i="58"/>
  <c r="T148" i="58"/>
  <c r="T149" i="58"/>
  <c r="T150" i="58"/>
  <c r="T151" i="58"/>
  <c r="T152" i="58"/>
  <c r="T153" i="58"/>
  <c r="T154" i="58"/>
  <c r="T155" i="58"/>
  <c r="T156" i="58"/>
  <c r="T157" i="58"/>
  <c r="T158" i="58"/>
  <c r="T159" i="58"/>
  <c r="T160" i="58"/>
  <c r="T161" i="58"/>
  <c r="T162" i="58"/>
  <c r="T163" i="58"/>
  <c r="T164" i="58"/>
  <c r="T165" i="58"/>
  <c r="T166" i="58"/>
  <c r="T179" i="58"/>
  <c r="AV5" i="58"/>
  <c r="AW5" i="58" s="1"/>
  <c r="AZ5" i="58"/>
  <c r="BD5" i="58"/>
  <c r="BE5" i="58"/>
  <c r="BH5" i="58"/>
  <c r="BI5" i="58" s="1"/>
  <c r="BL5" i="58"/>
  <c r="BN5" i="58"/>
  <c r="BO5" i="58"/>
  <c r="BS5" i="58"/>
  <c r="BV5" i="58" s="1"/>
  <c r="BW5" i="58" s="1"/>
  <c r="BX5" i="58" s="1"/>
  <c r="BY5" i="58"/>
  <c r="CB5" i="58"/>
  <c r="CD5" i="58"/>
  <c r="AV6" i="58"/>
  <c r="AW6" i="58" s="1"/>
  <c r="AZ6" i="58"/>
  <c r="BD6" i="58"/>
  <c r="BE6" i="58"/>
  <c r="BH6" i="58"/>
  <c r="BI6" i="58" s="1"/>
  <c r="BL6" i="58"/>
  <c r="BN6" i="58"/>
  <c r="BO6" i="58"/>
  <c r="BS6" i="58"/>
  <c r="BV6" i="58" s="1"/>
  <c r="BW6" i="58" s="1"/>
  <c r="BX6" i="58" s="1"/>
  <c r="BY6" i="58"/>
  <c r="CB6" i="58"/>
  <c r="CD6" i="58"/>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M121" i="58"/>
  <c r="M122" i="58"/>
  <c r="M123" i="58"/>
  <c r="M124" i="58"/>
  <c r="M125" i="58"/>
  <c r="M126" i="58"/>
  <c r="M127" i="58"/>
  <c r="M128" i="58"/>
  <c r="M129" i="58"/>
  <c r="M130" i="58"/>
  <c r="M131" i="58"/>
  <c r="M132" i="58"/>
  <c r="M133" i="58"/>
  <c r="M134" i="58"/>
  <c r="M135" i="58"/>
  <c r="M136" i="58"/>
  <c r="M137" i="58"/>
  <c r="M138" i="58"/>
  <c r="M139" i="58"/>
  <c r="M140" i="58"/>
  <c r="M141" i="58"/>
  <c r="M142" i="58"/>
  <c r="M143" i="58"/>
  <c r="M144" i="58"/>
  <c r="M145" i="58"/>
  <c r="M146" i="58"/>
  <c r="M147" i="58"/>
  <c r="M148" i="58"/>
  <c r="M149" i="58"/>
  <c r="M150" i="58"/>
  <c r="M151" i="58"/>
  <c r="M152" i="58"/>
  <c r="M153" i="58"/>
  <c r="M154" i="58"/>
  <c r="M155" i="58"/>
  <c r="M156" i="58"/>
  <c r="M157" i="58"/>
  <c r="M158" i="58"/>
  <c r="M159" i="58"/>
  <c r="M160" i="58"/>
  <c r="M161" i="58"/>
  <c r="M162" i="58"/>
  <c r="M163" i="58"/>
  <c r="M164" i="58"/>
  <c r="M165" i="58"/>
  <c r="M166" i="58"/>
  <c r="AX6" i="58" l="1"/>
  <c r="AY6" i="58" s="1"/>
  <c r="AX5" i="58"/>
  <c r="AY5" i="58" s="1"/>
  <c r="AJ169" i="58"/>
  <c r="AK169" i="58" s="1"/>
  <c r="BA6" i="58"/>
  <c r="BA5" i="58"/>
  <c r="AX155" i="58"/>
  <c r="AY155" i="58" s="1"/>
  <c r="AX156" i="58"/>
  <c r="AY156" i="58" s="1"/>
  <c r="AX157" i="58"/>
  <c r="AY157" i="58" s="1"/>
  <c r="AX158" i="58"/>
  <c r="AY158" i="58" s="1"/>
  <c r="AX159" i="58"/>
  <c r="AY159" i="58" s="1"/>
  <c r="AX160" i="58"/>
  <c r="AY160" i="58" s="1"/>
  <c r="AX161" i="58"/>
  <c r="AY161" i="58" s="1"/>
  <c r="AX162" i="58"/>
  <c r="AY162" i="58" s="1"/>
  <c r="AX163" i="58"/>
  <c r="AY163" i="58" s="1"/>
  <c r="AX164" i="58"/>
  <c r="AY164" i="58" s="1"/>
  <c r="AX165" i="58"/>
  <c r="AY165" i="58" s="1"/>
  <c r="AX166" i="58"/>
  <c r="AY166" i="58" s="1"/>
  <c r="AX169" i="58"/>
  <c r="AY169" i="58" s="1"/>
  <c r="AY178" i="58"/>
  <c r="AX179" i="58"/>
  <c r="AY179" i="58" s="1"/>
  <c r="AG169" i="58"/>
  <c r="AH169" i="58" s="1"/>
  <c r="AI169" i="58"/>
  <c r="AD169" i="58"/>
  <c r="BY179" i="58"/>
  <c r="BY166" i="58"/>
  <c r="BY165" i="58"/>
  <c r="BY164" i="58"/>
  <c r="BY163" i="58"/>
  <c r="BY162" i="58"/>
  <c r="BY161" i="58"/>
  <c r="BY160" i="58"/>
  <c r="BY159" i="58"/>
  <c r="BY158" i="58"/>
  <c r="BY157" i="58"/>
  <c r="BY156" i="58"/>
  <c r="BY155" i="58"/>
  <c r="BY154" i="58"/>
  <c r="BY153" i="58"/>
  <c r="BY152" i="58"/>
  <c r="BY151" i="58"/>
  <c r="BY150" i="58"/>
  <c r="BY149" i="58"/>
  <c r="BY148" i="58"/>
  <c r="BY147" i="58"/>
  <c r="BY146" i="58"/>
  <c r="BY145" i="58"/>
  <c r="BY144" i="58"/>
  <c r="BY143" i="58"/>
  <c r="BY142" i="58"/>
  <c r="BY141" i="58"/>
  <c r="BY140" i="58"/>
  <c r="BY139" i="58"/>
  <c r="BY138" i="58"/>
  <c r="BY137" i="58"/>
  <c r="BY136" i="58"/>
  <c r="BY135" i="58"/>
  <c r="BY134" i="58"/>
  <c r="BY133" i="58"/>
  <c r="BY132" i="58"/>
  <c r="BY131" i="58"/>
  <c r="BY130" i="58"/>
  <c r="BY129" i="58"/>
  <c r="BY128" i="58"/>
  <c r="BY127" i="58"/>
  <c r="BY126" i="58"/>
  <c r="BY125" i="58"/>
  <c r="BY124" i="58"/>
  <c r="BY123" i="58"/>
  <c r="BY122" i="58"/>
  <c r="BY121" i="58"/>
  <c r="BY120" i="58"/>
  <c r="BY119" i="58"/>
  <c r="BY118" i="58"/>
  <c r="BY117" i="58"/>
  <c r="BY116" i="58"/>
  <c r="BY115" i="58"/>
  <c r="BY114" i="58"/>
  <c r="BY113" i="58"/>
  <c r="BY112" i="58"/>
  <c r="BY111" i="58"/>
  <c r="BY110" i="58"/>
  <c r="BY109" i="58"/>
  <c r="BY108" i="58"/>
  <c r="BY107" i="58"/>
  <c r="BY106" i="58"/>
  <c r="BY105" i="58"/>
  <c r="BY104" i="58"/>
  <c r="BY103" i="58"/>
  <c r="BY102" i="58"/>
  <c r="BY101" i="58"/>
  <c r="BY100" i="58"/>
  <c r="BY99" i="58"/>
  <c r="BY98" i="58"/>
  <c r="BY97" i="58"/>
  <c r="BY96" i="58"/>
  <c r="BY95" i="58"/>
  <c r="BY94" i="58"/>
  <c r="BY93" i="58"/>
  <c r="BY92" i="58"/>
  <c r="BY91" i="58"/>
  <c r="BY90" i="58"/>
  <c r="BY89" i="58"/>
  <c r="BY88" i="58"/>
  <c r="BY87" i="58"/>
  <c r="BY85" i="58"/>
  <c r="BY84" i="58"/>
  <c r="BY83" i="58"/>
  <c r="BY82" i="58"/>
  <c r="BY81" i="58"/>
  <c r="BY80" i="58"/>
  <c r="BY79" i="58"/>
  <c r="BY78" i="58"/>
  <c r="BY77" i="58"/>
  <c r="BY76" i="58"/>
  <c r="BY75" i="58"/>
  <c r="BY74" i="58"/>
  <c r="BY73" i="58"/>
  <c r="BY72" i="58"/>
  <c r="BY71" i="58"/>
  <c r="BY70" i="58"/>
  <c r="BY69" i="58"/>
  <c r="BY68" i="58"/>
  <c r="BY67" i="58"/>
  <c r="BY66" i="58"/>
  <c r="BY65" i="58"/>
  <c r="BY64" i="58"/>
  <c r="BY63" i="58"/>
  <c r="BY62" i="58"/>
  <c r="BY61" i="58"/>
  <c r="BY60" i="58"/>
  <c r="BY59" i="58"/>
  <c r="BY58" i="58"/>
  <c r="BY57" i="58"/>
  <c r="BY56" i="58"/>
  <c r="BY55" i="58"/>
  <c r="BY54" i="58"/>
  <c r="BY53" i="58"/>
  <c r="BY52" i="58"/>
  <c r="BY51" i="58"/>
  <c r="BY50" i="58"/>
  <c r="BY49" i="58"/>
  <c r="BY48" i="58"/>
  <c r="BY47" i="58"/>
  <c r="BY46" i="58"/>
  <c r="BY45" i="58"/>
  <c r="BY44" i="58"/>
  <c r="BY43" i="58"/>
  <c r="BY42" i="58"/>
  <c r="BY41" i="58"/>
  <c r="BY40" i="58"/>
  <c r="BY39" i="58"/>
  <c r="BY38" i="58"/>
  <c r="BY37" i="58"/>
  <c r="BY36" i="58"/>
  <c r="BY35" i="58"/>
  <c r="BY34" i="58"/>
  <c r="BY33" i="58"/>
  <c r="BY32" i="58"/>
  <c r="BY31" i="58"/>
  <c r="BY30" i="58"/>
  <c r="BY29" i="58"/>
  <c r="BY28" i="58"/>
  <c r="BY27" i="58"/>
  <c r="BY26" i="58"/>
  <c r="BY25" i="58"/>
  <c r="BY24" i="58"/>
  <c r="BY23" i="58"/>
  <c r="BY22" i="58"/>
  <c r="BY21" i="58"/>
  <c r="BY20" i="58"/>
  <c r="BY19" i="58"/>
  <c r="BY18" i="58"/>
  <c r="BY17" i="58"/>
  <c r="BY16" i="58"/>
  <c r="BY15" i="58"/>
  <c r="BY14" i="58"/>
  <c r="BY13" i="58"/>
  <c r="BY12" i="58"/>
  <c r="BY11" i="58"/>
  <c r="BY10" i="58"/>
  <c r="BY9" i="58"/>
  <c r="BY8" i="58"/>
  <c r="BY7" i="58"/>
  <c r="BY86" i="58"/>
  <c r="BV179" i="58"/>
  <c r="BW179" i="58" s="1"/>
  <c r="BX179" i="58" s="1"/>
  <c r="BX178" i="58"/>
  <c r="BS166" i="58"/>
  <c r="BV166" i="58" s="1"/>
  <c r="BW166" i="58" s="1"/>
  <c r="BX166" i="58" s="1"/>
  <c r="BS165" i="58"/>
  <c r="BV165" i="58" s="1"/>
  <c r="BW165" i="58" s="1"/>
  <c r="BX165" i="58" s="1"/>
  <c r="BS164" i="58"/>
  <c r="BV164" i="58" s="1"/>
  <c r="BW164" i="58" s="1"/>
  <c r="BX164" i="58" s="1"/>
  <c r="BS163" i="58"/>
  <c r="BV163" i="58" s="1"/>
  <c r="BW163" i="58" s="1"/>
  <c r="BX163" i="58" s="1"/>
  <c r="BS162" i="58"/>
  <c r="BV162" i="58" s="1"/>
  <c r="BW162" i="58" s="1"/>
  <c r="BX162" i="58" s="1"/>
  <c r="BS161" i="58"/>
  <c r="BV161" i="58" s="1"/>
  <c r="BW161" i="58" s="1"/>
  <c r="BX161" i="58" s="1"/>
  <c r="BS160" i="58"/>
  <c r="BV160" i="58" s="1"/>
  <c r="BW160" i="58" s="1"/>
  <c r="BX160" i="58" s="1"/>
  <c r="BS159" i="58"/>
  <c r="BV159" i="58" s="1"/>
  <c r="BW159" i="58" s="1"/>
  <c r="BX159" i="58" s="1"/>
  <c r="BS158" i="58"/>
  <c r="BV158" i="58" s="1"/>
  <c r="BW158" i="58" s="1"/>
  <c r="BX158" i="58" s="1"/>
  <c r="BS157" i="58"/>
  <c r="BV157" i="58" s="1"/>
  <c r="BW157" i="58" s="1"/>
  <c r="BX157" i="58" s="1"/>
  <c r="BS156" i="58"/>
  <c r="BV156" i="58" s="1"/>
  <c r="BS155" i="58"/>
  <c r="BV155" i="58" s="1"/>
  <c r="BS154" i="58"/>
  <c r="BV154" i="58" s="1"/>
  <c r="BS153" i="58"/>
  <c r="BV153" i="58" s="1"/>
  <c r="BS152" i="58"/>
  <c r="BV152" i="58" s="1"/>
  <c r="BS151" i="58"/>
  <c r="BV151" i="58" s="1"/>
  <c r="BS150" i="58"/>
  <c r="BV150" i="58" s="1"/>
  <c r="BS149" i="58"/>
  <c r="BV149" i="58" s="1"/>
  <c r="BS148" i="58"/>
  <c r="BV148" i="58" s="1"/>
  <c r="BS147" i="58"/>
  <c r="BV147" i="58" s="1"/>
  <c r="BS146" i="58"/>
  <c r="BV146" i="58" s="1"/>
  <c r="BS145" i="58"/>
  <c r="BV145" i="58" s="1"/>
  <c r="BS144" i="58"/>
  <c r="BV144" i="58" s="1"/>
  <c r="BS143" i="58"/>
  <c r="BV143" i="58" s="1"/>
  <c r="BS142" i="58"/>
  <c r="BV142" i="58" s="1"/>
  <c r="BS141" i="58"/>
  <c r="BV141" i="58" s="1"/>
  <c r="BS140" i="58"/>
  <c r="BV140" i="58" s="1"/>
  <c r="BS139" i="58"/>
  <c r="BV139" i="58" s="1"/>
  <c r="BS138" i="58"/>
  <c r="BV138" i="58" s="1"/>
  <c r="BS137" i="58"/>
  <c r="BV137" i="58" s="1"/>
  <c r="BS136" i="58"/>
  <c r="BV136" i="58" s="1"/>
  <c r="BS135" i="58"/>
  <c r="BV135" i="58" s="1"/>
  <c r="BS134" i="58"/>
  <c r="BV134" i="58" s="1"/>
  <c r="BS133" i="58"/>
  <c r="BV133" i="58" s="1"/>
  <c r="BS132" i="58"/>
  <c r="BV132" i="58" s="1"/>
  <c r="BS131" i="58"/>
  <c r="BV131" i="58" s="1"/>
  <c r="BS130" i="58"/>
  <c r="BV130" i="58" s="1"/>
  <c r="BS129" i="58"/>
  <c r="BV129" i="58" s="1"/>
  <c r="BS128" i="58"/>
  <c r="BV128" i="58" s="1"/>
  <c r="BS127" i="58"/>
  <c r="BV127" i="58" s="1"/>
  <c r="BS126" i="58"/>
  <c r="BV126" i="58" s="1"/>
  <c r="BS125" i="58"/>
  <c r="BV125" i="58" s="1"/>
  <c r="BS124" i="58"/>
  <c r="BV124" i="58" s="1"/>
  <c r="BS123" i="58"/>
  <c r="BV123" i="58" s="1"/>
  <c r="BS122" i="58"/>
  <c r="BV122" i="58" s="1"/>
  <c r="BS121" i="58"/>
  <c r="BV121" i="58" s="1"/>
  <c r="BS120" i="58"/>
  <c r="BV120" i="58" s="1"/>
  <c r="BS119" i="58"/>
  <c r="BV119" i="58" s="1"/>
  <c r="BS118" i="58"/>
  <c r="BV118" i="58" s="1"/>
  <c r="BS117" i="58"/>
  <c r="BV117" i="58" s="1"/>
  <c r="BS116" i="58"/>
  <c r="BV116" i="58" s="1"/>
  <c r="BS115" i="58"/>
  <c r="BV115" i="58" s="1"/>
  <c r="BS114" i="58"/>
  <c r="BV114" i="58" s="1"/>
  <c r="BS113" i="58"/>
  <c r="BV113" i="58" s="1"/>
  <c r="BS112" i="58"/>
  <c r="BV112" i="58" s="1"/>
  <c r="BS111" i="58"/>
  <c r="BV111" i="58" s="1"/>
  <c r="BS110" i="58"/>
  <c r="BV110" i="58" s="1"/>
  <c r="BS109" i="58"/>
  <c r="BV109" i="58" s="1"/>
  <c r="BS108" i="58"/>
  <c r="BV108" i="58" s="1"/>
  <c r="BS107" i="58"/>
  <c r="BV107" i="58" s="1"/>
  <c r="BS106" i="58"/>
  <c r="BV106" i="58" s="1"/>
  <c r="BS105" i="58"/>
  <c r="BV105" i="58" s="1"/>
  <c r="BS104" i="58"/>
  <c r="BV104" i="58" s="1"/>
  <c r="BS103" i="58"/>
  <c r="BV103" i="58" s="1"/>
  <c r="BS102" i="58"/>
  <c r="BV102" i="58" s="1"/>
  <c r="BS101" i="58"/>
  <c r="BV101" i="58" s="1"/>
  <c r="BS100" i="58"/>
  <c r="BV100" i="58" s="1"/>
  <c r="BS99" i="58"/>
  <c r="BV99" i="58" s="1"/>
  <c r="BS98" i="58"/>
  <c r="BV98" i="58" s="1"/>
  <c r="BS97" i="58"/>
  <c r="BV97" i="58" s="1"/>
  <c r="BS96" i="58"/>
  <c r="BV96" i="58" s="1"/>
  <c r="BS95" i="58"/>
  <c r="BV95" i="58" s="1"/>
  <c r="BS94" i="58"/>
  <c r="BV94" i="58" s="1"/>
  <c r="BS93" i="58"/>
  <c r="BV93" i="58" s="1"/>
  <c r="BS92" i="58"/>
  <c r="BV92" i="58" s="1"/>
  <c r="BS91" i="58"/>
  <c r="BV91" i="58" s="1"/>
  <c r="BS90" i="58"/>
  <c r="BV90" i="58" s="1"/>
  <c r="BS89" i="58"/>
  <c r="BV89" i="58" s="1"/>
  <c r="BS88" i="58"/>
  <c r="BV88" i="58" s="1"/>
  <c r="BS87" i="58"/>
  <c r="BV87" i="58" s="1"/>
  <c r="BS85" i="58"/>
  <c r="BV85" i="58" s="1"/>
  <c r="BS84" i="58"/>
  <c r="BV84" i="58" s="1"/>
  <c r="BS83" i="58"/>
  <c r="BV83" i="58" s="1"/>
  <c r="BS82" i="58"/>
  <c r="BV82" i="58" s="1"/>
  <c r="BS81" i="58"/>
  <c r="BV81" i="58" s="1"/>
  <c r="BS80" i="58"/>
  <c r="BV80" i="58" s="1"/>
  <c r="BS79" i="58"/>
  <c r="BV79" i="58" s="1"/>
  <c r="BS78" i="58"/>
  <c r="BV78" i="58" s="1"/>
  <c r="BS77" i="58"/>
  <c r="BV77" i="58" s="1"/>
  <c r="BS76" i="58"/>
  <c r="BV76" i="58" s="1"/>
  <c r="BS75" i="58"/>
  <c r="BV75" i="58" s="1"/>
  <c r="BS74" i="58"/>
  <c r="BV74" i="58" s="1"/>
  <c r="BS73" i="58"/>
  <c r="BV73" i="58" s="1"/>
  <c r="BS72" i="58"/>
  <c r="BV72" i="58" s="1"/>
  <c r="BS71" i="58"/>
  <c r="BV71" i="58" s="1"/>
  <c r="BS70" i="58"/>
  <c r="BV70" i="58" s="1"/>
  <c r="BS69" i="58"/>
  <c r="BV69" i="58" s="1"/>
  <c r="BS68" i="58"/>
  <c r="BV68" i="58" s="1"/>
  <c r="BS67" i="58"/>
  <c r="BV67" i="58" s="1"/>
  <c r="BS66" i="58"/>
  <c r="BV66" i="58" s="1"/>
  <c r="BS65" i="58"/>
  <c r="BV65" i="58" s="1"/>
  <c r="BS64" i="58"/>
  <c r="BV64" i="58" s="1"/>
  <c r="BS63" i="58"/>
  <c r="BV63" i="58" s="1"/>
  <c r="BS62" i="58"/>
  <c r="BV62" i="58" s="1"/>
  <c r="BS61" i="58"/>
  <c r="BV61" i="58" s="1"/>
  <c r="BS60" i="58"/>
  <c r="BV60" i="58" s="1"/>
  <c r="BS59" i="58"/>
  <c r="BV59" i="58" s="1"/>
  <c r="BS58" i="58"/>
  <c r="BV58" i="58" s="1"/>
  <c r="BS57" i="58"/>
  <c r="BV57" i="58" s="1"/>
  <c r="BS56" i="58"/>
  <c r="BV56" i="58" s="1"/>
  <c r="BS55" i="58"/>
  <c r="BV55" i="58" s="1"/>
  <c r="BS54" i="58"/>
  <c r="BV54" i="58" s="1"/>
  <c r="BS53" i="58"/>
  <c r="BV53" i="58" s="1"/>
  <c r="BS52" i="58"/>
  <c r="BV52" i="58" s="1"/>
  <c r="BS51" i="58"/>
  <c r="BV51" i="58" s="1"/>
  <c r="BS50" i="58"/>
  <c r="BV50" i="58" s="1"/>
  <c r="BS49" i="58"/>
  <c r="BV49" i="58" s="1"/>
  <c r="BS48" i="58"/>
  <c r="BV48" i="58" s="1"/>
  <c r="BS47" i="58"/>
  <c r="BV47" i="58" s="1"/>
  <c r="BS46" i="58"/>
  <c r="BV46" i="58" s="1"/>
  <c r="BS45" i="58"/>
  <c r="BV45" i="58" s="1"/>
  <c r="BS44" i="58"/>
  <c r="BV44" i="58" s="1"/>
  <c r="BS43" i="58"/>
  <c r="BV43" i="58" s="1"/>
  <c r="BS42" i="58"/>
  <c r="BV42" i="58" s="1"/>
  <c r="BS41" i="58"/>
  <c r="BV41" i="58" s="1"/>
  <c r="BS40" i="58"/>
  <c r="BV40" i="58" s="1"/>
  <c r="BS39" i="58"/>
  <c r="BV39" i="58" s="1"/>
  <c r="BS38" i="58"/>
  <c r="BV38" i="58" s="1"/>
  <c r="BS37" i="58"/>
  <c r="BV37" i="58" s="1"/>
  <c r="BS36" i="58"/>
  <c r="BV36" i="58" s="1"/>
  <c r="BS35" i="58"/>
  <c r="BV35" i="58" s="1"/>
  <c r="BS34" i="58"/>
  <c r="BV34" i="58" s="1"/>
  <c r="BS33" i="58"/>
  <c r="BV33" i="58" s="1"/>
  <c r="BS32" i="58"/>
  <c r="BV32" i="58" s="1"/>
  <c r="BS31" i="58"/>
  <c r="BV31" i="58" s="1"/>
  <c r="BS30" i="58"/>
  <c r="BV30" i="58" s="1"/>
  <c r="BS29" i="58"/>
  <c r="BV29" i="58" s="1"/>
  <c r="BS28" i="58"/>
  <c r="BV28" i="58" s="1"/>
  <c r="BS27" i="58"/>
  <c r="BV27" i="58" s="1"/>
  <c r="BS26" i="58"/>
  <c r="BV26" i="58" s="1"/>
  <c r="BS25" i="58"/>
  <c r="BV25" i="58" s="1"/>
  <c r="BS24" i="58"/>
  <c r="BV24" i="58" s="1"/>
  <c r="BS23" i="58"/>
  <c r="BV23" i="58" s="1"/>
  <c r="BS22" i="58"/>
  <c r="BV22" i="58" s="1"/>
  <c r="BS21" i="58"/>
  <c r="BV21" i="58" s="1"/>
  <c r="BS20" i="58"/>
  <c r="BV20" i="58" s="1"/>
  <c r="BS19" i="58"/>
  <c r="BV19" i="58" s="1"/>
  <c r="BS18" i="58"/>
  <c r="BV18" i="58" s="1"/>
  <c r="BS17" i="58"/>
  <c r="BV17" i="58" s="1"/>
  <c r="BS16" i="58"/>
  <c r="BV16" i="58" s="1"/>
  <c r="BS15" i="58"/>
  <c r="BV15" i="58" s="1"/>
  <c r="BS14" i="58"/>
  <c r="BV14" i="58" s="1"/>
  <c r="BS13" i="58"/>
  <c r="BV13" i="58" s="1"/>
  <c r="BS12" i="58"/>
  <c r="BV12" i="58" s="1"/>
  <c r="BS11" i="58"/>
  <c r="BV11" i="58" s="1"/>
  <c r="BS10" i="58"/>
  <c r="BV10" i="58" s="1"/>
  <c r="BS9" i="58"/>
  <c r="BV9" i="58" s="1"/>
  <c r="BS8" i="58"/>
  <c r="BV8" i="58" s="1"/>
  <c r="BS7" i="58"/>
  <c r="BV7" i="58" s="1"/>
  <c r="BS86" i="58"/>
  <c r="BV86" i="58" s="1"/>
  <c r="BH154" i="58"/>
  <c r="BH153" i="58"/>
  <c r="BH152" i="58"/>
  <c r="BH151" i="58"/>
  <c r="BH150" i="58"/>
  <c r="BH149" i="58"/>
  <c r="BH148" i="58"/>
  <c r="BH147" i="58"/>
  <c r="BH146" i="58"/>
  <c r="BH145" i="58"/>
  <c r="BH144" i="58"/>
  <c r="BH143" i="58"/>
  <c r="BH142" i="58"/>
  <c r="BH141" i="58"/>
  <c r="BH140" i="58"/>
  <c r="BH139" i="58"/>
  <c r="BH138" i="58"/>
  <c r="BH137" i="58"/>
  <c r="BH136" i="58"/>
  <c r="BH135" i="58"/>
  <c r="BH134" i="58"/>
  <c r="BH133" i="58"/>
  <c r="BH132" i="58"/>
  <c r="BH131" i="58"/>
  <c r="BH130" i="58"/>
  <c r="BH129" i="58"/>
  <c r="BH128" i="58"/>
  <c r="BH127" i="58"/>
  <c r="BH126" i="58"/>
  <c r="BH125" i="58"/>
  <c r="BH124" i="58"/>
  <c r="BH123" i="58"/>
  <c r="BH122" i="58"/>
  <c r="BH121" i="58"/>
  <c r="BH120" i="58"/>
  <c r="BH119" i="58"/>
  <c r="BH118" i="58"/>
  <c r="BH117" i="58"/>
  <c r="BH116" i="58"/>
  <c r="BH115" i="58"/>
  <c r="BH114" i="58"/>
  <c r="BH113" i="58"/>
  <c r="BH112" i="58"/>
  <c r="BH111" i="58"/>
  <c r="BH110" i="58"/>
  <c r="BH109" i="58"/>
  <c r="BH108" i="58"/>
  <c r="BH107" i="58"/>
  <c r="BH106" i="58"/>
  <c r="BH105" i="58"/>
  <c r="BH104" i="58"/>
  <c r="BH103" i="58"/>
  <c r="BH102" i="58"/>
  <c r="BH101" i="58"/>
  <c r="BH100" i="58"/>
  <c r="BH99" i="58"/>
  <c r="BH98" i="58"/>
  <c r="BH97" i="58"/>
  <c r="BH96" i="58"/>
  <c r="BH95" i="58"/>
  <c r="BH94" i="58"/>
  <c r="BH93" i="58"/>
  <c r="BH92" i="58"/>
  <c r="BH91" i="58"/>
  <c r="BH90" i="58"/>
  <c r="BH89" i="58"/>
  <c r="BH88" i="58"/>
  <c r="BH87" i="58"/>
  <c r="BH86" i="58"/>
  <c r="BH85" i="58"/>
  <c r="BH84" i="58"/>
  <c r="BH83" i="58"/>
  <c r="BH82" i="58"/>
  <c r="BH81" i="58"/>
  <c r="BH80" i="58"/>
  <c r="BH79" i="58"/>
  <c r="BH78" i="58"/>
  <c r="BH77" i="58"/>
  <c r="BH76" i="58"/>
  <c r="BH75" i="58"/>
  <c r="BH74" i="58"/>
  <c r="BH73" i="58"/>
  <c r="BH72" i="58"/>
  <c r="BH71" i="58"/>
  <c r="BH70" i="58"/>
  <c r="BH69" i="58"/>
  <c r="BH68" i="58"/>
  <c r="BH67" i="58"/>
  <c r="BH66" i="58"/>
  <c r="BH65" i="58"/>
  <c r="BH64" i="58"/>
  <c r="BH63" i="58"/>
  <c r="BH62" i="58"/>
  <c r="BH61" i="58"/>
  <c r="BH60" i="58"/>
  <c r="BH59" i="58"/>
  <c r="BH58" i="58"/>
  <c r="BH57" i="58"/>
  <c r="BH56" i="58"/>
  <c r="BH55" i="58"/>
  <c r="BH54" i="58"/>
  <c r="BH53" i="58"/>
  <c r="BH52" i="58"/>
  <c r="BH51" i="58"/>
  <c r="BH50" i="58"/>
  <c r="BH49" i="58"/>
  <c r="BH48" i="58"/>
  <c r="BH47" i="58"/>
  <c r="BH46" i="58"/>
  <c r="BH45" i="58"/>
  <c r="BH44" i="58"/>
  <c r="BH43" i="58"/>
  <c r="BH42" i="58"/>
  <c r="BH41" i="58"/>
  <c r="BH40" i="58"/>
  <c r="BH39" i="58"/>
  <c r="BH38" i="58"/>
  <c r="BH37" i="58"/>
  <c r="BH36" i="58"/>
  <c r="BH35" i="58"/>
  <c r="BH34" i="58"/>
  <c r="BH33" i="58"/>
  <c r="BH32" i="58"/>
  <c r="BH31" i="58"/>
  <c r="BH30" i="58"/>
  <c r="BH29" i="58"/>
  <c r="BH28" i="58"/>
  <c r="BH27" i="58"/>
  <c r="BH26" i="58"/>
  <c r="BH25" i="58"/>
  <c r="BH24" i="58"/>
  <c r="BH23" i="58"/>
  <c r="BH22" i="58"/>
  <c r="BH21" i="58"/>
  <c r="BH20" i="58"/>
  <c r="BH19" i="58"/>
  <c r="BH18" i="58"/>
  <c r="BH17" i="58"/>
  <c r="BH16" i="58"/>
  <c r="BH15" i="58"/>
  <c r="BH14" i="58"/>
  <c r="BH13" i="58"/>
  <c r="BH12" i="58"/>
  <c r="BH11" i="58"/>
  <c r="BH10" i="58"/>
  <c r="BH9" i="58"/>
  <c r="BH8" i="58"/>
  <c r="BH7" i="58"/>
  <c r="E11" i="54" l="1"/>
  <c r="L68" i="63"/>
  <c r="M68" i="63" s="1"/>
  <c r="K68" i="63"/>
  <c r="T67" i="63"/>
  <c r="Q67" i="63"/>
  <c r="P67" i="63"/>
  <c r="N67" i="63"/>
  <c r="L67" i="63"/>
  <c r="K67" i="63"/>
  <c r="K66" i="63"/>
  <c r="L64" i="63"/>
  <c r="P64" i="63" s="1"/>
  <c r="K64" i="63"/>
  <c r="P63" i="63"/>
  <c r="M63" i="63"/>
  <c r="K63" i="63"/>
  <c r="N62" i="63"/>
  <c r="K62" i="63"/>
  <c r="N61" i="63"/>
  <c r="K61" i="63"/>
  <c r="N59" i="63"/>
  <c r="N56" i="63"/>
  <c r="K56" i="63"/>
  <c r="N54" i="63"/>
  <c r="K54" i="63"/>
  <c r="N52" i="63"/>
  <c r="K52" i="63"/>
  <c r="AG50" i="63"/>
  <c r="AF50" i="63"/>
  <c r="AE50" i="63"/>
  <c r="M50" i="63"/>
  <c r="N50" i="63" s="1"/>
  <c r="K50" i="63"/>
  <c r="N49" i="63"/>
  <c r="K49" i="63"/>
  <c r="U48" i="63"/>
  <c r="M48" i="63"/>
  <c r="N48" i="63" s="1"/>
  <c r="K48" i="63"/>
  <c r="AG47" i="63"/>
  <c r="AF47" i="63"/>
  <c r="AE47" i="63"/>
  <c r="K47" i="63"/>
  <c r="V46" i="63"/>
  <c r="U46" i="63"/>
  <c r="T46" i="63"/>
  <c r="N46" i="63"/>
  <c r="K46" i="63"/>
  <c r="N45" i="63"/>
  <c r="O42" i="63"/>
  <c r="O67" i="63" s="1"/>
  <c r="M42" i="63"/>
  <c r="M67" i="63" s="1"/>
  <c r="K42" i="63"/>
  <c r="N41" i="63"/>
  <c r="K41" i="63"/>
  <c r="K40" i="63"/>
  <c r="N39" i="63"/>
  <c r="K39" i="63"/>
  <c r="N38" i="63"/>
  <c r="K38" i="63"/>
  <c r="K33" i="63"/>
  <c r="K32" i="63"/>
  <c r="U31" i="63"/>
  <c r="T31" i="63"/>
  <c r="L31" i="63"/>
  <c r="M31" i="63" s="1"/>
  <c r="N31" i="63" s="1"/>
  <c r="K31" i="63"/>
  <c r="K28" i="63"/>
  <c r="Z25" i="63"/>
  <c r="AA25" i="63" s="1"/>
  <c r="N25" i="63"/>
  <c r="K25" i="63"/>
  <c r="AG24" i="63"/>
  <c r="AE24" i="63"/>
  <c r="Z24" i="63"/>
  <c r="AA24" i="63" s="1"/>
  <c r="Q24" i="63"/>
  <c r="M24" i="63"/>
  <c r="N24" i="63" s="1"/>
  <c r="K24" i="63"/>
  <c r="Z23" i="63"/>
  <c r="AA23" i="63" s="1"/>
  <c r="N23" i="63"/>
  <c r="K23" i="63"/>
  <c r="Z22" i="63"/>
  <c r="AA22" i="63" s="1"/>
  <c r="N22" i="63"/>
  <c r="K22" i="63"/>
  <c r="Z21" i="63"/>
  <c r="AA21" i="63" s="1"/>
  <c r="N21" i="63"/>
  <c r="K21" i="63"/>
  <c r="N20" i="63"/>
  <c r="K20" i="63"/>
  <c r="Q19" i="63"/>
  <c r="N19" i="63"/>
  <c r="K19" i="63"/>
  <c r="N18" i="63"/>
  <c r="K18" i="63"/>
  <c r="Z17" i="63"/>
  <c r="AA17" i="63" s="1"/>
  <c r="K17" i="63"/>
  <c r="AG16" i="63"/>
  <c r="AE16" i="63"/>
  <c r="Z16" i="63"/>
  <c r="AA16" i="63" s="1"/>
  <c r="N16" i="63"/>
  <c r="K16" i="63"/>
  <c r="Z15" i="63"/>
  <c r="AA15" i="63" s="1"/>
  <c r="K15" i="63"/>
  <c r="Z13" i="63"/>
  <c r="AA13" i="63" s="1"/>
  <c r="K13" i="63"/>
  <c r="Z12" i="63"/>
  <c r="AA12" i="63" s="1"/>
  <c r="K12" i="63"/>
  <c r="AG11" i="63"/>
  <c r="AF11" i="63"/>
  <c r="AE11" i="63"/>
  <c r="Z11" i="63"/>
  <c r="AA11" i="63" s="1"/>
  <c r="K11" i="63"/>
  <c r="N10" i="63"/>
  <c r="K10" i="63"/>
  <c r="N9" i="63"/>
  <c r="K9" i="63"/>
  <c r="N6" i="63"/>
  <c r="K6" i="63"/>
  <c r="N5" i="63"/>
  <c r="K5" i="63"/>
  <c r="CD179" i="58"/>
  <c r="CB179" i="58"/>
  <c r="BE179" i="58"/>
  <c r="BD179" i="58"/>
  <c r="AN179" i="58"/>
  <c r="AM179" i="58"/>
  <c r="AL179" i="58"/>
  <c r="AE179" i="58"/>
  <c r="AF179" i="58" s="1"/>
  <c r="AC179" i="58"/>
  <c r="AI179" i="58" s="1"/>
  <c r="CD166" i="58"/>
  <c r="CB166" i="58"/>
  <c r="BE166" i="58"/>
  <c r="BD166" i="58"/>
  <c r="CD165" i="58"/>
  <c r="CB165" i="58"/>
  <c r="BE165" i="58"/>
  <c r="BD165" i="58"/>
  <c r="CD164" i="58"/>
  <c r="CB164" i="58"/>
  <c r="BE164" i="58"/>
  <c r="BD164" i="58"/>
  <c r="CD163" i="58"/>
  <c r="CB163" i="58"/>
  <c r="BE163" i="58"/>
  <c r="BD163" i="58"/>
  <c r="CD162" i="58"/>
  <c r="CB162" i="58"/>
  <c r="BE162" i="58"/>
  <c r="BD162" i="58"/>
  <c r="CD161" i="58"/>
  <c r="CB161" i="58"/>
  <c r="BE161" i="58"/>
  <c r="BD161" i="58"/>
  <c r="CD160" i="58"/>
  <c r="CB160" i="58"/>
  <c r="BE160" i="58"/>
  <c r="BD160" i="58"/>
  <c r="CD159" i="58"/>
  <c r="CB159" i="58"/>
  <c r="BE159" i="58"/>
  <c r="BD159" i="58"/>
  <c r="CD158" i="58"/>
  <c r="CB158" i="58"/>
  <c r="BE158" i="58"/>
  <c r="BD158" i="58"/>
  <c r="CD157" i="58"/>
  <c r="CB157" i="58"/>
  <c r="BE157" i="58"/>
  <c r="BD157" i="58"/>
  <c r="CD156" i="58"/>
  <c r="CB156" i="58"/>
  <c r="BW156" i="58"/>
  <c r="BX156" i="58" s="1"/>
  <c r="BE156" i="58"/>
  <c r="BD156" i="58"/>
  <c r="CD155" i="58"/>
  <c r="CB155" i="58"/>
  <c r="BW155" i="58"/>
  <c r="BX155" i="58" s="1"/>
  <c r="BE155" i="58"/>
  <c r="BD155" i="58"/>
  <c r="CD154" i="58"/>
  <c r="CB154" i="58"/>
  <c r="BW154" i="58"/>
  <c r="BX154" i="58" s="1"/>
  <c r="BO154" i="58"/>
  <c r="BN154" i="58"/>
  <c r="BI154" i="58"/>
  <c r="BE154" i="58"/>
  <c r="BD154" i="58"/>
  <c r="AZ154" i="58"/>
  <c r="BA154" i="58" s="1"/>
  <c r="CD153" i="58"/>
  <c r="CB153" i="58"/>
  <c r="BW153" i="58"/>
  <c r="BX153" i="58" s="1"/>
  <c r="BO153" i="58"/>
  <c r="BN153" i="58"/>
  <c r="BL153" i="58"/>
  <c r="BI153" i="58"/>
  <c r="BE153" i="58"/>
  <c r="BD153" i="58"/>
  <c r="AZ153" i="58"/>
  <c r="BA153" i="58" s="1"/>
  <c r="AV153" i="58"/>
  <c r="AW153" i="58" s="1"/>
  <c r="CD152" i="58"/>
  <c r="CB152" i="58"/>
  <c r="BW152" i="58"/>
  <c r="BX152" i="58" s="1"/>
  <c r="BO152" i="58"/>
  <c r="BN152" i="58"/>
  <c r="BL152" i="58"/>
  <c r="BI152" i="58"/>
  <c r="BE152" i="58"/>
  <c r="BD152" i="58"/>
  <c r="AZ152" i="58"/>
  <c r="BA152" i="58" s="1"/>
  <c r="AV152" i="58"/>
  <c r="CD151" i="58"/>
  <c r="CB151" i="58"/>
  <c r="BW151" i="58"/>
  <c r="BX151" i="58" s="1"/>
  <c r="BO151" i="58"/>
  <c r="BN151" i="58"/>
  <c r="BL151" i="58"/>
  <c r="BI151" i="58"/>
  <c r="BE151" i="58"/>
  <c r="BD151" i="58"/>
  <c r="AZ151" i="58"/>
  <c r="BA151" i="58" s="1"/>
  <c r="AV151" i="58"/>
  <c r="AW151" i="58" s="1"/>
  <c r="CD150" i="58"/>
  <c r="CB150" i="58"/>
  <c r="BW150" i="58"/>
  <c r="BX150" i="58" s="1"/>
  <c r="BO150" i="58"/>
  <c r="BN150" i="58"/>
  <c r="BL150" i="58"/>
  <c r="BI150" i="58"/>
  <c r="BE150" i="58"/>
  <c r="BD150" i="58"/>
  <c r="AZ150" i="58"/>
  <c r="BA150" i="58" s="1"/>
  <c r="AV150" i="58"/>
  <c r="CD149" i="58"/>
  <c r="CB149" i="58"/>
  <c r="BW149" i="58"/>
  <c r="BX149" i="58" s="1"/>
  <c r="BO149" i="58"/>
  <c r="BN149" i="58"/>
  <c r="BL149" i="58"/>
  <c r="BI149" i="58"/>
  <c r="BE149" i="58"/>
  <c r="BD149" i="58"/>
  <c r="AZ149" i="58"/>
  <c r="BA149" i="58" s="1"/>
  <c r="AV149" i="58"/>
  <c r="AW149" i="58" s="1"/>
  <c r="CD148" i="58"/>
  <c r="CB148" i="58"/>
  <c r="BW148" i="58"/>
  <c r="BX148" i="58" s="1"/>
  <c r="BO148" i="58"/>
  <c r="BN148" i="58"/>
  <c r="BL148" i="58"/>
  <c r="BI148" i="58"/>
  <c r="BE148" i="58"/>
  <c r="BD148" i="58"/>
  <c r="AZ148" i="58"/>
  <c r="BA148" i="58" s="1"/>
  <c r="AV148" i="58"/>
  <c r="CD147" i="58"/>
  <c r="CB147" i="58"/>
  <c r="BW147" i="58"/>
  <c r="BX147" i="58" s="1"/>
  <c r="BO147" i="58"/>
  <c r="BN147" i="58"/>
  <c r="BL147" i="58"/>
  <c r="BI147" i="58"/>
  <c r="BE147" i="58"/>
  <c r="BD147" i="58"/>
  <c r="AZ147" i="58"/>
  <c r="BA147" i="58" s="1"/>
  <c r="AV147" i="58"/>
  <c r="AW147" i="58" s="1"/>
  <c r="CD146" i="58"/>
  <c r="CB146" i="58"/>
  <c r="BW146" i="58"/>
  <c r="BX146" i="58" s="1"/>
  <c r="BO146" i="58"/>
  <c r="BN146" i="58"/>
  <c r="BL146" i="58"/>
  <c r="BI146" i="58"/>
  <c r="BE146" i="58"/>
  <c r="BD146" i="58"/>
  <c r="AZ146" i="58"/>
  <c r="BA146" i="58" s="1"/>
  <c r="CD145" i="58"/>
  <c r="CB145" i="58"/>
  <c r="BW145" i="58"/>
  <c r="BX145" i="58" s="1"/>
  <c r="BO145" i="58"/>
  <c r="BN145" i="58"/>
  <c r="BL145" i="58"/>
  <c r="BI145" i="58"/>
  <c r="BE145" i="58"/>
  <c r="BD145" i="58"/>
  <c r="AZ145" i="58"/>
  <c r="BA145" i="58" s="1"/>
  <c r="AV145" i="58"/>
  <c r="AW145" i="58" s="1"/>
  <c r="CD144" i="58"/>
  <c r="CB144" i="58"/>
  <c r="BW144" i="58"/>
  <c r="BX144" i="58" s="1"/>
  <c r="BO144" i="58"/>
  <c r="BN144" i="58"/>
  <c r="BL144" i="58"/>
  <c r="BI144" i="58"/>
  <c r="BE144" i="58"/>
  <c r="BD144" i="58"/>
  <c r="AZ144" i="58"/>
  <c r="BA144" i="58" s="1"/>
  <c r="AV144" i="58"/>
  <c r="CD143" i="58"/>
  <c r="CB143" i="58"/>
  <c r="BW143" i="58"/>
  <c r="BX143" i="58" s="1"/>
  <c r="BO143" i="58"/>
  <c r="BN143" i="58"/>
  <c r="BL143" i="58"/>
  <c r="BI143" i="58"/>
  <c r="BE143" i="58"/>
  <c r="BD143" i="58"/>
  <c r="AZ143" i="58"/>
  <c r="BA143" i="58" s="1"/>
  <c r="AV143" i="58"/>
  <c r="AW143" i="58" s="1"/>
  <c r="CD142" i="58"/>
  <c r="CB142" i="58"/>
  <c r="BW142" i="58"/>
  <c r="BX142" i="58" s="1"/>
  <c r="BO142" i="58"/>
  <c r="BN142" i="58"/>
  <c r="BL142" i="58"/>
  <c r="BI142" i="58"/>
  <c r="BE142" i="58"/>
  <c r="BD142" i="58"/>
  <c r="AZ142" i="58"/>
  <c r="BA142" i="58" s="1"/>
  <c r="AV142" i="58"/>
  <c r="CD141" i="58"/>
  <c r="CB141" i="58"/>
  <c r="BW141" i="58"/>
  <c r="BX141" i="58" s="1"/>
  <c r="BO141" i="58"/>
  <c r="BN141" i="58"/>
  <c r="BL141" i="58"/>
  <c r="BI141" i="58"/>
  <c r="BE141" i="58"/>
  <c r="BD141" i="58"/>
  <c r="AZ141" i="58"/>
  <c r="BA141" i="58" s="1"/>
  <c r="AV141" i="58"/>
  <c r="CD140" i="58"/>
  <c r="CB140" i="58"/>
  <c r="BW140" i="58"/>
  <c r="BX140" i="58" s="1"/>
  <c r="BO140" i="58"/>
  <c r="BN140" i="58"/>
  <c r="BL140" i="58"/>
  <c r="BI140" i="58"/>
  <c r="BE140" i="58"/>
  <c r="BD140" i="58"/>
  <c r="AZ140" i="58"/>
  <c r="BA140" i="58" s="1"/>
  <c r="AV140" i="58"/>
  <c r="CD139" i="58"/>
  <c r="CB139" i="58"/>
  <c r="BW139" i="58"/>
  <c r="BX139" i="58" s="1"/>
  <c r="BO139" i="58"/>
  <c r="BN139" i="58"/>
  <c r="BL139" i="58"/>
  <c r="BI139" i="58"/>
  <c r="BE139" i="58"/>
  <c r="BD139" i="58"/>
  <c r="AZ139" i="58"/>
  <c r="BA139" i="58" s="1"/>
  <c r="AV139" i="58"/>
  <c r="CD138" i="58"/>
  <c r="CB138" i="58"/>
  <c r="BW138" i="58"/>
  <c r="BX138" i="58" s="1"/>
  <c r="BO138" i="58"/>
  <c r="BN138" i="58"/>
  <c r="BL138" i="58"/>
  <c r="BI138" i="58"/>
  <c r="BE138" i="58"/>
  <c r="BD138" i="58"/>
  <c r="AZ138" i="58"/>
  <c r="BA138" i="58" s="1"/>
  <c r="AV138" i="58"/>
  <c r="CD137" i="58"/>
  <c r="CB137" i="58"/>
  <c r="BW137" i="58"/>
  <c r="BX137" i="58" s="1"/>
  <c r="BO137" i="58"/>
  <c r="BN137" i="58"/>
  <c r="BL137" i="58"/>
  <c r="BI137" i="58"/>
  <c r="BE137" i="58"/>
  <c r="BD137" i="58"/>
  <c r="AZ137" i="58"/>
  <c r="BA137" i="58" s="1"/>
  <c r="AV137" i="58"/>
  <c r="CD136" i="58"/>
  <c r="CB136" i="58"/>
  <c r="BW136" i="58"/>
  <c r="BX136" i="58" s="1"/>
  <c r="BO136" i="58"/>
  <c r="BN136" i="58"/>
  <c r="BL136" i="58"/>
  <c r="BI136" i="58"/>
  <c r="BE136" i="58"/>
  <c r="BD136" i="58"/>
  <c r="AZ136" i="58"/>
  <c r="BA136" i="58" s="1"/>
  <c r="AV136" i="58"/>
  <c r="AW136" i="58" s="1"/>
  <c r="CD135" i="58"/>
  <c r="CB135" i="58"/>
  <c r="BW135" i="58"/>
  <c r="BX135" i="58" s="1"/>
  <c r="BO135" i="58"/>
  <c r="BN135" i="58"/>
  <c r="BL135" i="58"/>
  <c r="BI135" i="58"/>
  <c r="BE135" i="58"/>
  <c r="BD135" i="58"/>
  <c r="AZ135" i="58"/>
  <c r="BA135" i="58" s="1"/>
  <c r="AV135" i="58"/>
  <c r="CD134" i="58"/>
  <c r="CB134" i="58"/>
  <c r="BW134" i="58"/>
  <c r="BX134" i="58" s="1"/>
  <c r="BO134" i="58"/>
  <c r="BN134" i="58"/>
  <c r="BL134" i="58"/>
  <c r="BI134" i="58"/>
  <c r="BE134" i="58"/>
  <c r="BD134" i="58"/>
  <c r="AZ134" i="58"/>
  <c r="BA134" i="58" s="1"/>
  <c r="AV134" i="58"/>
  <c r="AW134" i="58" s="1"/>
  <c r="CD133" i="58"/>
  <c r="CB133" i="58"/>
  <c r="BW133" i="58"/>
  <c r="BX133" i="58" s="1"/>
  <c r="BO133" i="58"/>
  <c r="BN133" i="58"/>
  <c r="BL133" i="58"/>
  <c r="BI133" i="58"/>
  <c r="BE133" i="58"/>
  <c r="BD133" i="58"/>
  <c r="AZ133" i="58"/>
  <c r="BA133" i="58" s="1"/>
  <c r="AV133" i="58"/>
  <c r="CD132" i="58"/>
  <c r="CB132" i="58"/>
  <c r="BW132" i="58"/>
  <c r="BX132" i="58" s="1"/>
  <c r="BO132" i="58"/>
  <c r="BN132" i="58"/>
  <c r="BL132" i="58"/>
  <c r="BI132" i="58"/>
  <c r="BE132" i="58"/>
  <c r="BD132" i="58"/>
  <c r="AZ132" i="58"/>
  <c r="BA132" i="58" s="1"/>
  <c r="AV132" i="58"/>
  <c r="AW132" i="58" s="1"/>
  <c r="CD131" i="58"/>
  <c r="CB131" i="58"/>
  <c r="BW131" i="58"/>
  <c r="BX131" i="58" s="1"/>
  <c r="BO131" i="58"/>
  <c r="BN131" i="58"/>
  <c r="BL131" i="58"/>
  <c r="BI131" i="58"/>
  <c r="BE131" i="58"/>
  <c r="BD131" i="58"/>
  <c r="AZ131" i="58"/>
  <c r="BA131" i="58" s="1"/>
  <c r="AV131" i="58"/>
  <c r="CD130" i="58"/>
  <c r="CB130" i="58"/>
  <c r="BW130" i="58"/>
  <c r="BX130" i="58" s="1"/>
  <c r="BO130" i="58"/>
  <c r="BN130" i="58"/>
  <c r="BL130" i="58"/>
  <c r="BI130" i="58"/>
  <c r="BE130" i="58"/>
  <c r="BD130" i="58"/>
  <c r="AZ130" i="58"/>
  <c r="BA130" i="58" s="1"/>
  <c r="AV130" i="58"/>
  <c r="AW130" i="58" s="1"/>
  <c r="CD129" i="58"/>
  <c r="CB129" i="58"/>
  <c r="BW129" i="58"/>
  <c r="BX129" i="58" s="1"/>
  <c r="BO129" i="58"/>
  <c r="BN129" i="58"/>
  <c r="BL129" i="58"/>
  <c r="BI129" i="58"/>
  <c r="BE129" i="58"/>
  <c r="BD129" i="58"/>
  <c r="AZ129" i="58"/>
  <c r="BA129" i="58" s="1"/>
  <c r="AV129" i="58"/>
  <c r="CD128" i="58"/>
  <c r="CB128" i="58"/>
  <c r="BW128" i="58"/>
  <c r="BX128" i="58" s="1"/>
  <c r="BO128" i="58"/>
  <c r="BN128" i="58"/>
  <c r="BL128" i="58"/>
  <c r="BI128" i="58"/>
  <c r="BE128" i="58"/>
  <c r="BD128" i="58"/>
  <c r="AZ128" i="58"/>
  <c r="BA128" i="58" s="1"/>
  <c r="AV128" i="58"/>
  <c r="AW128" i="58" s="1"/>
  <c r="CD127" i="58"/>
  <c r="CB127" i="58"/>
  <c r="BW127" i="58"/>
  <c r="BX127" i="58" s="1"/>
  <c r="BO127" i="58"/>
  <c r="BN127" i="58"/>
  <c r="BL127" i="58"/>
  <c r="BI127" i="58"/>
  <c r="BE127" i="58"/>
  <c r="BD127" i="58"/>
  <c r="AZ127" i="58"/>
  <c r="BA127" i="58" s="1"/>
  <c r="AV127" i="58"/>
  <c r="CD126" i="58"/>
  <c r="CB126" i="58"/>
  <c r="BW126" i="58"/>
  <c r="BX126" i="58" s="1"/>
  <c r="BO126" i="58"/>
  <c r="BN126" i="58"/>
  <c r="BL126" i="58"/>
  <c r="BI126" i="58"/>
  <c r="BE126" i="58"/>
  <c r="BD126" i="58"/>
  <c r="AZ126" i="58"/>
  <c r="BA126" i="58" s="1"/>
  <c r="AV126" i="58"/>
  <c r="AW126" i="58" s="1"/>
  <c r="CD125" i="58"/>
  <c r="CB125" i="58"/>
  <c r="BW125" i="58"/>
  <c r="BX125" i="58" s="1"/>
  <c r="BO125" i="58"/>
  <c r="BN125" i="58"/>
  <c r="BL125" i="58"/>
  <c r="BI125" i="58"/>
  <c r="BE125" i="58"/>
  <c r="BD125" i="58"/>
  <c r="AZ125" i="58"/>
  <c r="BA125" i="58" s="1"/>
  <c r="AV125" i="58"/>
  <c r="CD124" i="58"/>
  <c r="CB124" i="58"/>
  <c r="BW124" i="58"/>
  <c r="BX124" i="58" s="1"/>
  <c r="BO124" i="58"/>
  <c r="BN124" i="58"/>
  <c r="BL124" i="58"/>
  <c r="BI124" i="58"/>
  <c r="BE124" i="58"/>
  <c r="BD124" i="58"/>
  <c r="AZ124" i="58"/>
  <c r="BA124" i="58" s="1"/>
  <c r="AV124" i="58"/>
  <c r="AW124" i="58" s="1"/>
  <c r="CD123" i="58"/>
  <c r="CB123" i="58"/>
  <c r="BW123" i="58"/>
  <c r="BX123" i="58" s="1"/>
  <c r="BO123" i="58"/>
  <c r="BN123" i="58"/>
  <c r="BL123" i="58"/>
  <c r="BI123" i="58"/>
  <c r="BE123" i="58"/>
  <c r="BD123" i="58"/>
  <c r="AZ123" i="58"/>
  <c r="BA123" i="58" s="1"/>
  <c r="AV123" i="58"/>
  <c r="CD122" i="58"/>
  <c r="CB122" i="58"/>
  <c r="BW122" i="58"/>
  <c r="BX122" i="58" s="1"/>
  <c r="BO122" i="58"/>
  <c r="BN122" i="58"/>
  <c r="BL122" i="58"/>
  <c r="BI122" i="58"/>
  <c r="BE122" i="58"/>
  <c r="BD122" i="58"/>
  <c r="AZ122" i="58"/>
  <c r="BA122" i="58" s="1"/>
  <c r="AV122" i="58"/>
  <c r="AW122" i="58" s="1"/>
  <c r="CD121" i="58"/>
  <c r="CB121" i="58"/>
  <c r="BW121" i="58"/>
  <c r="BX121" i="58" s="1"/>
  <c r="BO121" i="58"/>
  <c r="BN121" i="58"/>
  <c r="BL121" i="58"/>
  <c r="BI121" i="58"/>
  <c r="BE121" i="58"/>
  <c r="BD121" i="58"/>
  <c r="AZ121" i="58"/>
  <c r="BA121" i="58" s="1"/>
  <c r="AV121" i="58"/>
  <c r="CD120" i="58"/>
  <c r="CB120" i="58"/>
  <c r="BW120" i="58"/>
  <c r="BX120" i="58" s="1"/>
  <c r="BO120" i="58"/>
  <c r="BN120" i="58"/>
  <c r="BL120" i="58"/>
  <c r="BI120" i="58"/>
  <c r="BE120" i="58"/>
  <c r="BD120" i="58"/>
  <c r="AZ120" i="58"/>
  <c r="BA120" i="58" s="1"/>
  <c r="AV120" i="58"/>
  <c r="AW120" i="58" s="1"/>
  <c r="CD119" i="58"/>
  <c r="CB119" i="58"/>
  <c r="BW119" i="58"/>
  <c r="BX119" i="58" s="1"/>
  <c r="BO119" i="58"/>
  <c r="BN119" i="58"/>
  <c r="BL119" i="58"/>
  <c r="BI119" i="58"/>
  <c r="BE119" i="58"/>
  <c r="BD119" i="58"/>
  <c r="AZ119" i="58"/>
  <c r="BA119" i="58" s="1"/>
  <c r="AV119" i="58"/>
  <c r="CD118" i="58"/>
  <c r="CB118" i="58"/>
  <c r="BW118" i="58"/>
  <c r="BX118" i="58" s="1"/>
  <c r="BO118" i="58"/>
  <c r="BN118" i="58"/>
  <c r="BL118" i="58"/>
  <c r="BI118" i="58"/>
  <c r="BE118" i="58"/>
  <c r="BD118" i="58"/>
  <c r="AZ118" i="58"/>
  <c r="BA118" i="58" s="1"/>
  <c r="AV118" i="58"/>
  <c r="AW118" i="58" s="1"/>
  <c r="CD117" i="58"/>
  <c r="CB117" i="58"/>
  <c r="BW117" i="58"/>
  <c r="BX117" i="58" s="1"/>
  <c r="BO117" i="58"/>
  <c r="BN117" i="58"/>
  <c r="BL117" i="58"/>
  <c r="BI117" i="58"/>
  <c r="BE117" i="58"/>
  <c r="BD117" i="58"/>
  <c r="AZ117" i="58"/>
  <c r="BA117" i="58" s="1"/>
  <c r="AV117" i="58"/>
  <c r="CD116" i="58"/>
  <c r="CB116" i="58"/>
  <c r="BW116" i="58"/>
  <c r="BX116" i="58" s="1"/>
  <c r="BO116" i="58"/>
  <c r="BN116" i="58"/>
  <c r="BL116" i="58"/>
  <c r="BI116" i="58"/>
  <c r="BE116" i="58"/>
  <c r="BD116" i="58"/>
  <c r="AZ116" i="58"/>
  <c r="BA116" i="58" s="1"/>
  <c r="AV116" i="58"/>
  <c r="AW116" i="58" s="1"/>
  <c r="CD115" i="58"/>
  <c r="CB115" i="58"/>
  <c r="BW115" i="58"/>
  <c r="BX115" i="58" s="1"/>
  <c r="BO115" i="58"/>
  <c r="BN115" i="58"/>
  <c r="BL115" i="58"/>
  <c r="BI115" i="58"/>
  <c r="BE115" i="58"/>
  <c r="BD115" i="58"/>
  <c r="AZ115" i="58"/>
  <c r="BA115" i="58" s="1"/>
  <c r="AV115" i="58"/>
  <c r="CD114" i="58"/>
  <c r="CB114" i="58"/>
  <c r="BW114" i="58"/>
  <c r="BX114" i="58" s="1"/>
  <c r="BO114" i="58"/>
  <c r="BN114" i="58"/>
  <c r="BL114" i="58"/>
  <c r="BI114" i="58"/>
  <c r="BE114" i="58"/>
  <c r="BD114" i="58"/>
  <c r="AZ114" i="58"/>
  <c r="BA114" i="58" s="1"/>
  <c r="AV114" i="58"/>
  <c r="AW114" i="58" s="1"/>
  <c r="CD113" i="58"/>
  <c r="CB113" i="58"/>
  <c r="BW113" i="58"/>
  <c r="BX113" i="58" s="1"/>
  <c r="BO113" i="58"/>
  <c r="BN113" i="58"/>
  <c r="BL113" i="58"/>
  <c r="BI113" i="58"/>
  <c r="BE113" i="58"/>
  <c r="BD113" i="58"/>
  <c r="AZ113" i="58"/>
  <c r="BA113" i="58" s="1"/>
  <c r="AV113" i="58"/>
  <c r="CD112" i="58"/>
  <c r="CB112" i="58"/>
  <c r="BW112" i="58"/>
  <c r="BX112" i="58" s="1"/>
  <c r="BO112" i="58"/>
  <c r="BN112" i="58"/>
  <c r="BL112" i="58"/>
  <c r="BI112" i="58"/>
  <c r="BE112" i="58"/>
  <c r="BD112" i="58"/>
  <c r="AZ112" i="58"/>
  <c r="BA112" i="58" s="1"/>
  <c r="AV112" i="58"/>
  <c r="AW112" i="58" s="1"/>
  <c r="CD111" i="58"/>
  <c r="CB111" i="58"/>
  <c r="BW111" i="58"/>
  <c r="BX111" i="58" s="1"/>
  <c r="BO111" i="58"/>
  <c r="BN111" i="58"/>
  <c r="BL111" i="58"/>
  <c r="BI111" i="58"/>
  <c r="BE111" i="58"/>
  <c r="BD111" i="58"/>
  <c r="AZ111" i="58"/>
  <c r="BA111" i="58" s="1"/>
  <c r="AV111" i="58"/>
  <c r="CD110" i="58"/>
  <c r="CB110" i="58"/>
  <c r="BW110" i="58"/>
  <c r="BX110" i="58" s="1"/>
  <c r="BO110" i="58"/>
  <c r="BN110" i="58"/>
  <c r="BL110" i="58"/>
  <c r="BI110" i="58"/>
  <c r="BE110" i="58"/>
  <c r="BD110" i="58"/>
  <c r="AZ110" i="58"/>
  <c r="BA110" i="58" s="1"/>
  <c r="AV110" i="58"/>
  <c r="CD109" i="58"/>
  <c r="CB109" i="58"/>
  <c r="BW109" i="58"/>
  <c r="BX109" i="58" s="1"/>
  <c r="BO109" i="58"/>
  <c r="BN109" i="58"/>
  <c r="BL109" i="58"/>
  <c r="BI109" i="58"/>
  <c r="BE109" i="58"/>
  <c r="BD109" i="58"/>
  <c r="AZ109" i="58"/>
  <c r="BA109" i="58" s="1"/>
  <c r="AV109" i="58"/>
  <c r="AW109" i="58" s="1"/>
  <c r="CD108" i="58"/>
  <c r="CB108" i="58"/>
  <c r="BW108" i="58"/>
  <c r="BX108" i="58" s="1"/>
  <c r="BO108" i="58"/>
  <c r="BN108" i="58"/>
  <c r="BL108" i="58"/>
  <c r="BI108" i="58"/>
  <c r="BE108" i="58"/>
  <c r="BD108" i="58"/>
  <c r="AZ108" i="58"/>
  <c r="BA108" i="58" s="1"/>
  <c r="AV108" i="58"/>
  <c r="CD107" i="58"/>
  <c r="CB107" i="58"/>
  <c r="BW107" i="58"/>
  <c r="BX107" i="58" s="1"/>
  <c r="BO107" i="58"/>
  <c r="BN107" i="58"/>
  <c r="BL107" i="58"/>
  <c r="BI107" i="58"/>
  <c r="BE107" i="58"/>
  <c r="BD107" i="58"/>
  <c r="AZ107" i="58"/>
  <c r="BA107" i="58" s="1"/>
  <c r="AV107" i="58"/>
  <c r="AW107" i="58" s="1"/>
  <c r="CD106" i="58"/>
  <c r="CB106" i="58"/>
  <c r="BW106" i="58"/>
  <c r="BX106" i="58" s="1"/>
  <c r="BO106" i="58"/>
  <c r="BN106" i="58"/>
  <c r="BL106" i="58"/>
  <c r="BI106" i="58"/>
  <c r="BE106" i="58"/>
  <c r="BD106" i="58"/>
  <c r="AZ106" i="58"/>
  <c r="BA106" i="58" s="1"/>
  <c r="AV106" i="58"/>
  <c r="CD105" i="58"/>
  <c r="CB105" i="58"/>
  <c r="BW105" i="58"/>
  <c r="BX105" i="58" s="1"/>
  <c r="BO105" i="58"/>
  <c r="BN105" i="58"/>
  <c r="BL105" i="58"/>
  <c r="BI105" i="58"/>
  <c r="BE105" i="58"/>
  <c r="BD105" i="58"/>
  <c r="AZ105" i="58"/>
  <c r="BA105" i="58" s="1"/>
  <c r="AV105" i="58"/>
  <c r="CD104" i="58"/>
  <c r="CB104" i="58"/>
  <c r="BW104" i="58"/>
  <c r="BX104" i="58" s="1"/>
  <c r="BO104" i="58"/>
  <c r="BN104" i="58"/>
  <c r="BL104" i="58"/>
  <c r="BI104" i="58"/>
  <c r="BE104" i="58"/>
  <c r="BD104" i="58"/>
  <c r="AZ104" i="58"/>
  <c r="BA104" i="58" s="1"/>
  <c r="AV104" i="58"/>
  <c r="AW104" i="58" s="1"/>
  <c r="CD103" i="58"/>
  <c r="CB103" i="58"/>
  <c r="BW103" i="58"/>
  <c r="BX103" i="58" s="1"/>
  <c r="BO103" i="58"/>
  <c r="BN103" i="58"/>
  <c r="BL103" i="58"/>
  <c r="BI103" i="58"/>
  <c r="BE103" i="58"/>
  <c r="BD103" i="58"/>
  <c r="AZ103" i="58"/>
  <c r="BA103" i="58" s="1"/>
  <c r="AV103" i="58"/>
  <c r="CD102" i="58"/>
  <c r="CB102" i="58"/>
  <c r="BW102" i="58"/>
  <c r="BX102" i="58" s="1"/>
  <c r="BO102" i="58"/>
  <c r="BN102" i="58"/>
  <c r="BL102" i="58"/>
  <c r="BI102" i="58"/>
  <c r="BE102" i="58"/>
  <c r="BD102" i="58"/>
  <c r="AZ102" i="58"/>
  <c r="BA102" i="58" s="1"/>
  <c r="AV102" i="58"/>
  <c r="AW102" i="58" s="1"/>
  <c r="CD101" i="58"/>
  <c r="CB101" i="58"/>
  <c r="BW101" i="58"/>
  <c r="BX101" i="58" s="1"/>
  <c r="BO101" i="58"/>
  <c r="BN101" i="58"/>
  <c r="BL101" i="58"/>
  <c r="BI101" i="58"/>
  <c r="BE101" i="58"/>
  <c r="BD101" i="58"/>
  <c r="AZ101" i="58"/>
  <c r="BA101" i="58" s="1"/>
  <c r="AV101" i="58"/>
  <c r="CD100" i="58"/>
  <c r="CB100" i="58"/>
  <c r="BW100" i="58"/>
  <c r="BX100" i="58" s="1"/>
  <c r="BO100" i="58"/>
  <c r="BN100" i="58"/>
  <c r="BL100" i="58"/>
  <c r="BI100" i="58"/>
  <c r="BE100" i="58"/>
  <c r="BD100" i="58"/>
  <c r="AZ100" i="58"/>
  <c r="BA100" i="58" s="1"/>
  <c r="AV100" i="58"/>
  <c r="AW100" i="58" s="1"/>
  <c r="CD99" i="58"/>
  <c r="CB99" i="58"/>
  <c r="BW99" i="58"/>
  <c r="BX99" i="58" s="1"/>
  <c r="BO99" i="58"/>
  <c r="BN99" i="58"/>
  <c r="BL99" i="58"/>
  <c r="BI99" i="58"/>
  <c r="BE99" i="58"/>
  <c r="BD99" i="58"/>
  <c r="AZ99" i="58"/>
  <c r="BA99" i="58" s="1"/>
  <c r="AV99" i="58"/>
  <c r="CD98" i="58"/>
  <c r="CB98" i="58"/>
  <c r="BW98" i="58"/>
  <c r="BX98" i="58" s="1"/>
  <c r="BO98" i="58"/>
  <c r="BN98" i="58"/>
  <c r="BL98" i="58"/>
  <c r="BI98" i="58"/>
  <c r="BE98" i="58"/>
  <c r="BD98" i="58"/>
  <c r="AZ98" i="58"/>
  <c r="BA98" i="58" s="1"/>
  <c r="AV98" i="58"/>
  <c r="AW98" i="58" s="1"/>
  <c r="CD97" i="58"/>
  <c r="CB97" i="58"/>
  <c r="BW97" i="58"/>
  <c r="BX97" i="58" s="1"/>
  <c r="BO97" i="58"/>
  <c r="BN97" i="58"/>
  <c r="BL97" i="58"/>
  <c r="BI97" i="58"/>
  <c r="BE97" i="58"/>
  <c r="BD97" i="58"/>
  <c r="AZ97" i="58"/>
  <c r="BA97" i="58" s="1"/>
  <c r="AV97" i="58"/>
  <c r="CD96" i="58"/>
  <c r="CB96" i="58"/>
  <c r="BW96" i="58"/>
  <c r="BX96" i="58" s="1"/>
  <c r="BO96" i="58"/>
  <c r="BN96" i="58"/>
  <c r="BL96" i="58"/>
  <c r="BI96" i="58"/>
  <c r="BE96" i="58"/>
  <c r="BD96" i="58"/>
  <c r="AZ96" i="58"/>
  <c r="BA96" i="58" s="1"/>
  <c r="AV96" i="58"/>
  <c r="AW96" i="58" s="1"/>
  <c r="CD95" i="58"/>
  <c r="CB95" i="58"/>
  <c r="BW95" i="58"/>
  <c r="BX95" i="58" s="1"/>
  <c r="BO95" i="58"/>
  <c r="BN95" i="58"/>
  <c r="BL95" i="58"/>
  <c r="BI95" i="58"/>
  <c r="BE95" i="58"/>
  <c r="BD95" i="58"/>
  <c r="AZ95" i="58"/>
  <c r="BA95" i="58" s="1"/>
  <c r="AV95" i="58"/>
  <c r="CD94" i="58"/>
  <c r="CB94" i="58"/>
  <c r="BW94" i="58"/>
  <c r="BX94" i="58" s="1"/>
  <c r="BO94" i="58"/>
  <c r="BN94" i="58"/>
  <c r="BL94" i="58"/>
  <c r="BI94" i="58"/>
  <c r="BE94" i="58"/>
  <c r="BD94" i="58"/>
  <c r="AZ94" i="58"/>
  <c r="BA94" i="58" s="1"/>
  <c r="AV94" i="58"/>
  <c r="AW94" i="58" s="1"/>
  <c r="CD93" i="58"/>
  <c r="CB93" i="58"/>
  <c r="BW93" i="58"/>
  <c r="BX93" i="58" s="1"/>
  <c r="BO93" i="58"/>
  <c r="BN93" i="58"/>
  <c r="BL93" i="58"/>
  <c r="BI93" i="58"/>
  <c r="BE93" i="58"/>
  <c r="BD93" i="58"/>
  <c r="AZ93" i="58"/>
  <c r="BA93" i="58" s="1"/>
  <c r="AV93" i="58"/>
  <c r="CD92" i="58"/>
  <c r="CB92" i="58"/>
  <c r="BW92" i="58"/>
  <c r="BX92" i="58" s="1"/>
  <c r="BO92" i="58"/>
  <c r="BN92" i="58"/>
  <c r="BL92" i="58"/>
  <c r="BI92" i="58"/>
  <c r="BE92" i="58"/>
  <c r="BD92" i="58"/>
  <c r="AZ92" i="58"/>
  <c r="BA92" i="58" s="1"/>
  <c r="AV92" i="58"/>
  <c r="AW92" i="58" s="1"/>
  <c r="CD91" i="58"/>
  <c r="CB91" i="58"/>
  <c r="BW91" i="58"/>
  <c r="BX91" i="58" s="1"/>
  <c r="BO91" i="58"/>
  <c r="BN91" i="58"/>
  <c r="BL91" i="58"/>
  <c r="BI91" i="58"/>
  <c r="BE91" i="58"/>
  <c r="BD91" i="58"/>
  <c r="AZ91" i="58"/>
  <c r="BA91" i="58" s="1"/>
  <c r="AV91" i="58"/>
  <c r="CD90" i="58"/>
  <c r="CB90" i="58"/>
  <c r="BW90" i="58"/>
  <c r="BX90" i="58" s="1"/>
  <c r="BO90" i="58"/>
  <c r="BN90" i="58"/>
  <c r="BL90" i="58"/>
  <c r="BI90" i="58"/>
  <c r="BE90" i="58"/>
  <c r="BD90" i="58"/>
  <c r="AZ90" i="58"/>
  <c r="BA90" i="58" s="1"/>
  <c r="AV90" i="58"/>
  <c r="AW90" i="58" s="1"/>
  <c r="CD89" i="58"/>
  <c r="CB89" i="58"/>
  <c r="BW89" i="58"/>
  <c r="BX89" i="58" s="1"/>
  <c r="BO89" i="58"/>
  <c r="BN89" i="58"/>
  <c r="BL89" i="58"/>
  <c r="BI89" i="58"/>
  <c r="BE89" i="58"/>
  <c r="BD89" i="58"/>
  <c r="AZ89" i="58"/>
  <c r="BA89" i="58" s="1"/>
  <c r="AV89" i="58"/>
  <c r="CD88" i="58"/>
  <c r="CB88" i="58"/>
  <c r="BW88" i="58"/>
  <c r="BX88" i="58" s="1"/>
  <c r="BO88" i="58"/>
  <c r="BN88" i="58"/>
  <c r="BL88" i="58"/>
  <c r="BI88" i="58"/>
  <c r="BE88" i="58"/>
  <c r="BD88" i="58"/>
  <c r="AZ88" i="58"/>
  <c r="BA88" i="58" s="1"/>
  <c r="AV88" i="58"/>
  <c r="AW88" i="58" s="1"/>
  <c r="CD87" i="58"/>
  <c r="CB87" i="58"/>
  <c r="BW87" i="58"/>
  <c r="BX87" i="58" s="1"/>
  <c r="BO87" i="58"/>
  <c r="BN87" i="58"/>
  <c r="BL87" i="58"/>
  <c r="BI87" i="58"/>
  <c r="BE87" i="58"/>
  <c r="BD87" i="58"/>
  <c r="AZ87" i="58"/>
  <c r="BA87" i="58" s="1"/>
  <c r="AV87" i="58"/>
  <c r="CD86" i="58"/>
  <c r="CB86" i="58"/>
  <c r="BW86" i="58"/>
  <c r="BX86" i="58" s="1"/>
  <c r="BO86" i="58"/>
  <c r="BN86" i="58"/>
  <c r="BL86" i="58"/>
  <c r="BI86" i="58"/>
  <c r="BE86" i="58"/>
  <c r="BD86" i="58"/>
  <c r="AZ86" i="58"/>
  <c r="BA86" i="58" s="1"/>
  <c r="AV86" i="58"/>
  <c r="AW86" i="58" s="1"/>
  <c r="CD85" i="58"/>
  <c r="CB85" i="58"/>
  <c r="BW85" i="58"/>
  <c r="BX85" i="58" s="1"/>
  <c r="BO85" i="58"/>
  <c r="BN85" i="58"/>
  <c r="BL85" i="58"/>
  <c r="BI85" i="58"/>
  <c r="BE85" i="58"/>
  <c r="BD85" i="58"/>
  <c r="AZ85" i="58"/>
  <c r="BA85" i="58" s="1"/>
  <c r="AV85" i="58"/>
  <c r="CD84" i="58"/>
  <c r="CB84" i="58"/>
  <c r="BW84" i="58"/>
  <c r="BX84" i="58" s="1"/>
  <c r="BO84" i="58"/>
  <c r="BN84" i="58"/>
  <c r="BL84" i="58"/>
  <c r="BI84" i="58"/>
  <c r="BE84" i="58"/>
  <c r="BD84" i="58"/>
  <c r="AZ84" i="58"/>
  <c r="BA84" i="58" s="1"/>
  <c r="AV84" i="58"/>
  <c r="AW84" i="58" s="1"/>
  <c r="CD83" i="58"/>
  <c r="CB83" i="58"/>
  <c r="BW83" i="58"/>
  <c r="BX83" i="58" s="1"/>
  <c r="BO83" i="58"/>
  <c r="BN83" i="58"/>
  <c r="BL83" i="58"/>
  <c r="BI83" i="58"/>
  <c r="BE83" i="58"/>
  <c r="BD83" i="58"/>
  <c r="AZ83" i="58"/>
  <c r="BA83" i="58" s="1"/>
  <c r="AV83" i="58"/>
  <c r="CD82" i="58"/>
  <c r="CB82" i="58"/>
  <c r="BW82" i="58"/>
  <c r="BX82" i="58" s="1"/>
  <c r="BO82" i="58"/>
  <c r="BN82" i="58"/>
  <c r="BL82" i="58"/>
  <c r="BI82" i="58"/>
  <c r="BE82" i="58"/>
  <c r="BD82" i="58"/>
  <c r="AZ82" i="58"/>
  <c r="BA82" i="58" s="1"/>
  <c r="AV82" i="58"/>
  <c r="AW82" i="58" s="1"/>
  <c r="CD81" i="58"/>
  <c r="CB81" i="58"/>
  <c r="BW81" i="58"/>
  <c r="BX81" i="58" s="1"/>
  <c r="BO81" i="58"/>
  <c r="BN81" i="58"/>
  <c r="BL81" i="58"/>
  <c r="BI81" i="58"/>
  <c r="BE81" i="58"/>
  <c r="BD81" i="58"/>
  <c r="AZ81" i="58"/>
  <c r="BA81" i="58" s="1"/>
  <c r="AV81" i="58"/>
  <c r="CD80" i="58"/>
  <c r="CB80" i="58"/>
  <c r="BW80" i="58"/>
  <c r="BX80" i="58" s="1"/>
  <c r="BO80" i="58"/>
  <c r="BN80" i="58"/>
  <c r="BL80" i="58"/>
  <c r="BI80" i="58"/>
  <c r="BE80" i="58"/>
  <c r="BD80" i="58"/>
  <c r="AZ80" i="58"/>
  <c r="BA80" i="58" s="1"/>
  <c r="AV80" i="58"/>
  <c r="AW80" i="58" s="1"/>
  <c r="CD79" i="58"/>
  <c r="CB79" i="58"/>
  <c r="BW79" i="58"/>
  <c r="BX79" i="58" s="1"/>
  <c r="BO79" i="58"/>
  <c r="BN79" i="58"/>
  <c r="BL79" i="58"/>
  <c r="BI79" i="58"/>
  <c r="BE79" i="58"/>
  <c r="BD79" i="58"/>
  <c r="AZ79" i="58"/>
  <c r="BA79" i="58" s="1"/>
  <c r="AV79" i="58"/>
  <c r="CD78" i="58"/>
  <c r="CB78" i="58"/>
  <c r="BW78" i="58"/>
  <c r="BX78" i="58" s="1"/>
  <c r="BO78" i="58"/>
  <c r="BN78" i="58"/>
  <c r="BL78" i="58"/>
  <c r="BI78" i="58"/>
  <c r="BE78" i="58"/>
  <c r="BD78" i="58"/>
  <c r="AZ78" i="58"/>
  <c r="BA78" i="58" s="1"/>
  <c r="AV78" i="58"/>
  <c r="AW78" i="58" s="1"/>
  <c r="CD77" i="58"/>
  <c r="CB77" i="58"/>
  <c r="BW77" i="58"/>
  <c r="BX77" i="58" s="1"/>
  <c r="BO77" i="58"/>
  <c r="BN77" i="58"/>
  <c r="BL77" i="58"/>
  <c r="BI77" i="58"/>
  <c r="BE77" i="58"/>
  <c r="BD77" i="58"/>
  <c r="AZ77" i="58"/>
  <c r="BA77" i="58" s="1"/>
  <c r="AV77" i="58"/>
  <c r="CD76" i="58"/>
  <c r="CB76" i="58"/>
  <c r="BW76" i="58"/>
  <c r="BX76" i="58" s="1"/>
  <c r="BO76" i="58"/>
  <c r="BN76" i="58"/>
  <c r="BL76" i="58"/>
  <c r="BI76" i="58"/>
  <c r="BE76" i="58"/>
  <c r="BD76" i="58"/>
  <c r="AZ76" i="58"/>
  <c r="BA76" i="58" s="1"/>
  <c r="AV76" i="58"/>
  <c r="AW76" i="58" s="1"/>
  <c r="CD75" i="58"/>
  <c r="CB75" i="58"/>
  <c r="BW75" i="58"/>
  <c r="BX75" i="58" s="1"/>
  <c r="BO75" i="58"/>
  <c r="BN75" i="58"/>
  <c r="BL75" i="58"/>
  <c r="BI75" i="58"/>
  <c r="BE75" i="58"/>
  <c r="BD75" i="58"/>
  <c r="AZ75" i="58"/>
  <c r="BA75" i="58" s="1"/>
  <c r="AV75" i="58"/>
  <c r="CD74" i="58"/>
  <c r="CB74" i="58"/>
  <c r="BW74" i="58"/>
  <c r="BX74" i="58" s="1"/>
  <c r="BO74" i="58"/>
  <c r="BN74" i="58"/>
  <c r="BL74" i="58"/>
  <c r="BI74" i="58"/>
  <c r="BE74" i="58"/>
  <c r="BD74" i="58"/>
  <c r="AZ74" i="58"/>
  <c r="BA74" i="58" s="1"/>
  <c r="AV74" i="58"/>
  <c r="AW74" i="58" s="1"/>
  <c r="CD73" i="58"/>
  <c r="CB73" i="58"/>
  <c r="BW73" i="58"/>
  <c r="BX73" i="58" s="1"/>
  <c r="BO73" i="58"/>
  <c r="BN73" i="58"/>
  <c r="BL73" i="58"/>
  <c r="BI73" i="58"/>
  <c r="BE73" i="58"/>
  <c r="BD73" i="58"/>
  <c r="AZ73" i="58"/>
  <c r="BA73" i="58" s="1"/>
  <c r="AV73" i="58"/>
  <c r="CD72" i="58"/>
  <c r="CB72" i="58"/>
  <c r="BW72" i="58"/>
  <c r="BX72" i="58" s="1"/>
  <c r="BO72" i="58"/>
  <c r="BN72" i="58"/>
  <c r="BL72" i="58"/>
  <c r="BI72" i="58"/>
  <c r="BE72" i="58"/>
  <c r="BD72" i="58"/>
  <c r="AZ72" i="58"/>
  <c r="BA72" i="58" s="1"/>
  <c r="AV72" i="58"/>
  <c r="AW72" i="58" s="1"/>
  <c r="CD71" i="58"/>
  <c r="CB71" i="58"/>
  <c r="BW71" i="58"/>
  <c r="BX71" i="58" s="1"/>
  <c r="BO71" i="58"/>
  <c r="BN71" i="58"/>
  <c r="BL71" i="58"/>
  <c r="BI71" i="58"/>
  <c r="BE71" i="58"/>
  <c r="BD71" i="58"/>
  <c r="AZ71" i="58"/>
  <c r="BA71" i="58" s="1"/>
  <c r="AV71" i="58"/>
  <c r="CD70" i="58"/>
  <c r="CB70" i="58"/>
  <c r="BW70" i="58"/>
  <c r="BX70" i="58" s="1"/>
  <c r="BO70" i="58"/>
  <c r="BN70" i="58"/>
  <c r="BL70" i="58"/>
  <c r="BI70" i="58"/>
  <c r="BE70" i="58"/>
  <c r="BD70" i="58"/>
  <c r="AZ70" i="58"/>
  <c r="BA70" i="58" s="1"/>
  <c r="AV70" i="58"/>
  <c r="AW70" i="58" s="1"/>
  <c r="CD69" i="58"/>
  <c r="CB69" i="58"/>
  <c r="BW69" i="58"/>
  <c r="BX69" i="58" s="1"/>
  <c r="BO69" i="58"/>
  <c r="BN69" i="58"/>
  <c r="BL69" i="58"/>
  <c r="BI69" i="58"/>
  <c r="BE69" i="58"/>
  <c r="BD69" i="58"/>
  <c r="AZ69" i="58"/>
  <c r="BA69" i="58" s="1"/>
  <c r="AV69" i="58"/>
  <c r="CD68" i="58"/>
  <c r="CB68" i="58"/>
  <c r="BW68" i="58"/>
  <c r="BX68" i="58" s="1"/>
  <c r="BO68" i="58"/>
  <c r="BN68" i="58"/>
  <c r="BL68" i="58"/>
  <c r="BI68" i="58"/>
  <c r="BE68" i="58"/>
  <c r="BD68" i="58"/>
  <c r="AZ68" i="58"/>
  <c r="BA68" i="58" s="1"/>
  <c r="AV68" i="58"/>
  <c r="AW68" i="58" s="1"/>
  <c r="CD67" i="58"/>
  <c r="CB67" i="58"/>
  <c r="BW67" i="58"/>
  <c r="BX67" i="58" s="1"/>
  <c r="BO67" i="58"/>
  <c r="BN67" i="58"/>
  <c r="BL67" i="58"/>
  <c r="BI67" i="58"/>
  <c r="BE67" i="58"/>
  <c r="BD67" i="58"/>
  <c r="AZ67" i="58"/>
  <c r="BA67" i="58" s="1"/>
  <c r="AV67" i="58"/>
  <c r="CD66" i="58"/>
  <c r="CB66" i="58"/>
  <c r="BW66" i="58"/>
  <c r="BX66" i="58" s="1"/>
  <c r="BO66" i="58"/>
  <c r="BN66" i="58"/>
  <c r="BL66" i="58"/>
  <c r="BI66" i="58"/>
  <c r="BE66" i="58"/>
  <c r="BD66" i="58"/>
  <c r="AZ66" i="58"/>
  <c r="BA66" i="58" s="1"/>
  <c r="AV66" i="58"/>
  <c r="AW66" i="58" s="1"/>
  <c r="CD65" i="58"/>
  <c r="CB65" i="58"/>
  <c r="BW65" i="58"/>
  <c r="BX65" i="58" s="1"/>
  <c r="BO65" i="58"/>
  <c r="BN65" i="58"/>
  <c r="BL65" i="58"/>
  <c r="BI65" i="58"/>
  <c r="BE65" i="58"/>
  <c r="BD65" i="58"/>
  <c r="AZ65" i="58"/>
  <c r="BA65" i="58" s="1"/>
  <c r="AV65" i="58"/>
  <c r="CD64" i="58"/>
  <c r="CB64" i="58"/>
  <c r="BW64" i="58"/>
  <c r="BX64" i="58" s="1"/>
  <c r="BO64" i="58"/>
  <c r="BN64" i="58"/>
  <c r="BL64" i="58"/>
  <c r="BI64" i="58"/>
  <c r="BE64" i="58"/>
  <c r="BD64" i="58"/>
  <c r="AZ64" i="58"/>
  <c r="BA64" i="58" s="1"/>
  <c r="AV64" i="58"/>
  <c r="AW64" i="58" s="1"/>
  <c r="CD63" i="58"/>
  <c r="CB63" i="58"/>
  <c r="BW63" i="58"/>
  <c r="BX63" i="58" s="1"/>
  <c r="BO63" i="58"/>
  <c r="BN63" i="58"/>
  <c r="BL63" i="58"/>
  <c r="BI63" i="58"/>
  <c r="BE63" i="58"/>
  <c r="BD63" i="58"/>
  <c r="AZ63" i="58"/>
  <c r="BA63" i="58" s="1"/>
  <c r="AV63" i="58"/>
  <c r="CD62" i="58"/>
  <c r="CB62" i="58"/>
  <c r="BW62" i="58"/>
  <c r="BX62" i="58" s="1"/>
  <c r="BO62" i="58"/>
  <c r="BN62" i="58"/>
  <c r="BL62" i="58"/>
  <c r="BI62" i="58"/>
  <c r="BE62" i="58"/>
  <c r="BD62" i="58"/>
  <c r="AZ62" i="58"/>
  <c r="BA62" i="58" s="1"/>
  <c r="AV62" i="58"/>
  <c r="AW62" i="58" s="1"/>
  <c r="CD61" i="58"/>
  <c r="CB61" i="58"/>
  <c r="BW61" i="58"/>
  <c r="BX61" i="58" s="1"/>
  <c r="BO61" i="58"/>
  <c r="BN61" i="58"/>
  <c r="BL61" i="58"/>
  <c r="BI61" i="58"/>
  <c r="BE61" i="58"/>
  <c r="BD61" i="58"/>
  <c r="AZ61" i="58"/>
  <c r="BA61" i="58" s="1"/>
  <c r="AV61" i="58"/>
  <c r="CD60" i="58"/>
  <c r="CB60" i="58"/>
  <c r="BW60" i="58"/>
  <c r="BX60" i="58" s="1"/>
  <c r="BO60" i="58"/>
  <c r="BN60" i="58"/>
  <c r="BL60" i="58"/>
  <c r="BI60" i="58"/>
  <c r="BE60" i="58"/>
  <c r="BD60" i="58"/>
  <c r="AZ60" i="58"/>
  <c r="BA60" i="58" s="1"/>
  <c r="AV60" i="58"/>
  <c r="AW60" i="58" s="1"/>
  <c r="CD59" i="58"/>
  <c r="CB59" i="58"/>
  <c r="BW59" i="58"/>
  <c r="BX59" i="58" s="1"/>
  <c r="BO59" i="58"/>
  <c r="BN59" i="58"/>
  <c r="BL59" i="58"/>
  <c r="BI59" i="58"/>
  <c r="BE59" i="58"/>
  <c r="BD59" i="58"/>
  <c r="AZ59" i="58"/>
  <c r="BA59" i="58" s="1"/>
  <c r="AV59" i="58"/>
  <c r="CD58" i="58"/>
  <c r="CB58" i="58"/>
  <c r="BW58" i="58"/>
  <c r="BX58" i="58" s="1"/>
  <c r="BO58" i="58"/>
  <c r="BN58" i="58"/>
  <c r="BL58" i="58"/>
  <c r="BI58" i="58"/>
  <c r="BE58" i="58"/>
  <c r="BD58" i="58"/>
  <c r="AZ58" i="58"/>
  <c r="BA58" i="58" s="1"/>
  <c r="AV58" i="58"/>
  <c r="AW58" i="58" s="1"/>
  <c r="CD57" i="58"/>
  <c r="CB57" i="58"/>
  <c r="BW57" i="58"/>
  <c r="BX57" i="58" s="1"/>
  <c r="BO57" i="58"/>
  <c r="BN57" i="58"/>
  <c r="BL57" i="58"/>
  <c r="BI57" i="58"/>
  <c r="BE57" i="58"/>
  <c r="BD57" i="58"/>
  <c r="AZ57" i="58"/>
  <c r="BA57" i="58" s="1"/>
  <c r="AV57" i="58"/>
  <c r="CD56" i="58"/>
  <c r="CB56" i="58"/>
  <c r="BW56" i="58"/>
  <c r="BX56" i="58" s="1"/>
  <c r="BO56" i="58"/>
  <c r="BN56" i="58"/>
  <c r="BL56" i="58"/>
  <c r="BI56" i="58"/>
  <c r="BE56" i="58"/>
  <c r="BD56" i="58"/>
  <c r="AZ56" i="58"/>
  <c r="BA56" i="58" s="1"/>
  <c r="AV56" i="58"/>
  <c r="AW56" i="58" s="1"/>
  <c r="CD55" i="58"/>
  <c r="CB55" i="58"/>
  <c r="BW55" i="58"/>
  <c r="BX55" i="58" s="1"/>
  <c r="BO55" i="58"/>
  <c r="BN55" i="58"/>
  <c r="BL55" i="58"/>
  <c r="BI55" i="58"/>
  <c r="BE55" i="58"/>
  <c r="BD55" i="58"/>
  <c r="AZ55" i="58"/>
  <c r="BA55" i="58" s="1"/>
  <c r="AV55" i="58"/>
  <c r="CD54" i="58"/>
  <c r="CB54" i="58"/>
  <c r="BW54" i="58"/>
  <c r="BX54" i="58" s="1"/>
  <c r="BO54" i="58"/>
  <c r="BN54" i="58"/>
  <c r="BL54" i="58"/>
  <c r="BI54" i="58"/>
  <c r="BE54" i="58"/>
  <c r="BD54" i="58"/>
  <c r="AZ54" i="58"/>
  <c r="BA54" i="58" s="1"/>
  <c r="AV54" i="58"/>
  <c r="AW54" i="58" s="1"/>
  <c r="CD53" i="58"/>
  <c r="CB53" i="58"/>
  <c r="BW53" i="58"/>
  <c r="BX53" i="58" s="1"/>
  <c r="BO53" i="58"/>
  <c r="BN53" i="58"/>
  <c r="BL53" i="58"/>
  <c r="BI53" i="58"/>
  <c r="BE53" i="58"/>
  <c r="BD53" i="58"/>
  <c r="AZ53" i="58"/>
  <c r="BA53" i="58" s="1"/>
  <c r="AV53" i="58"/>
  <c r="CD52" i="58"/>
  <c r="CB52" i="58"/>
  <c r="BW52" i="58"/>
  <c r="BX52" i="58" s="1"/>
  <c r="BO52" i="58"/>
  <c r="BN52" i="58"/>
  <c r="BL52" i="58"/>
  <c r="BI52" i="58"/>
  <c r="BE52" i="58"/>
  <c r="BD52" i="58"/>
  <c r="AZ52" i="58"/>
  <c r="BA52" i="58" s="1"/>
  <c r="AV52" i="58"/>
  <c r="AW52" i="58" s="1"/>
  <c r="CD51" i="58"/>
  <c r="CB51" i="58"/>
  <c r="BW51" i="58"/>
  <c r="BX51" i="58" s="1"/>
  <c r="BO51" i="58"/>
  <c r="BN51" i="58"/>
  <c r="BL51" i="58"/>
  <c r="BI51" i="58"/>
  <c r="BE51" i="58"/>
  <c r="BD51" i="58"/>
  <c r="AZ51" i="58"/>
  <c r="BA51" i="58" s="1"/>
  <c r="AV51" i="58"/>
  <c r="CD50" i="58"/>
  <c r="CB50" i="58"/>
  <c r="BW50" i="58"/>
  <c r="BX50" i="58" s="1"/>
  <c r="BO50" i="58"/>
  <c r="BN50" i="58"/>
  <c r="BL50" i="58"/>
  <c r="BI50" i="58"/>
  <c r="BE50" i="58"/>
  <c r="BD50" i="58"/>
  <c r="AZ50" i="58"/>
  <c r="BA50" i="58" s="1"/>
  <c r="AV50" i="58"/>
  <c r="CD49" i="58"/>
  <c r="CB49" i="58"/>
  <c r="BW49" i="58"/>
  <c r="BX49" i="58" s="1"/>
  <c r="BO49" i="58"/>
  <c r="BN49" i="58"/>
  <c r="BL49" i="58"/>
  <c r="BI49" i="58"/>
  <c r="BE49" i="58"/>
  <c r="BD49" i="58"/>
  <c r="AZ49" i="58"/>
  <c r="BA49" i="58" s="1"/>
  <c r="AV49" i="58"/>
  <c r="AW49" i="58" s="1"/>
  <c r="CD48" i="58"/>
  <c r="CB48" i="58"/>
  <c r="BW48" i="58"/>
  <c r="BX48" i="58" s="1"/>
  <c r="BO48" i="58"/>
  <c r="BN48" i="58"/>
  <c r="BL48" i="58"/>
  <c r="BI48" i="58"/>
  <c r="BE48" i="58"/>
  <c r="BD48" i="58"/>
  <c r="AZ48" i="58"/>
  <c r="BA48" i="58" s="1"/>
  <c r="AV48" i="58"/>
  <c r="CD47" i="58"/>
  <c r="CB47" i="58"/>
  <c r="BW47" i="58"/>
  <c r="BX47" i="58" s="1"/>
  <c r="BO47" i="58"/>
  <c r="BN47" i="58"/>
  <c r="BL47" i="58"/>
  <c r="BI47" i="58"/>
  <c r="BE47" i="58"/>
  <c r="BD47" i="58"/>
  <c r="AZ47" i="58"/>
  <c r="BA47" i="58" s="1"/>
  <c r="AV47" i="58"/>
  <c r="AW47" i="58" s="1"/>
  <c r="CD46" i="58"/>
  <c r="CB46" i="58"/>
  <c r="BW46" i="58"/>
  <c r="BX46" i="58" s="1"/>
  <c r="BO46" i="58"/>
  <c r="BN46" i="58"/>
  <c r="BL46" i="58"/>
  <c r="BI46" i="58"/>
  <c r="BE46" i="58"/>
  <c r="BD46" i="58"/>
  <c r="AZ46" i="58"/>
  <c r="BA46" i="58" s="1"/>
  <c r="AV46" i="58"/>
  <c r="CD45" i="58"/>
  <c r="CB45" i="58"/>
  <c r="BW45" i="58"/>
  <c r="BX45" i="58" s="1"/>
  <c r="BO45" i="58"/>
  <c r="BN45" i="58"/>
  <c r="BL45" i="58"/>
  <c r="BI45" i="58"/>
  <c r="BE45" i="58"/>
  <c r="BD45" i="58"/>
  <c r="AZ45" i="58"/>
  <c r="BA45" i="58" s="1"/>
  <c r="AV45" i="58"/>
  <c r="AW45" i="58" s="1"/>
  <c r="CD44" i="58"/>
  <c r="CB44" i="58"/>
  <c r="BW44" i="58"/>
  <c r="BX44" i="58" s="1"/>
  <c r="BO44" i="58"/>
  <c r="BN44" i="58"/>
  <c r="BL44" i="58"/>
  <c r="BI44" i="58"/>
  <c r="BE44" i="58"/>
  <c r="BD44" i="58"/>
  <c r="AZ44" i="58"/>
  <c r="BA44" i="58" s="1"/>
  <c r="AV44" i="58"/>
  <c r="CD43" i="58"/>
  <c r="CB43" i="58"/>
  <c r="BW43" i="58"/>
  <c r="BX43" i="58" s="1"/>
  <c r="BO43" i="58"/>
  <c r="BN43" i="58"/>
  <c r="BL43" i="58"/>
  <c r="BI43" i="58"/>
  <c r="BE43" i="58"/>
  <c r="BD43" i="58"/>
  <c r="AZ43" i="58"/>
  <c r="BA43" i="58" s="1"/>
  <c r="AV43" i="58"/>
  <c r="AW43" i="58" s="1"/>
  <c r="CD42" i="58"/>
  <c r="CB42" i="58"/>
  <c r="BW42" i="58"/>
  <c r="BX42" i="58" s="1"/>
  <c r="BO42" i="58"/>
  <c r="BN42" i="58"/>
  <c r="BL42" i="58"/>
  <c r="BI42" i="58"/>
  <c r="BE42" i="58"/>
  <c r="BD42" i="58"/>
  <c r="AZ42" i="58"/>
  <c r="BA42" i="58" s="1"/>
  <c r="AV42" i="58"/>
  <c r="CD41" i="58"/>
  <c r="CB41" i="58"/>
  <c r="BW41" i="58"/>
  <c r="BX41" i="58" s="1"/>
  <c r="BO41" i="58"/>
  <c r="BN41" i="58"/>
  <c r="BL41" i="58"/>
  <c r="BI41" i="58"/>
  <c r="BE41" i="58"/>
  <c r="BD41" i="58"/>
  <c r="AZ41" i="58"/>
  <c r="BA41" i="58" s="1"/>
  <c r="AV41" i="58"/>
  <c r="AW41" i="58" s="1"/>
  <c r="CD40" i="58"/>
  <c r="CB40" i="58"/>
  <c r="BW40" i="58"/>
  <c r="BX40" i="58" s="1"/>
  <c r="BO40" i="58"/>
  <c r="BN40" i="58"/>
  <c r="BL40" i="58"/>
  <c r="BI40" i="58"/>
  <c r="BE40" i="58"/>
  <c r="BD40" i="58"/>
  <c r="AZ40" i="58"/>
  <c r="BA40" i="58" s="1"/>
  <c r="AV40" i="58"/>
  <c r="CD39" i="58"/>
  <c r="CB39" i="58"/>
  <c r="BW39" i="58"/>
  <c r="BX39" i="58" s="1"/>
  <c r="BO39" i="58"/>
  <c r="BN39" i="58"/>
  <c r="BL39" i="58"/>
  <c r="BI39" i="58"/>
  <c r="BE39" i="58"/>
  <c r="BD39" i="58"/>
  <c r="AZ39" i="58"/>
  <c r="BA39" i="58" s="1"/>
  <c r="AV39" i="58"/>
  <c r="AW39" i="58" s="1"/>
  <c r="CD38" i="58"/>
  <c r="CB38" i="58"/>
  <c r="BW38" i="58"/>
  <c r="BX38" i="58" s="1"/>
  <c r="BO38" i="58"/>
  <c r="BN38" i="58"/>
  <c r="BL38" i="58"/>
  <c r="BI38" i="58"/>
  <c r="BE38" i="58"/>
  <c r="BD38" i="58"/>
  <c r="AZ38" i="58"/>
  <c r="BA38" i="58" s="1"/>
  <c r="AV38" i="58"/>
  <c r="CD37" i="58"/>
  <c r="CB37" i="58"/>
  <c r="BW37" i="58"/>
  <c r="BX37" i="58" s="1"/>
  <c r="BO37" i="58"/>
  <c r="BN37" i="58"/>
  <c r="BL37" i="58"/>
  <c r="BI37" i="58"/>
  <c r="BE37" i="58"/>
  <c r="BD37" i="58"/>
  <c r="AZ37" i="58"/>
  <c r="BA37" i="58" s="1"/>
  <c r="AV37" i="58"/>
  <c r="AW37" i="58" s="1"/>
  <c r="CD36" i="58"/>
  <c r="CB36" i="58"/>
  <c r="BW36" i="58"/>
  <c r="BX36" i="58" s="1"/>
  <c r="BO36" i="58"/>
  <c r="BN36" i="58"/>
  <c r="BL36" i="58"/>
  <c r="BI36" i="58"/>
  <c r="BE36" i="58"/>
  <c r="BD36" i="58"/>
  <c r="AZ36" i="58"/>
  <c r="BA36" i="58" s="1"/>
  <c r="AV36" i="58"/>
  <c r="CD35" i="58"/>
  <c r="CB35" i="58"/>
  <c r="BW35" i="58"/>
  <c r="BX35" i="58" s="1"/>
  <c r="BO35" i="58"/>
  <c r="BN35" i="58"/>
  <c r="BL35" i="58"/>
  <c r="BI35" i="58"/>
  <c r="BE35" i="58"/>
  <c r="BD35" i="58"/>
  <c r="AZ35" i="58"/>
  <c r="BA35" i="58" s="1"/>
  <c r="AV35" i="58"/>
  <c r="AW35" i="58" s="1"/>
  <c r="CD34" i="58"/>
  <c r="CB34" i="58"/>
  <c r="BW34" i="58"/>
  <c r="BX34" i="58" s="1"/>
  <c r="BO34" i="58"/>
  <c r="BN34" i="58"/>
  <c r="BL34" i="58"/>
  <c r="BI34" i="58"/>
  <c r="BE34" i="58"/>
  <c r="BD34" i="58"/>
  <c r="AZ34" i="58"/>
  <c r="BA34" i="58" s="1"/>
  <c r="AV34" i="58"/>
  <c r="CD33" i="58"/>
  <c r="CB33" i="58"/>
  <c r="BW33" i="58"/>
  <c r="BX33" i="58" s="1"/>
  <c r="BO33" i="58"/>
  <c r="BN33" i="58"/>
  <c r="BL33" i="58"/>
  <c r="BI33" i="58"/>
  <c r="BE33" i="58"/>
  <c r="BD33" i="58"/>
  <c r="AZ33" i="58"/>
  <c r="BA33" i="58" s="1"/>
  <c r="AV33" i="58"/>
  <c r="AW33" i="58" s="1"/>
  <c r="CD32" i="58"/>
  <c r="CB32" i="58"/>
  <c r="BW32" i="58"/>
  <c r="BX32" i="58" s="1"/>
  <c r="BO32" i="58"/>
  <c r="BN32" i="58"/>
  <c r="BL32" i="58"/>
  <c r="BI32" i="58"/>
  <c r="BE32" i="58"/>
  <c r="BD32" i="58"/>
  <c r="AZ32" i="58"/>
  <c r="BA32" i="58" s="1"/>
  <c r="AV32" i="58"/>
  <c r="CD31" i="58"/>
  <c r="CB31" i="58"/>
  <c r="BW31" i="58"/>
  <c r="BX31" i="58" s="1"/>
  <c r="BO31" i="58"/>
  <c r="BN31" i="58"/>
  <c r="BL31" i="58"/>
  <c r="BI31" i="58"/>
  <c r="BE31" i="58"/>
  <c r="BD31" i="58"/>
  <c r="AZ31" i="58"/>
  <c r="BA31" i="58" s="1"/>
  <c r="AV31" i="58"/>
  <c r="AW31" i="58" s="1"/>
  <c r="CD30" i="58"/>
  <c r="CB30" i="58"/>
  <c r="BW30" i="58"/>
  <c r="BX30" i="58" s="1"/>
  <c r="BO30" i="58"/>
  <c r="BN30" i="58"/>
  <c r="BL30" i="58"/>
  <c r="BI30" i="58"/>
  <c r="BE30" i="58"/>
  <c r="BD30" i="58"/>
  <c r="AZ30" i="58"/>
  <c r="BA30" i="58" s="1"/>
  <c r="AV30" i="58"/>
  <c r="AW30" i="58" s="1"/>
  <c r="CD29" i="58"/>
  <c r="CB29" i="58"/>
  <c r="BW29" i="58"/>
  <c r="BX29" i="58" s="1"/>
  <c r="BO29" i="58"/>
  <c r="BN29" i="58"/>
  <c r="BL29" i="58"/>
  <c r="BI29" i="58"/>
  <c r="BE29" i="58"/>
  <c r="BD29" i="58"/>
  <c r="AZ29" i="58"/>
  <c r="BA29" i="58" s="1"/>
  <c r="AV29" i="58"/>
  <c r="CD28" i="58"/>
  <c r="CB28" i="58"/>
  <c r="BW28" i="58"/>
  <c r="BX28" i="58" s="1"/>
  <c r="BO28" i="58"/>
  <c r="BN28" i="58"/>
  <c r="BL28" i="58"/>
  <c r="BI28" i="58"/>
  <c r="BE28" i="58"/>
  <c r="BD28" i="58"/>
  <c r="AZ28" i="58"/>
  <c r="BA28" i="58" s="1"/>
  <c r="AV28" i="58"/>
  <c r="AW28" i="58" s="1"/>
  <c r="CD27" i="58"/>
  <c r="CB27" i="58"/>
  <c r="BW27" i="58"/>
  <c r="BX27" i="58" s="1"/>
  <c r="BO27" i="58"/>
  <c r="BN27" i="58"/>
  <c r="BL27" i="58"/>
  <c r="BI27" i="58"/>
  <c r="BE27" i="58"/>
  <c r="BD27" i="58"/>
  <c r="AZ27" i="58"/>
  <c r="BA27" i="58" s="1"/>
  <c r="AV27" i="58"/>
  <c r="CD26" i="58"/>
  <c r="CB26" i="58"/>
  <c r="BW26" i="58"/>
  <c r="BX26" i="58" s="1"/>
  <c r="BO26" i="58"/>
  <c r="BN26" i="58"/>
  <c r="BL26" i="58"/>
  <c r="BI26" i="58"/>
  <c r="BE26" i="58"/>
  <c r="BD26" i="58"/>
  <c r="AZ26" i="58"/>
  <c r="BA26" i="58" s="1"/>
  <c r="AV26" i="58"/>
  <c r="AW26" i="58" s="1"/>
  <c r="CD25" i="58"/>
  <c r="CB25" i="58"/>
  <c r="BW25" i="58"/>
  <c r="BX25" i="58" s="1"/>
  <c r="BO25" i="58"/>
  <c r="BN25" i="58"/>
  <c r="BL25" i="58"/>
  <c r="BI25" i="58"/>
  <c r="BE25" i="58"/>
  <c r="BD25" i="58"/>
  <c r="AZ25" i="58"/>
  <c r="BA25" i="58" s="1"/>
  <c r="AV25" i="58"/>
  <c r="CD24" i="58"/>
  <c r="CB24" i="58"/>
  <c r="BW24" i="58"/>
  <c r="BX24" i="58" s="1"/>
  <c r="BO24" i="58"/>
  <c r="BN24" i="58"/>
  <c r="BL24" i="58"/>
  <c r="BI24" i="58"/>
  <c r="BE24" i="58"/>
  <c r="BD24" i="58"/>
  <c r="AZ24" i="58"/>
  <c r="BA24" i="58" s="1"/>
  <c r="AV24" i="58"/>
  <c r="AW24" i="58" s="1"/>
  <c r="CD23" i="58"/>
  <c r="CB23" i="58"/>
  <c r="BW23" i="58"/>
  <c r="BX23" i="58" s="1"/>
  <c r="BO23" i="58"/>
  <c r="BN23" i="58"/>
  <c r="BL23" i="58"/>
  <c r="BI23" i="58"/>
  <c r="BE23" i="58"/>
  <c r="BD23" i="58"/>
  <c r="AZ23" i="58"/>
  <c r="BA23" i="58" s="1"/>
  <c r="AV23" i="58"/>
  <c r="CD22" i="58"/>
  <c r="CB22" i="58"/>
  <c r="BW22" i="58"/>
  <c r="BX22" i="58" s="1"/>
  <c r="BO22" i="58"/>
  <c r="BN22" i="58"/>
  <c r="BL22" i="58"/>
  <c r="BI22" i="58"/>
  <c r="BE22" i="58"/>
  <c r="BD22" i="58"/>
  <c r="AZ22" i="58"/>
  <c r="BA22" i="58" s="1"/>
  <c r="AV22" i="58"/>
  <c r="AW22" i="58" s="1"/>
  <c r="CD21" i="58"/>
  <c r="CB21" i="58"/>
  <c r="BW21" i="58"/>
  <c r="BX21" i="58" s="1"/>
  <c r="BO21" i="58"/>
  <c r="BN21" i="58"/>
  <c r="BL21" i="58"/>
  <c r="BI21" i="58"/>
  <c r="BE21" i="58"/>
  <c r="BD21" i="58"/>
  <c r="AZ21" i="58"/>
  <c r="BA21" i="58" s="1"/>
  <c r="AV21" i="58"/>
  <c r="CD20" i="58"/>
  <c r="CB20" i="58"/>
  <c r="BW20" i="58"/>
  <c r="BX20" i="58" s="1"/>
  <c r="BO20" i="58"/>
  <c r="BN20" i="58"/>
  <c r="BL20" i="58"/>
  <c r="BI20" i="58"/>
  <c r="BE20" i="58"/>
  <c r="BD20" i="58"/>
  <c r="AZ20" i="58"/>
  <c r="BA20" i="58" s="1"/>
  <c r="AV20" i="58"/>
  <c r="AW20" i="58" s="1"/>
  <c r="CD19" i="58"/>
  <c r="CB19" i="58"/>
  <c r="BW19" i="58"/>
  <c r="BX19" i="58" s="1"/>
  <c r="BO19" i="58"/>
  <c r="BN19" i="58"/>
  <c r="BL19" i="58"/>
  <c r="BI19" i="58"/>
  <c r="BE19" i="58"/>
  <c r="BD19" i="58"/>
  <c r="AZ19" i="58"/>
  <c r="BA19" i="58" s="1"/>
  <c r="AV19" i="58"/>
  <c r="CD18" i="58"/>
  <c r="CB18" i="58"/>
  <c r="BW18" i="58"/>
  <c r="BX18" i="58" s="1"/>
  <c r="BO18" i="58"/>
  <c r="BN18" i="58"/>
  <c r="BL18" i="58"/>
  <c r="BI18" i="58"/>
  <c r="BE18" i="58"/>
  <c r="BD18" i="58"/>
  <c r="AZ18" i="58"/>
  <c r="BA18" i="58" s="1"/>
  <c r="AV18" i="58"/>
  <c r="AW18" i="58" s="1"/>
  <c r="CD17" i="58"/>
  <c r="CB17" i="58"/>
  <c r="BW17" i="58"/>
  <c r="BX17" i="58" s="1"/>
  <c r="BO17" i="58"/>
  <c r="BN17" i="58"/>
  <c r="BL17" i="58"/>
  <c r="BI17" i="58"/>
  <c r="BE17" i="58"/>
  <c r="BD17" i="58"/>
  <c r="AZ17" i="58"/>
  <c r="BA17" i="58" s="1"/>
  <c r="AV17" i="58"/>
  <c r="CD16" i="58"/>
  <c r="CB16" i="58"/>
  <c r="BW16" i="58"/>
  <c r="BX16" i="58" s="1"/>
  <c r="BO16" i="58"/>
  <c r="BN16" i="58"/>
  <c r="BL16" i="58"/>
  <c r="BI16" i="58"/>
  <c r="BE16" i="58"/>
  <c r="BD16" i="58"/>
  <c r="AZ16" i="58"/>
  <c r="BA16" i="58" s="1"/>
  <c r="AV16" i="58"/>
  <c r="AW16" i="58" s="1"/>
  <c r="CD15" i="58"/>
  <c r="CB15" i="58"/>
  <c r="BW15" i="58"/>
  <c r="BX15" i="58" s="1"/>
  <c r="BO15" i="58"/>
  <c r="BN15" i="58"/>
  <c r="BL15" i="58"/>
  <c r="BI15" i="58"/>
  <c r="BE15" i="58"/>
  <c r="BD15" i="58"/>
  <c r="AZ15" i="58"/>
  <c r="BA15" i="58" s="1"/>
  <c r="AV15" i="58"/>
  <c r="CD14" i="58"/>
  <c r="CB14" i="58"/>
  <c r="BW14" i="58"/>
  <c r="BX14" i="58" s="1"/>
  <c r="BO14" i="58"/>
  <c r="BN14" i="58"/>
  <c r="BL14" i="58"/>
  <c r="BI14" i="58"/>
  <c r="BE14" i="58"/>
  <c r="BD14" i="58"/>
  <c r="AZ14" i="58"/>
  <c r="BA14" i="58" s="1"/>
  <c r="AV14" i="58"/>
  <c r="AW14" i="58" s="1"/>
  <c r="CD13" i="58"/>
  <c r="CB13" i="58"/>
  <c r="BW13" i="58"/>
  <c r="BX13" i="58" s="1"/>
  <c r="BO13" i="58"/>
  <c r="BN13" i="58"/>
  <c r="BL13" i="58"/>
  <c r="BI13" i="58"/>
  <c r="BE13" i="58"/>
  <c r="BD13" i="58"/>
  <c r="AZ13" i="58"/>
  <c r="BA13" i="58" s="1"/>
  <c r="AV13" i="58"/>
  <c r="CD12" i="58"/>
  <c r="CB12" i="58"/>
  <c r="BW12" i="58"/>
  <c r="BX12" i="58" s="1"/>
  <c r="BO12" i="58"/>
  <c r="BN12" i="58"/>
  <c r="BL12" i="58"/>
  <c r="BI12" i="58"/>
  <c r="BE12" i="58"/>
  <c r="BD12" i="58"/>
  <c r="AZ12" i="58"/>
  <c r="BA12" i="58" s="1"/>
  <c r="AV12" i="58"/>
  <c r="AW12" i="58" s="1"/>
  <c r="CD11" i="58"/>
  <c r="CB11" i="58"/>
  <c r="BW11" i="58"/>
  <c r="BX11" i="58" s="1"/>
  <c r="BO11" i="58"/>
  <c r="BN11" i="58"/>
  <c r="BL11" i="58"/>
  <c r="BI11" i="58"/>
  <c r="BE11" i="58"/>
  <c r="BD11" i="58"/>
  <c r="AZ11" i="58"/>
  <c r="BA11" i="58" s="1"/>
  <c r="AV11" i="58"/>
  <c r="CD10" i="58"/>
  <c r="CB10" i="58"/>
  <c r="BW10" i="58"/>
  <c r="BX10" i="58" s="1"/>
  <c r="BO10" i="58"/>
  <c r="BN10" i="58"/>
  <c r="BL10" i="58"/>
  <c r="BI10" i="58"/>
  <c r="BE10" i="58"/>
  <c r="BD10" i="58"/>
  <c r="AZ10" i="58"/>
  <c r="BA10" i="58" s="1"/>
  <c r="AV10" i="58"/>
  <c r="AW10" i="58" s="1"/>
  <c r="CD9" i="58"/>
  <c r="CB9" i="58"/>
  <c r="BW9" i="58"/>
  <c r="BX9" i="58" s="1"/>
  <c r="BO9" i="58"/>
  <c r="BN9" i="58"/>
  <c r="BL9" i="58"/>
  <c r="BI9" i="58"/>
  <c r="BE9" i="58"/>
  <c r="BD9" i="58"/>
  <c r="AZ9" i="58"/>
  <c r="BA9" i="58" s="1"/>
  <c r="AV9" i="58"/>
  <c r="CD8" i="58"/>
  <c r="CB8" i="58"/>
  <c r="BW8" i="58"/>
  <c r="BX8" i="58" s="1"/>
  <c r="BO8" i="58"/>
  <c r="BN8" i="58"/>
  <c r="BL8" i="58"/>
  <c r="BI8" i="58"/>
  <c r="BE8" i="58"/>
  <c r="BD8" i="58"/>
  <c r="AZ8" i="58"/>
  <c r="BA8" i="58" s="1"/>
  <c r="AV8" i="58"/>
  <c r="AW8" i="58" s="1"/>
  <c r="CD7" i="58"/>
  <c r="CB7" i="58"/>
  <c r="BW7" i="58"/>
  <c r="BX7" i="58" s="1"/>
  <c r="BO7" i="58"/>
  <c r="BN7" i="58"/>
  <c r="BL7" i="58"/>
  <c r="BI7" i="58"/>
  <c r="BE7" i="58"/>
  <c r="BD7" i="58"/>
  <c r="AZ7" i="58"/>
  <c r="BA7" i="58" s="1"/>
  <c r="AV7" i="58"/>
  <c r="F11" i="57"/>
  <c r="D12" i="57" l="1"/>
  <c r="V31" i="63"/>
  <c r="O64" i="63"/>
  <c r="O68" i="63"/>
  <c r="AX144" i="58"/>
  <c r="AY144" i="58" s="1"/>
  <c r="AX146" i="58"/>
  <c r="AY146" i="58" s="1"/>
  <c r="AX148" i="58"/>
  <c r="AY148" i="58" s="1"/>
  <c r="E12" i="57"/>
  <c r="AX133" i="58"/>
  <c r="AY133" i="58" s="1"/>
  <c r="AX135" i="58"/>
  <c r="AY135" i="58" s="1"/>
  <c r="AX137" i="58"/>
  <c r="AY137" i="58" s="1"/>
  <c r="AX141" i="58"/>
  <c r="AY141" i="58" s="1"/>
  <c r="AX7" i="58"/>
  <c r="AY7" i="58" s="1"/>
  <c r="AX9" i="58"/>
  <c r="AY9" i="58" s="1"/>
  <c r="AX11" i="58"/>
  <c r="AY11" i="58" s="1"/>
  <c r="AX13" i="58"/>
  <c r="AY13" i="58" s="1"/>
  <c r="AX15" i="58"/>
  <c r="AY15" i="58" s="1"/>
  <c r="AX17" i="58"/>
  <c r="AY17" i="58" s="1"/>
  <c r="AX19" i="58"/>
  <c r="AY19" i="58" s="1"/>
  <c r="AX21" i="58"/>
  <c r="AY21" i="58" s="1"/>
  <c r="AX23" i="58"/>
  <c r="AY23" i="58" s="1"/>
  <c r="AX25" i="58"/>
  <c r="AY25" i="58" s="1"/>
  <c r="AX27" i="58"/>
  <c r="AY27" i="58" s="1"/>
  <c r="AX29" i="58"/>
  <c r="AY29" i="58" s="1"/>
  <c r="AX32" i="58"/>
  <c r="AY32" i="58" s="1"/>
  <c r="AX34" i="58"/>
  <c r="AY34" i="58" s="1"/>
  <c r="AX36" i="58"/>
  <c r="AY36" i="58" s="1"/>
  <c r="AX40" i="58"/>
  <c r="AY40" i="58" s="1"/>
  <c r="AX42" i="58"/>
  <c r="AY42" i="58" s="1"/>
  <c r="AX46" i="58"/>
  <c r="AY46" i="58" s="1"/>
  <c r="AX50" i="58"/>
  <c r="AY50" i="58" s="1"/>
  <c r="AX53" i="58"/>
  <c r="AY53" i="58" s="1"/>
  <c r="AX55" i="58"/>
  <c r="AY55" i="58" s="1"/>
  <c r="AX57" i="58"/>
  <c r="AY57" i="58" s="1"/>
  <c r="AX59" i="58"/>
  <c r="AY59" i="58" s="1"/>
  <c r="AX61" i="58"/>
  <c r="AY61" i="58" s="1"/>
  <c r="AX63" i="58"/>
  <c r="AY63" i="58" s="1"/>
  <c r="AX65" i="58"/>
  <c r="AY65" i="58" s="1"/>
  <c r="AX69" i="58"/>
  <c r="AY69" i="58" s="1"/>
  <c r="AX73" i="58"/>
  <c r="AY73" i="58" s="1"/>
  <c r="AX77" i="58"/>
  <c r="AY77" i="58" s="1"/>
  <c r="AX81" i="58"/>
  <c r="AY81" i="58" s="1"/>
  <c r="AX85" i="58"/>
  <c r="AY85" i="58" s="1"/>
  <c r="AX89" i="58"/>
  <c r="AY89" i="58" s="1"/>
  <c r="AX93" i="58"/>
  <c r="AY93" i="58" s="1"/>
  <c r="AX97" i="58"/>
  <c r="AY97" i="58" s="1"/>
  <c r="AX101" i="58"/>
  <c r="AY101" i="58" s="1"/>
  <c r="AX105" i="58"/>
  <c r="AY105" i="58" s="1"/>
  <c r="AX108" i="58"/>
  <c r="AY108" i="58" s="1"/>
  <c r="AX113" i="58"/>
  <c r="AY113" i="58" s="1"/>
  <c r="AX117" i="58"/>
  <c r="AY117" i="58" s="1"/>
  <c r="AX121" i="58"/>
  <c r="AY121" i="58" s="1"/>
  <c r="AX125" i="58"/>
  <c r="AY125" i="58" s="1"/>
  <c r="AX129" i="58"/>
  <c r="AY129" i="58" s="1"/>
  <c r="AW69" i="58"/>
  <c r="AW73" i="58"/>
  <c r="AW77" i="58"/>
  <c r="AW81" i="58"/>
  <c r="AW85" i="58"/>
  <c r="AW89" i="58"/>
  <c r="AW93" i="58"/>
  <c r="AW97" i="58"/>
  <c r="AW101" i="58"/>
  <c r="AW105" i="58"/>
  <c r="AW108" i="58"/>
  <c r="AW113" i="58"/>
  <c r="AW117" i="58"/>
  <c r="AW121" i="58"/>
  <c r="AW125" i="58"/>
  <c r="AW129" i="58"/>
  <c r="AW133" i="58"/>
  <c r="AW135" i="58"/>
  <c r="AW137" i="58"/>
  <c r="AW141" i="58"/>
  <c r="AX44" i="58"/>
  <c r="AY44" i="58" s="1"/>
  <c r="AW44" i="58"/>
  <c r="AX48" i="58"/>
  <c r="AY48" i="58" s="1"/>
  <c r="AW48" i="58"/>
  <c r="AX51" i="58"/>
  <c r="AY51" i="58" s="1"/>
  <c r="AW51" i="58"/>
  <c r="F8" i="57"/>
  <c r="AW7" i="58"/>
  <c r="AW13" i="58"/>
  <c r="AW21" i="58"/>
  <c r="AW25" i="58"/>
  <c r="AW29" i="58"/>
  <c r="AW34" i="58"/>
  <c r="AW40" i="58"/>
  <c r="AW55" i="58"/>
  <c r="AW59" i="58"/>
  <c r="AW63" i="58"/>
  <c r="AX66" i="58"/>
  <c r="AY66" i="58" s="1"/>
  <c r="AX67" i="58"/>
  <c r="AY67" i="58" s="1"/>
  <c r="AX71" i="58"/>
  <c r="AY71" i="58" s="1"/>
  <c r="AX75" i="58"/>
  <c r="AY75" i="58" s="1"/>
  <c r="AX79" i="58"/>
  <c r="AY79" i="58" s="1"/>
  <c r="AX83" i="58"/>
  <c r="AY83" i="58" s="1"/>
  <c r="AX87" i="58"/>
  <c r="AY87" i="58" s="1"/>
  <c r="AX91" i="58"/>
  <c r="AY91" i="58" s="1"/>
  <c r="AX95" i="58"/>
  <c r="AY95" i="58" s="1"/>
  <c r="AX99" i="58"/>
  <c r="AY99" i="58" s="1"/>
  <c r="AX103" i="58"/>
  <c r="AY103" i="58" s="1"/>
  <c r="AX106" i="58"/>
  <c r="AY106" i="58" s="1"/>
  <c r="AX110" i="58"/>
  <c r="AY110" i="58" s="1"/>
  <c r="AX111" i="58"/>
  <c r="AY111" i="58" s="1"/>
  <c r="AX115" i="58"/>
  <c r="AY115" i="58" s="1"/>
  <c r="AX119" i="58"/>
  <c r="AY119" i="58" s="1"/>
  <c r="AX123" i="58"/>
  <c r="AY123" i="58" s="1"/>
  <c r="AX127" i="58"/>
  <c r="AY127" i="58" s="1"/>
  <c r="AX131" i="58"/>
  <c r="AY131" i="58" s="1"/>
  <c r="AX139" i="58"/>
  <c r="AY139" i="58" s="1"/>
  <c r="AX142" i="58"/>
  <c r="AY142" i="58" s="1"/>
  <c r="AX150" i="58"/>
  <c r="AY150" i="58" s="1"/>
  <c r="AD179" i="58"/>
  <c r="AW32" i="58"/>
  <c r="AW36" i="58"/>
  <c r="AX38" i="58"/>
  <c r="AY38" i="58" s="1"/>
  <c r="AW38" i="58"/>
  <c r="F7" i="57"/>
  <c r="AW9" i="58"/>
  <c r="AW11" i="58"/>
  <c r="AW15" i="58"/>
  <c r="AW17" i="58"/>
  <c r="AW19" i="58"/>
  <c r="AW23" i="58"/>
  <c r="AW27" i="58"/>
  <c r="AW42" i="58"/>
  <c r="AW46" i="58"/>
  <c r="AW50" i="58"/>
  <c r="AW53" i="58"/>
  <c r="AW57" i="58"/>
  <c r="AW61" i="58"/>
  <c r="AW65" i="58"/>
  <c r="AW67" i="58"/>
  <c r="AW71" i="58"/>
  <c r="AW75" i="58"/>
  <c r="AW79" i="58"/>
  <c r="AW83" i="58"/>
  <c r="AW87" i="58"/>
  <c r="AW91" i="58"/>
  <c r="AW95" i="58"/>
  <c r="AW99" i="58"/>
  <c r="AW103" i="58"/>
  <c r="AW106" i="58"/>
  <c r="AW110" i="58"/>
  <c r="AW111" i="58"/>
  <c r="AW115" i="58"/>
  <c r="AJ179" i="58"/>
  <c r="AK179" i="58" s="1"/>
  <c r="AW119" i="58"/>
  <c r="AW123" i="58"/>
  <c r="AW127" i="58"/>
  <c r="AW131" i="58"/>
  <c r="AW139" i="58"/>
  <c r="AX140" i="58"/>
  <c r="AY140" i="58" s="1"/>
  <c r="AW144" i="58"/>
  <c r="AW148" i="58"/>
  <c r="AW150" i="58"/>
  <c r="AX152" i="58"/>
  <c r="AY152" i="58" s="1"/>
  <c r="AX154" i="58"/>
  <c r="AY154" i="58" s="1"/>
  <c r="AX8" i="58"/>
  <c r="AY8" i="58" s="1"/>
  <c r="AX10" i="58"/>
  <c r="AY10" i="58" s="1"/>
  <c r="AX12" i="58"/>
  <c r="AY12" i="58" s="1"/>
  <c r="AX14" i="58"/>
  <c r="AY14" i="58" s="1"/>
  <c r="AX16" i="58"/>
  <c r="AY16" i="58" s="1"/>
  <c r="AX18" i="58"/>
  <c r="AY18" i="58" s="1"/>
  <c r="AX20" i="58"/>
  <c r="AY20" i="58" s="1"/>
  <c r="AX22" i="58"/>
  <c r="AY22" i="58" s="1"/>
  <c r="AX24" i="58"/>
  <c r="AY24" i="58" s="1"/>
  <c r="AX26" i="58"/>
  <c r="AY26" i="58" s="1"/>
  <c r="AX28" i="58"/>
  <c r="AY28" i="58" s="1"/>
  <c r="AX30" i="58"/>
  <c r="AY30" i="58" s="1"/>
  <c r="AX31" i="58"/>
  <c r="AY31" i="58" s="1"/>
  <c r="AX33" i="58"/>
  <c r="AY33" i="58" s="1"/>
  <c r="AX35" i="58"/>
  <c r="AY35" i="58" s="1"/>
  <c r="AX37" i="58"/>
  <c r="AY37" i="58" s="1"/>
  <c r="AX39" i="58"/>
  <c r="AY39" i="58" s="1"/>
  <c r="AX41" i="58"/>
  <c r="AY41" i="58" s="1"/>
  <c r="AX43" i="58"/>
  <c r="AY43" i="58" s="1"/>
  <c r="AX45" i="58"/>
  <c r="AY45" i="58" s="1"/>
  <c r="AX47" i="58"/>
  <c r="AY47" i="58" s="1"/>
  <c r="AX49" i="58"/>
  <c r="AY49" i="58" s="1"/>
  <c r="AX52" i="58"/>
  <c r="AY52" i="58" s="1"/>
  <c r="AX54" i="58"/>
  <c r="AY54" i="58" s="1"/>
  <c r="AX56" i="58"/>
  <c r="AY56" i="58" s="1"/>
  <c r="AX58" i="58"/>
  <c r="AY58" i="58" s="1"/>
  <c r="AX60" i="58"/>
  <c r="AY60" i="58" s="1"/>
  <c r="AX62" i="58"/>
  <c r="AY62" i="58" s="1"/>
  <c r="AX64" i="58"/>
  <c r="AY64" i="58" s="1"/>
  <c r="AX68" i="58"/>
  <c r="AY68" i="58" s="1"/>
  <c r="AX70" i="58"/>
  <c r="AY70" i="58" s="1"/>
  <c r="AX72" i="58"/>
  <c r="AY72" i="58" s="1"/>
  <c r="AX74" i="58"/>
  <c r="AY74" i="58" s="1"/>
  <c r="AX76" i="58"/>
  <c r="AY76" i="58" s="1"/>
  <c r="AX78" i="58"/>
  <c r="AY78" i="58" s="1"/>
  <c r="AX80" i="58"/>
  <c r="AY80" i="58" s="1"/>
  <c r="AX82" i="58"/>
  <c r="AY82" i="58" s="1"/>
  <c r="AX84" i="58"/>
  <c r="AY84" i="58" s="1"/>
  <c r="AX86" i="58"/>
  <c r="AY86" i="58" s="1"/>
  <c r="AX88" i="58"/>
  <c r="AY88" i="58" s="1"/>
  <c r="AX90" i="58"/>
  <c r="AY90" i="58" s="1"/>
  <c r="AX92" i="58"/>
  <c r="AY92" i="58" s="1"/>
  <c r="AX94" i="58"/>
  <c r="AY94" i="58" s="1"/>
  <c r="AX96" i="58"/>
  <c r="AY96" i="58" s="1"/>
  <c r="AX98" i="58"/>
  <c r="AY98" i="58" s="1"/>
  <c r="AX100" i="58"/>
  <c r="AY100" i="58" s="1"/>
  <c r="AX102" i="58"/>
  <c r="AY102" i="58" s="1"/>
  <c r="AX104" i="58"/>
  <c r="AY104" i="58" s="1"/>
  <c r="AX107" i="58"/>
  <c r="AY107" i="58" s="1"/>
  <c r="AX109" i="58"/>
  <c r="AY109" i="58" s="1"/>
  <c r="AX112" i="58"/>
  <c r="AY112" i="58" s="1"/>
  <c r="AX114" i="58"/>
  <c r="AY114" i="58" s="1"/>
  <c r="AX116" i="58"/>
  <c r="AY116" i="58" s="1"/>
  <c r="AX118" i="58"/>
  <c r="AY118" i="58" s="1"/>
  <c r="AX120" i="58"/>
  <c r="AY120" i="58" s="1"/>
  <c r="AX122" i="58"/>
  <c r="AY122" i="58" s="1"/>
  <c r="AX124" i="58"/>
  <c r="AY124" i="58" s="1"/>
  <c r="AX126" i="58"/>
  <c r="AY126" i="58" s="1"/>
  <c r="AX128" i="58"/>
  <c r="AY128" i="58" s="1"/>
  <c r="AX130" i="58"/>
  <c r="AY130" i="58" s="1"/>
  <c r="AX132" i="58"/>
  <c r="AY132" i="58" s="1"/>
  <c r="AX138" i="58"/>
  <c r="AY138" i="58" s="1"/>
  <c r="AW138" i="58"/>
  <c r="AX134" i="58"/>
  <c r="AY134" i="58" s="1"/>
  <c r="AX136" i="58"/>
  <c r="AY136" i="58" s="1"/>
  <c r="AW140" i="58"/>
  <c r="AW142" i="58"/>
  <c r="AX143" i="58"/>
  <c r="AY143" i="58" s="1"/>
  <c r="AX145" i="58"/>
  <c r="AY145" i="58" s="1"/>
  <c r="AX147" i="58"/>
  <c r="AY147" i="58" s="1"/>
  <c r="AX149" i="58"/>
  <c r="AY149" i="58" s="1"/>
  <c r="AX151" i="58"/>
  <c r="AY151" i="58" s="1"/>
  <c r="AW152" i="58"/>
  <c r="AX153" i="58"/>
  <c r="AY153" i="58" s="1"/>
  <c r="AW154" i="58"/>
  <c r="AK178" i="58"/>
  <c r="AG179" i="58"/>
  <c r="AH179" i="58" s="1"/>
  <c r="D20" i="57" s="1"/>
  <c r="E20" i="57" s="1"/>
  <c r="D27" i="65" l="1"/>
  <c r="D28" i="65"/>
  <c r="D29" i="65"/>
  <c r="D27" i="57"/>
  <c r="E27" i="57" s="1"/>
  <c r="D28" i="57"/>
  <c r="E28" i="57" s="1"/>
  <c r="D29" i="57"/>
  <c r="E29" i="57" s="1"/>
  <c r="D19" i="57"/>
  <c r="F12" i="57"/>
  <c r="C46" i="57" s="1"/>
  <c r="C47" i="57" s="1"/>
  <c r="D26" i="65" l="1"/>
  <c r="E26" i="65" s="1"/>
  <c r="D18" i="57"/>
  <c r="E18" i="57" s="1"/>
  <c r="E19" i="57"/>
  <c r="D26" i="57"/>
  <c r="C69" i="57"/>
  <c r="D54" i="57" l="1"/>
  <c r="D61" i="57"/>
  <c r="E26" i="57"/>
  <c r="C61" i="57" s="1"/>
  <c r="C62" i="57" s="1"/>
  <c r="C54" i="57"/>
  <c r="C55" i="57" s="1"/>
</calcChain>
</file>

<file path=xl/comments1.xml><?xml version="1.0" encoding="utf-8"?>
<comments xmlns="http://schemas.openxmlformats.org/spreadsheetml/2006/main">
  <authors>
    <author>Olivier Le Guillou</author>
    <author>Thein Tun Hlaing</author>
    <author>AOD 270</author>
    <author>Than Kyaw Soe</author>
  </authors>
  <commentList>
    <comment ref="B4" authorId="0">
      <text>
        <r>
          <rPr>
            <b/>
            <sz val="9"/>
            <color indexed="81"/>
            <rFont val="Tahoma"/>
            <family val="2"/>
          </rPr>
          <t>Gray area to be filled by UNICEF on monthly CCCM update</t>
        </r>
      </text>
    </comment>
    <comment ref="J4" authorId="1">
      <text>
        <r>
          <rPr>
            <b/>
            <sz val="9"/>
            <color indexed="81"/>
            <rFont val="Tahoma"/>
            <family val="2"/>
          </rPr>
          <t xml:space="preserve">Thein Tun Hlaing:
Number of Register House hold who register in the list.
</t>
        </r>
      </text>
    </comment>
    <comment ref="P4" authorId="0">
      <text>
        <r>
          <rPr>
            <b/>
            <sz val="9"/>
            <color indexed="81"/>
            <rFont val="Tahoma"/>
            <family val="2"/>
          </rPr>
          <t>As mentionned in the Rakhine and Kachin strategic cluster plan, ideally no more than 1 NGO per camp. Here at least one NGO focal point for each sub sector (water, sanitation, hygiene propmotion). Focal point would means for cluster that the NGO is able to provide all infor in the sub sector for the camp concern. Ideally, the best case may be same NGo for all sub-sector as focal point</t>
        </r>
      </text>
    </comment>
    <comment ref="Y4" authorId="2">
      <text>
        <r>
          <rPr>
            <b/>
            <sz val="9"/>
            <color indexed="81"/>
            <rFont val="Tahoma"/>
            <family val="2"/>
          </rPr>
          <t>AOD 270:</t>
        </r>
        <r>
          <rPr>
            <sz val="9"/>
            <color indexed="81"/>
            <rFont val="Tahoma"/>
            <family val="2"/>
          </rPr>
          <t xml:space="preserve">
Not connect to the motor pump and not connect to the over head tank</t>
        </r>
      </text>
    </comment>
    <comment ref="Z4" authorId="0">
      <text>
        <r>
          <rPr>
            <b/>
            <sz val="9"/>
            <color indexed="81"/>
            <rFont val="Tahoma"/>
            <family val="2"/>
          </rPr>
          <t>Average hours of running per day or per week. If do not know the yield , calculate how many litres of water can be pumped out by running for 1 minutes. 
Eg. If run the motor for 1 min and get 30 litres,  = 30x60 x 4 hours etc.</t>
        </r>
      </text>
    </comment>
    <comment ref="AA4" authorId="2">
      <text>
        <r>
          <rPr>
            <b/>
            <sz val="9"/>
            <color indexed="81"/>
            <rFont val="Tahoma"/>
            <family val="2"/>
          </rPr>
          <t>AOD 270:</t>
        </r>
        <r>
          <rPr>
            <sz val="9"/>
            <color indexed="81"/>
            <rFont val="Tahoma"/>
            <family val="2"/>
          </rPr>
          <t xml:space="preserve">
If walking aound the camp shows 40 households collect rain water out of 80 households, the % would be 50%.</t>
        </r>
      </text>
    </comment>
    <comment ref="AO4" authorId="0">
      <text>
        <r>
          <rPr>
            <b/>
            <sz val="9"/>
            <color indexed="81"/>
            <rFont val="Tahoma"/>
            <family val="2"/>
          </rPr>
          <t>Offer a rough idea of the coverage of needs expected in 2 months (can also decrease in case of dry season…)</t>
        </r>
      </text>
    </comment>
    <comment ref="AR4" authorId="0">
      <text>
        <r>
          <rPr>
            <b/>
            <sz val="9"/>
            <color indexed="81"/>
            <rFont val="Tahoma"/>
            <family val="2"/>
          </rPr>
          <t>For capitalisation only, mentionned total number of latrines built, even if not still functioning or existing)</t>
        </r>
      </text>
    </comment>
    <comment ref="BB4" authorId="0">
      <text>
        <r>
          <rPr>
            <b/>
            <sz val="9"/>
            <color indexed="81"/>
            <rFont val="Tahoma"/>
            <family val="2"/>
          </rPr>
          <t>To mentionned approximated additional needs related to School, health center, ...</t>
        </r>
        <r>
          <rPr>
            <sz val="9"/>
            <color indexed="81"/>
            <rFont val="Tahoma"/>
            <family val="2"/>
          </rPr>
          <t xml:space="preserve">
50 boy students 1 latrine and 1 urinal and 1 for male staff, 25 girl students 1 latrine and 1 for female staff.</t>
        </r>
      </text>
    </comment>
    <comment ref="BR4" authorId="0">
      <text>
        <r>
          <rPr>
            <b/>
            <sz val="9"/>
            <color indexed="81"/>
            <rFont val="Tahoma"/>
            <family val="2"/>
          </rPr>
          <t>In respect of HK strategy, 1 full hygiene kit should be distributed each year. Indicate the date corresponding at the last distribution realised according to the strategy.</t>
        </r>
      </text>
    </comment>
    <comment ref="BS4" authorId="0">
      <text>
        <r>
          <rPr>
            <b/>
            <sz val="9"/>
            <color indexed="81"/>
            <rFont val="Tahoma"/>
            <family val="2"/>
          </rPr>
          <t>Accordingly to HK strategy, once a year</t>
        </r>
      </text>
    </comment>
    <comment ref="BU4" authorId="0">
      <text>
        <r>
          <rPr>
            <b/>
            <sz val="9"/>
            <color indexed="81"/>
            <rFont val="Tahoma"/>
            <family val="2"/>
          </rPr>
          <t>The date indicated in column BN indicate the "starting date" of need coverage for Refilling Kits, defined for monthly needs. Then, well specified the nb of month provided in Refilling Kits since the date indicated in column BN. The number to should reflectre the number of months realised, not the number of distribution. A distribution can in some case cover 3 months of refieling need</t>
        </r>
      </text>
    </comment>
    <comment ref="E75" authorId="3">
      <text>
        <r>
          <rPr>
            <b/>
            <sz val="9"/>
            <color indexed="81"/>
            <rFont val="Tahoma"/>
            <family val="2"/>
          </rPr>
          <t>Than Kyaw Soe:</t>
        </r>
        <r>
          <rPr>
            <sz val="9"/>
            <color indexed="81"/>
            <rFont val="Tahoma"/>
            <family val="2"/>
          </rPr>
          <t xml:space="preserve">
move to another locations need to change the GPS Point</t>
        </r>
      </text>
    </comment>
  </commentList>
</comments>
</file>

<file path=xl/comments2.xml><?xml version="1.0" encoding="utf-8"?>
<comments xmlns="http://schemas.openxmlformats.org/spreadsheetml/2006/main">
  <authors>
    <author>Christian</author>
    <author>Thein Tun Hlaing</author>
  </authors>
  <commentList>
    <comment ref="AG34" authorId="0">
      <text>
        <r>
          <rPr>
            <b/>
            <sz val="8"/>
            <color indexed="81"/>
            <rFont val="Tahoma"/>
            <family val="2"/>
          </rPr>
          <t>Christian:</t>
        </r>
        <r>
          <rPr>
            <sz val="8"/>
            <color indexed="81"/>
            <rFont val="Tahoma"/>
            <family val="2"/>
          </rPr>
          <t xml:space="preserve">
High due to hygiene kit costs</t>
        </r>
      </text>
    </comment>
    <comment ref="T35" authorId="0">
      <text>
        <r>
          <rPr>
            <b/>
            <sz val="8"/>
            <color indexed="81"/>
            <rFont val="Tahoma"/>
            <family val="2"/>
          </rPr>
          <t>Christian:</t>
        </r>
        <r>
          <rPr>
            <sz val="8"/>
            <color indexed="81"/>
            <rFont val="Tahoma"/>
            <family val="2"/>
          </rPr>
          <t xml:space="preserve">
O&amp;M Mainly. 200 new latrine in NGCA and school latrines in NGCA and GCA</t>
        </r>
      </text>
    </comment>
    <comment ref="U35" authorId="0">
      <text>
        <r>
          <rPr>
            <b/>
            <sz val="8"/>
            <color indexed="81"/>
            <rFont val="Tahoma"/>
            <family val="2"/>
          </rPr>
          <t>Christian:</t>
        </r>
        <r>
          <rPr>
            <sz val="8"/>
            <color indexed="81"/>
            <rFont val="Tahoma"/>
            <family val="2"/>
          </rPr>
          <t xml:space="preserve">
O&amp;M Mainly. New gravity systems and storage in NGCA and a few new wells in exoanded GCA camps</t>
        </r>
      </text>
    </comment>
    <comment ref="V35" authorId="0">
      <text>
        <r>
          <rPr>
            <b/>
            <sz val="8"/>
            <color indexed="81"/>
            <rFont val="Tahoma"/>
            <family val="2"/>
          </rPr>
          <t>Christian:</t>
        </r>
        <r>
          <rPr>
            <sz val="8"/>
            <color indexed="81"/>
            <rFont val="Tahoma"/>
            <family val="2"/>
          </rPr>
          <t xml:space="preserve">
NOTE: Limited funding for hygiene consumables. </t>
        </r>
      </text>
    </comment>
    <comment ref="AG35" authorId="0">
      <text>
        <r>
          <rPr>
            <b/>
            <sz val="8"/>
            <color indexed="81"/>
            <rFont val="Tahoma"/>
            <family val="2"/>
          </rPr>
          <t>Christian:</t>
        </r>
        <r>
          <rPr>
            <sz val="8"/>
            <color indexed="81"/>
            <rFont val="Tahoma"/>
            <family val="2"/>
          </rPr>
          <t xml:space="preserve">
High due to hygiene kit costs</t>
        </r>
      </text>
    </comment>
    <comment ref="AG36" authorId="0">
      <text>
        <r>
          <rPr>
            <b/>
            <sz val="8"/>
            <color indexed="81"/>
            <rFont val="Tahoma"/>
            <family val="2"/>
          </rPr>
          <t>Christian:</t>
        </r>
        <r>
          <rPr>
            <sz val="8"/>
            <color indexed="81"/>
            <rFont val="Tahoma"/>
            <family val="2"/>
          </rPr>
          <t xml:space="preserve">
High due to hygiene kit costs</t>
        </r>
      </text>
    </comment>
    <comment ref="I42" authorId="1">
      <text>
        <r>
          <rPr>
            <b/>
            <sz val="9"/>
            <color indexed="81"/>
            <rFont val="Tahoma"/>
            <charset val="1"/>
          </rPr>
          <t>Thein Tun Hlaing:</t>
        </r>
        <r>
          <rPr>
            <sz val="9"/>
            <color indexed="81"/>
            <rFont val="Tahoma"/>
            <charset val="1"/>
          </rPr>
          <t xml:space="preserve">
No cost extention. From Jan to Feb 28 2015
</t>
        </r>
      </text>
    </comment>
  </commentList>
</comments>
</file>

<file path=xl/sharedStrings.xml><?xml version="1.0" encoding="utf-8"?>
<sst xmlns="http://schemas.openxmlformats.org/spreadsheetml/2006/main" count="4092" uniqueCount="882">
  <si>
    <t>Township</t>
  </si>
  <si>
    <t>Site</t>
  </si>
  <si>
    <t>Total</t>
  </si>
  <si>
    <t>Location type</t>
  </si>
  <si>
    <t>Type</t>
  </si>
  <si>
    <t>Gap of basic hygiene kit</t>
  </si>
  <si>
    <t>Summary:</t>
  </si>
  <si>
    <t>Focal point Agency</t>
  </si>
  <si>
    <t>IDPs Pop</t>
  </si>
  <si>
    <t>Total PoP</t>
  </si>
  <si>
    <t>Needs coverage</t>
  </si>
  <si>
    <t>Comment</t>
  </si>
  <si>
    <t>Coverage hand wash station %</t>
  </si>
  <si>
    <t>Structure</t>
  </si>
  <si>
    <t>Gap of month covered by refilled</t>
  </si>
  <si>
    <t>Comments</t>
  </si>
  <si>
    <t>Approximative % of household receiving monthly HP senzitisation directly with NGO</t>
  </si>
  <si>
    <t>Camp manager defined by UNHCR</t>
  </si>
  <si>
    <t>Yes</t>
  </si>
  <si>
    <t>No</t>
  </si>
  <si>
    <t>Done</t>
  </si>
  <si>
    <t>Never deployed</t>
  </si>
  <si>
    <t>Coverage Bathing %</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</si>
  <si>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</si>
  <si>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</si>
  <si>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t>Month reported:</t>
  </si>
  <si>
    <r>
      <rPr>
        <b/>
        <sz val="10"/>
        <color indexed="10"/>
        <rFont val="Calibri"/>
        <family val="2"/>
      </rPr>
      <t>#</t>
    </r>
    <r>
      <rPr>
        <b/>
        <sz val="10"/>
        <color indexed="8"/>
        <rFont val="Calibri"/>
        <family val="2"/>
      </rPr>
      <t xml:space="preserve"> Additional latrines needs identified for community center as TLS, heath center…</t>
    </r>
  </si>
  <si>
    <t>Legend:</t>
  </si>
  <si>
    <t>White cell to be filled by NGO</t>
  </si>
  <si>
    <t>Gray Cell to be filled by UNICEF</t>
  </si>
  <si>
    <t>Colored cell per sector, automatic calculation</t>
  </si>
  <si>
    <t>Unity of the entry mentionned in the colum title in red</t>
  </si>
  <si>
    <t>Focal poing Agency:</t>
  </si>
  <si>
    <t>As mentionned in the Strategic plan, it is wish than one main wash actor per camp is positionned</t>
  </si>
  <si>
    <t>Objectives of the 4W matrix:</t>
  </si>
  <si>
    <t>To identify the geographical positionning of the different intervenants (Who)</t>
  </si>
  <si>
    <t>To deduce the geographical gaps coverage (Where)</t>
  </si>
  <si>
    <t>To produce a basic analysis of the needs covered, and needs remaining (What)</t>
  </si>
  <si>
    <t>To support priority definition</t>
  </si>
  <si>
    <t xml:space="preserve">To offer an synthetic situation overview, a basic, relavant and comparable analysis </t>
  </si>
  <si>
    <t>The 4W excecice cannot replace more complexe and field monitoring tools, and analysis.</t>
  </si>
  <si>
    <t>Geographical reporting coverage</t>
  </si>
  <si>
    <t xml:space="preserve"> It won't analyse much the qualitative aspect of the intervention, while it is pre-condition for any intervention </t>
  </si>
  <si>
    <t>to respect minimum technical standards, shared and contextualised by the cluster</t>
  </si>
  <si>
    <t>However, depending of the needs, two actors can be considered per sub sctor, and different regarding wash sub-sector</t>
  </si>
  <si>
    <t>In a cluster point of view, to facilitate the data collection, the define focal wash agency is reporting for the whole situation per sub-sector, and not only on its own activities</t>
  </si>
  <si>
    <t>The agency focal point is defined on an bilateral agreement between NGO, while the Cluster can accompaign any process difficulties</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</si>
  <si>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</si>
  <si>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</si>
  <si>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</si>
  <si>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</si>
  <si>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</si>
  <si>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</si>
  <si>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monthly exchange on results finding</t>
  </si>
  <si>
    <t>The 4W should be updated at monthly bases, while all agency are requested to fill the form to offer the more accurate and relevant situation vision</t>
  </si>
  <si>
    <t>To predict at minima the coverage extension or reduction in short term (When)</t>
  </si>
  <si>
    <t>The agency are also welcom to cross check the data and mention major discrpency with field observation. The wash cluster in that case ensure a follow up at the inter-cluster level</t>
  </si>
  <si>
    <t>The 4W and its analysis is shared with the Myanmar autorities</t>
  </si>
  <si>
    <t>The wash cluster is in charge to ensure to gather the information form the State government, in case of technical direct implementation</t>
  </si>
  <si>
    <t>The 4w consolidated by the wash cluster and its analysis will be monthly share through the google wash group, and the internet site</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</si>
  <si>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</si>
  <si>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</si>
  <si>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</si>
  <si>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</si>
  <si>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Need for community space, as Temporary Learning School, are not yet clear to mesure, but has to be evaluated on existing structure by Agency</t>
  </si>
  <si>
    <t>Functional and efficient</t>
  </si>
  <si>
    <t>Not yet set up</t>
  </si>
  <si>
    <t>Gender issue is not proposed to be mesure by this tools, considered to be a minimum standard to be respected</t>
  </si>
  <si>
    <t xml:space="preserve">The objective being to mesure the needs remaining, and so the need covered, technical evaluation are not proposed, </t>
  </si>
  <si>
    <t xml:space="preserve">as" # of water point not working" or needed rehabilitation, concentrating on the services effective for the beneficiaries. </t>
  </si>
  <si>
    <t>Social organisation is proposed to be measured on basic effeciency accomplishment</t>
  </si>
  <si>
    <t>Desludging needs monitoring is high, but so high and challenging matter that another separate tools should be developped for a prpper follow up and plan set up</t>
  </si>
  <si>
    <r>
      <rPr>
        <sz val="18"/>
        <color indexed="8"/>
        <rFont val="Calibri"/>
        <family val="2"/>
      </rPr>
      <t>WASH CLUSTER</t>
    </r>
    <r>
      <rPr>
        <b/>
        <sz val="18"/>
        <color indexed="8"/>
        <rFont val="Calibri"/>
        <family val="2"/>
      </rPr>
      <t xml:space="preserve"> 4W MATRIX </t>
    </r>
    <r>
      <rPr>
        <sz val="18"/>
        <color indexed="8"/>
        <rFont val="Calibri"/>
        <family val="2"/>
      </rPr>
      <t>MYANMAR</t>
    </r>
  </si>
  <si>
    <t>Grand Total</t>
  </si>
  <si>
    <t>(All)</t>
  </si>
  <si>
    <t>Data</t>
  </si>
  <si>
    <t>Rank coverage</t>
  </si>
  <si>
    <t>Camps treshold</t>
  </si>
  <si>
    <t>2. Medium</t>
  </si>
  <si>
    <t>1. Small</t>
  </si>
  <si>
    <t>3. Large</t>
  </si>
  <si>
    <t>4. Big</t>
  </si>
  <si>
    <t>5. Massive</t>
  </si>
  <si>
    <t>Agencies involved</t>
  </si>
  <si>
    <t xml:space="preserve">Exit strategy plan from emergency supply </t>
  </si>
  <si>
    <t>Emergency structures</t>
  </si>
  <si>
    <r>
      <t xml:space="preserve">Semi-permanent structures </t>
    </r>
    <r>
      <rPr>
        <b/>
        <sz val="12"/>
        <color indexed="10"/>
        <rFont val="Calibri"/>
        <family val="2"/>
      </rPr>
      <t>functionning</t>
    </r>
  </si>
  <si>
    <t>Actual water needs coverage</t>
  </si>
  <si>
    <t>% Emergency latrines</t>
  </si>
  <si>
    <t>Not separated yet</t>
  </si>
  <si>
    <t>Latrines gender sperated</t>
  </si>
  <si>
    <t>Coverage Hygiene kits</t>
  </si>
  <si>
    <t>General comparative Analysis</t>
  </si>
  <si>
    <t>Water access</t>
  </si>
  <si>
    <t>Latrine access</t>
  </si>
  <si>
    <t>Community approach/ Hygiene Promotion</t>
  </si>
  <si>
    <t>% of actual need covered by emergency facilities</t>
  </si>
  <si>
    <r>
      <rPr>
        <b/>
        <sz val="10"/>
        <color indexed="10"/>
        <rFont val="Calibri"/>
        <family val="2"/>
      </rPr>
      <t>#</t>
    </r>
    <r>
      <rPr>
        <b/>
        <sz val="10"/>
        <color indexed="8"/>
        <rFont val="Calibri"/>
        <family val="2"/>
      </rPr>
      <t xml:space="preserve"> Hand pump (on well or borehole)</t>
    </r>
  </si>
  <si>
    <r>
      <rPr>
        <b/>
        <sz val="10"/>
        <color indexed="10"/>
        <rFont val="Calibri"/>
        <family val="2"/>
      </rPr>
      <t>Total #</t>
    </r>
    <r>
      <rPr>
        <b/>
        <sz val="10"/>
        <color indexed="8"/>
        <rFont val="Calibri"/>
        <family val="2"/>
      </rPr>
      <t xml:space="preserve"> Emergency Latrines built since camp opening</t>
    </r>
  </si>
  <si>
    <t>Hygiene promotion</t>
  </si>
  <si>
    <t>GPS x</t>
  </si>
  <si>
    <t>GPS y</t>
  </si>
  <si>
    <t>COMMUNITY MOBILIZATION</t>
  </si>
  <si>
    <t>Nb  community HP trainer trained by NGO</t>
  </si>
  <si>
    <t>Chipwi</t>
  </si>
  <si>
    <t>Chipwi KBC camp</t>
  </si>
  <si>
    <t>Lhaovao Baptist Church (LBC)</t>
  </si>
  <si>
    <t>Hpakan</t>
  </si>
  <si>
    <t>5 Ward Baptist Church(lon Khin)</t>
  </si>
  <si>
    <t>5 Ward RC Church(lon Khin)</t>
  </si>
  <si>
    <t>AG Church, Hmaw Si Sa</t>
  </si>
  <si>
    <t>AG Church, Maw Wan</t>
  </si>
  <si>
    <t>Baptist Church, Hmaw Si Sar(Lon Khin)</t>
  </si>
  <si>
    <t>Baptist Church, Naung Hmee VT</t>
  </si>
  <si>
    <t>Chin Church, Seik Mu</t>
  </si>
  <si>
    <t>Dhama Rakhita, Nyein Chan Tar Yar Ward(Lon Khin)</t>
  </si>
  <si>
    <t>Hmaw Wan, Anglican</t>
  </si>
  <si>
    <t>Lisu Baptist Church, Maw Shan Vil,. Seik Mu</t>
  </si>
  <si>
    <t>Lisu Baptist Church, Maw Wan Ward</t>
  </si>
  <si>
    <t>Maw Wan, Mu-yin Baptist Church</t>
  </si>
  <si>
    <t>Nant Ma Hpit Catholic Church</t>
  </si>
  <si>
    <t>Rawan Baptist Church, Maw Shan Vil., Seik Mu</t>
  </si>
  <si>
    <t>Sai Nai Baptish Church, Maw Shan Vil., Seki Mu</t>
  </si>
  <si>
    <t xml:space="preserve">Ward 2 Sai Taung Baptist Church, Seik Mu </t>
  </si>
  <si>
    <t>Yumar Baptist Church</t>
  </si>
  <si>
    <t>Khaunglanhpu</t>
  </si>
  <si>
    <t>La Ja</t>
  </si>
  <si>
    <t xml:space="preserve">Kyun Taw Baptist Church </t>
  </si>
  <si>
    <t>Mang Hawng Baptist Church</t>
  </si>
  <si>
    <t xml:space="preserve">Nat Gyi Kone Baptist Church </t>
  </si>
  <si>
    <t>Mohnyin</t>
  </si>
  <si>
    <t xml:space="preserve">St. Patrick Catholic Church </t>
  </si>
  <si>
    <t>Myitkyina</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</si>
  <si>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</si>
  <si>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</si>
  <si>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</si>
  <si>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</si>
  <si>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</si>
  <si>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</si>
  <si>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</si>
  <si>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</si>
  <si>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</si>
  <si>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</si>
  <si>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</si>
  <si>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</si>
  <si>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</si>
  <si>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</si>
  <si>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</si>
  <si>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</si>
  <si>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</si>
  <si>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</si>
  <si>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</si>
  <si>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</si>
  <si>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</si>
  <si>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</si>
  <si>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Waingmaw</t>
  </si>
  <si>
    <t xml:space="preserve">Hkat Cho </t>
  </si>
  <si>
    <t>Hkau Shau (BP 12)</t>
  </si>
  <si>
    <t>Mading Baptist Church</t>
  </si>
  <si>
    <t xml:space="preserve">Maga Yang </t>
  </si>
  <si>
    <t>Maina AG Church</t>
  </si>
  <si>
    <t>Maina Catholic Church (St. Joseph)</t>
  </si>
  <si>
    <t>Maina KBC (Bawng Ring)</t>
  </si>
  <si>
    <t>Maina Lawang Baptist Church</t>
  </si>
  <si>
    <t>Nawng Hee Village</t>
  </si>
  <si>
    <t>Post 6 Camp</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</si>
  <si>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</si>
  <si>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</si>
  <si>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</si>
  <si>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</si>
  <si>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</si>
  <si>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</si>
  <si>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</si>
  <si>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</si>
  <si>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</si>
  <si>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</si>
  <si>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Bhamo</t>
  </si>
  <si>
    <t>Aung Thar Church</t>
  </si>
  <si>
    <t>Lisu Boarding-House</t>
  </si>
  <si>
    <t>Nant Hlaing Church</t>
  </si>
  <si>
    <t>Ta Gun Taing Monastery (Shwe Kyi Na)</t>
  </si>
  <si>
    <t>Yoe Kyi Monastery</t>
  </si>
  <si>
    <t>Mansi</t>
  </si>
  <si>
    <t>Manton</t>
  </si>
  <si>
    <t>Momauk</t>
  </si>
  <si>
    <t xml:space="preserve">Dum Bung </t>
  </si>
  <si>
    <t xml:space="preserve">Hpun Lum Yang </t>
  </si>
  <si>
    <t xml:space="preserve">Nhkawng Pa </t>
  </si>
  <si>
    <t>Loi Je Baptist Church</t>
  </si>
  <si>
    <t>Loi Je Catholic Church</t>
  </si>
  <si>
    <t xml:space="preserve">Mai Khat </t>
  </si>
  <si>
    <t xml:space="preserve">Man Nawng </t>
  </si>
  <si>
    <t>Mandalay Monestry</t>
  </si>
  <si>
    <t>Momauk Baptist Church</t>
  </si>
  <si>
    <t xml:space="preserve">Myo Thit </t>
  </si>
  <si>
    <t>Ni Thaw Ka Monestry</t>
  </si>
  <si>
    <t>Lawk Awng Mare D. (Sinbo Area)</t>
  </si>
  <si>
    <t>Shwe Gu Baptist Church</t>
  </si>
  <si>
    <t>Shwe Gu Catholic Church</t>
  </si>
  <si>
    <t xml:space="preserve">Je Yang Hka </t>
  </si>
  <si>
    <t>Pajau / Jan Mai</t>
  </si>
  <si>
    <t>Kutkai</t>
  </si>
  <si>
    <t>Kone Khem Camp</t>
  </si>
  <si>
    <t>Kutkai downtown (KBC Church)</t>
  </si>
  <si>
    <t>Kutkai downtown (RC Church)</t>
  </si>
  <si>
    <t>Mine Yu Lay village</t>
  </si>
  <si>
    <t xml:space="preserve">Mungji Pa Dabang (Baptist Church)         </t>
  </si>
  <si>
    <t xml:space="preserve">Mungji Pa Dabang (RC Church)         </t>
  </si>
  <si>
    <t xml:space="preserve">Nam Hpak Ka Mare </t>
  </si>
  <si>
    <t>Zup Aung Camp</t>
  </si>
  <si>
    <t>Muse</t>
  </si>
  <si>
    <t>Nam Hkam - Nay Win Ni (Palawng)</t>
  </si>
  <si>
    <t>Nam Hkam (KBC Jaw Wang)</t>
  </si>
  <si>
    <t>Nam Hkam Catholic Church ( St. Thomas I)</t>
  </si>
  <si>
    <t>GCA</t>
  </si>
  <si>
    <t xml:space="preserve">Njang Dung Baptist Church </t>
  </si>
  <si>
    <t>Nan Kway St. John Catholic Church</t>
  </si>
  <si>
    <t>Hpare Hkyer - BP6</t>
  </si>
  <si>
    <t>Man Bung Catholic compound</t>
  </si>
  <si>
    <t>Shwegu</t>
  </si>
  <si>
    <t>Puta-O</t>
  </si>
  <si>
    <t>Mogaung</t>
  </si>
  <si>
    <t>NGCA</t>
  </si>
  <si>
    <t>Border Post 8</t>
  </si>
  <si>
    <t>Hlaing Naung Baptist</t>
  </si>
  <si>
    <t>Nam Ma Phyit, COC</t>
  </si>
  <si>
    <t>Khun Sint Village</t>
  </si>
  <si>
    <t>Narte</t>
  </si>
  <si>
    <t>Namtu</t>
  </si>
  <si>
    <r>
      <rPr>
        <b/>
        <sz val="10"/>
        <color indexed="10"/>
        <rFont val="Calibri"/>
        <family val="2"/>
      </rPr>
      <t xml:space="preserve">litres/day produce </t>
    </r>
    <r>
      <rPr>
        <b/>
        <sz val="10"/>
        <color indexed="8"/>
        <rFont val="Calibri"/>
        <family val="2"/>
      </rPr>
      <t xml:space="preserve"> 
Water treatment station </t>
    </r>
  </si>
  <si>
    <r>
      <rPr>
        <b/>
        <sz val="10"/>
        <color indexed="10"/>
        <rFont val="Calibri"/>
        <family val="2"/>
      </rPr>
      <t>litres deliver during the month</t>
    </r>
    <r>
      <rPr>
        <b/>
        <sz val="10"/>
        <color indexed="8"/>
        <rFont val="Calibri"/>
        <family val="2"/>
      </rPr>
      <t xml:space="preserve">
Water/Boat trucking </t>
    </r>
  </si>
  <si>
    <t>KMSS</t>
  </si>
  <si>
    <t>Active</t>
  </si>
  <si>
    <t>Metta</t>
  </si>
  <si>
    <t>SI</t>
  </si>
  <si>
    <t>KBC</t>
  </si>
  <si>
    <t>Coverage Hygiene kits * Total PoP</t>
  </si>
  <si>
    <t>Row Labels</t>
  </si>
  <si>
    <t>Sum of Total PoP</t>
  </si>
  <si>
    <t>80-100%</t>
  </si>
  <si>
    <t>0-10%</t>
  </si>
  <si>
    <t>Household treatment</t>
  </si>
  <si>
    <t>Potential % of actual need coverage including houshold treatment solution</t>
  </si>
  <si>
    <r>
      <rPr>
        <b/>
        <sz val="14"/>
        <color indexed="10"/>
        <rFont val="Calibri"/>
        <family val="2"/>
      </rPr>
      <t>Safe</t>
    </r>
    <r>
      <rPr>
        <b/>
        <sz val="14"/>
        <color indexed="8"/>
        <rFont val="Calibri"/>
        <family val="2"/>
      </rPr>
      <t xml:space="preserve"> Water supply</t>
    </r>
  </si>
  <si>
    <r>
      <t xml:space="preserve">litres/Day </t>
    </r>
    <r>
      <rPr>
        <b/>
        <sz val="10"/>
        <rFont val="Calibri"/>
        <family val="2"/>
      </rPr>
      <t>provided with Overhead or storage tank with reticulation/ Water  gravity system           ( Yield x average running hours)</t>
    </r>
  </si>
  <si>
    <r>
      <rPr>
        <b/>
        <sz val="10"/>
        <color indexed="10"/>
        <rFont val="Calibri"/>
        <family val="2"/>
      </rPr>
      <t>%</t>
    </r>
    <r>
      <rPr>
        <b/>
        <sz val="10"/>
        <color indexed="8"/>
        <rFont val="Calibri"/>
        <family val="2"/>
      </rPr>
      <t xml:space="preserve"> Water harvesting system HH coverage</t>
    </r>
  </si>
  <si>
    <r>
      <rPr>
        <b/>
        <sz val="10"/>
        <color indexed="10"/>
        <rFont val="Calibri"/>
        <family val="2"/>
      </rPr>
      <t>#</t>
    </r>
    <r>
      <rPr>
        <b/>
        <sz val="10"/>
        <color indexed="8"/>
        <rFont val="Calibri"/>
        <family val="2"/>
      </rPr>
      <t xml:space="preserve"> Emergency latrines still </t>
    </r>
    <r>
      <rPr>
        <b/>
        <sz val="10"/>
        <color indexed="10"/>
        <rFont val="Calibri"/>
        <family val="2"/>
      </rPr>
      <t>functional</t>
    </r>
  </si>
  <si>
    <r>
      <rPr>
        <b/>
        <sz val="10"/>
        <color indexed="10"/>
        <rFont val="Calibri"/>
        <family val="2"/>
      </rPr>
      <t>#</t>
    </r>
    <r>
      <rPr>
        <b/>
        <sz val="10"/>
        <color indexed="8"/>
        <rFont val="Calibri"/>
        <family val="2"/>
      </rPr>
      <t xml:space="preserve"> Semi permanent latrine </t>
    </r>
    <r>
      <rPr>
        <b/>
        <sz val="10"/>
        <color indexed="10"/>
        <rFont val="Calibri"/>
        <family val="2"/>
      </rPr>
      <t>functional</t>
    </r>
  </si>
  <si>
    <r>
      <rPr>
        <b/>
        <sz val="10"/>
        <color indexed="10"/>
        <rFont val="Calibri"/>
        <family val="2"/>
      </rPr>
      <t>#</t>
    </r>
    <r>
      <rPr>
        <b/>
        <sz val="10"/>
        <color indexed="8"/>
        <rFont val="Calibri"/>
        <family val="2"/>
      </rPr>
      <t xml:space="preserve"> Hand washing station </t>
    </r>
    <r>
      <rPr>
        <b/>
        <sz val="10"/>
        <color indexed="10"/>
        <rFont val="Calibri"/>
        <family val="2"/>
      </rPr>
      <t>funtional</t>
    </r>
  </si>
  <si>
    <t>Column Labels</t>
  </si>
  <si>
    <t>Hpakant Baptist Church, Nam Ma Hpit</t>
  </si>
  <si>
    <t>Merlin</t>
  </si>
  <si>
    <t>Source of Data</t>
  </si>
  <si>
    <t>Focal NGO</t>
  </si>
  <si>
    <t>UNICEF</t>
  </si>
  <si>
    <t>Not documented</t>
  </si>
  <si>
    <t>Zoning cluster location</t>
  </si>
  <si>
    <t>Cluster 1</t>
  </si>
  <si>
    <t>Cluster 2</t>
  </si>
  <si>
    <t>Cluster 3</t>
  </si>
  <si>
    <t>Cluster 4</t>
  </si>
  <si>
    <t>Cluster 5</t>
  </si>
  <si>
    <t>(Multiple Items)</t>
  </si>
  <si>
    <t>Ratio between population and nb of community HP</t>
  </si>
  <si>
    <t>% Semi permanent latrine</t>
  </si>
  <si>
    <t>Access of safe water drinking permanent water point</t>
  </si>
  <si>
    <t>Cluster 6</t>
  </si>
  <si>
    <t>Cluster 7</t>
  </si>
  <si>
    <t>Cluster 8</t>
  </si>
  <si>
    <t>Cluster 9</t>
  </si>
  <si>
    <t>Estimated coverage of bathroom at the end of project with gender speration</t>
  </si>
  <si>
    <r>
      <rPr>
        <b/>
        <sz val="10"/>
        <color indexed="10"/>
        <rFont val="Calibri"/>
        <family val="2"/>
      </rPr>
      <t>% Estimated</t>
    </r>
    <r>
      <rPr>
        <b/>
        <sz val="10"/>
        <color indexed="8"/>
        <rFont val="Calibri"/>
        <family val="2"/>
      </rPr>
      <t xml:space="preserve"> coverage of latrine need at the end of project</t>
    </r>
  </si>
  <si>
    <t>Estimated coverage need of hand washing station at the end of project</t>
  </si>
  <si>
    <r>
      <rPr>
        <b/>
        <sz val="10"/>
        <color indexed="10"/>
        <rFont val="Calibri"/>
        <family val="2"/>
      </rPr>
      <t>%</t>
    </r>
    <r>
      <rPr>
        <b/>
        <sz val="10"/>
        <color indexed="8"/>
        <rFont val="Calibri"/>
        <family val="2"/>
      </rPr>
      <t xml:space="preserve"> Estimated need coverage at the end of project</t>
    </r>
  </si>
  <si>
    <t>AD-2000 Tharthana Compound*</t>
  </si>
  <si>
    <t>Htoi San Church*</t>
  </si>
  <si>
    <t>Shalom</t>
  </si>
  <si>
    <t>IRRC</t>
  </si>
  <si>
    <t>KMSS- Lashio</t>
  </si>
  <si>
    <t>Man Wing Baptist Church*</t>
  </si>
  <si>
    <t>Man Wing Catholic Church*</t>
  </si>
  <si>
    <t>Mansi Baptist Church*</t>
  </si>
  <si>
    <t>Church</t>
  </si>
  <si>
    <t>Pan Wa</t>
  </si>
  <si>
    <t>CESVI</t>
  </si>
  <si>
    <t>WPN</t>
  </si>
  <si>
    <t>Documented</t>
  </si>
  <si>
    <t>Community management organise and efficient in camps</t>
  </si>
  <si>
    <t>Count of Community management organise and efficient in camps</t>
  </si>
  <si>
    <t>UNHCR</t>
  </si>
  <si>
    <t>Latrine shared by families , not separated</t>
  </si>
  <si>
    <t>Separate, clearly perceived</t>
  </si>
  <si>
    <t>Separate, but not clearly perceived</t>
  </si>
  <si>
    <t xml:space="preserve">Set up but low results </t>
  </si>
  <si>
    <t>Not yet planned</t>
  </si>
  <si>
    <r>
      <rPr>
        <b/>
        <sz val="10"/>
        <color indexed="10"/>
        <rFont val="Calibri"/>
        <family val="2"/>
      </rPr>
      <t>#</t>
    </r>
    <r>
      <rPr>
        <b/>
        <sz val="10"/>
        <color indexed="8"/>
        <rFont val="Calibri"/>
        <family val="2"/>
      </rPr>
      <t xml:space="preserve"> Open hand Dug wells (without hand pump)</t>
    </r>
  </si>
  <si>
    <r>
      <rPr>
        <b/>
        <sz val="10"/>
        <color rgb="FFFF0000"/>
        <rFont val="Calibri"/>
        <family val="2"/>
      </rPr>
      <t xml:space="preserve">Date </t>
    </r>
    <r>
      <rPr>
        <b/>
        <sz val="10"/>
        <color theme="1"/>
        <rFont val="Calibri"/>
        <family val="2"/>
      </rPr>
      <t>Last Full Hygiene Kit distribution</t>
    </r>
  </si>
  <si>
    <r>
      <rPr>
        <b/>
        <sz val="10"/>
        <color indexed="10"/>
        <rFont val="Calibri"/>
        <family val="2"/>
      </rPr>
      <t>Total #</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</si>
  <si>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 distributed for Refilling Kits since last full kit distribution</t>
    </r>
  </si>
  <si>
    <t>Next distribution to be done</t>
  </si>
  <si>
    <t>None</t>
  </si>
  <si>
    <t>Population for Actual water needs coverage</t>
  </si>
  <si>
    <t>Population for Estimated need coverage in 2 months</t>
  </si>
  <si>
    <t>Population for of actual need covered by emergency facilities</t>
  </si>
  <si>
    <t>Population for Potential % of actual need coverage including houshold treatment solution</t>
  </si>
  <si>
    <t>Population for access of safe water drinking permanent water point</t>
  </si>
  <si>
    <t>Population for % Emergency latrines</t>
  </si>
  <si>
    <t>Population for % Latrine needs coverage</t>
  </si>
  <si>
    <t>Population for % Semi permanent latrine</t>
  </si>
  <si>
    <t>Population for % Estimated coverage of latrine need at the end of project</t>
  </si>
  <si>
    <t>Population Coverage Bathing %</t>
  </si>
  <si>
    <t>Population for  Estimated coverage of bathroom need at the end of projects  % with gender speration</t>
  </si>
  <si>
    <t>Maing Khaung Baptist Church</t>
  </si>
  <si>
    <t>Maing Khaung Catholic Church</t>
  </si>
  <si>
    <t>Cluster 10</t>
  </si>
  <si>
    <t xml:space="preserve">Nawng Ing (Indawgyi) Baptist Church  </t>
  </si>
  <si>
    <t xml:space="preserve">Loi Je Nyaung Na Pin </t>
  </si>
  <si>
    <t xml:space="preserve">Loi Je Seng Ja </t>
  </si>
  <si>
    <t>KACHIN EMERGENCY FUNDS ANALYSIS</t>
  </si>
  <si>
    <t>DONORS FUND PARTICIPATION *</t>
  </si>
  <si>
    <t>Year fund received</t>
  </si>
  <si>
    <t>Sum of Total budget of the project US$. For only WASH related cost (including related support costs)</t>
  </si>
  <si>
    <t>Donor</t>
  </si>
  <si>
    <t>ECHO</t>
  </si>
  <si>
    <t>Germany</t>
  </si>
  <si>
    <t>OFDA</t>
  </si>
  <si>
    <t>CERF</t>
  </si>
  <si>
    <t>Canada</t>
  </si>
  <si>
    <t>Australian</t>
  </si>
  <si>
    <t>France</t>
  </si>
  <si>
    <t>Sweden</t>
  </si>
  <si>
    <t>CIDA</t>
  </si>
  <si>
    <t>FUND RECEIVED PER YEAR</t>
  </si>
  <si>
    <t>APPROXIMATE FUND USE/ENGAGED PER YEAR*</t>
  </si>
  <si>
    <t>GEOGRAPHIC FUND REPARTITION</t>
  </si>
  <si>
    <t>% fund attributed for Northern Shan</t>
  </si>
  <si>
    <t xml:space="preserve"> % fund attributed for South Kachin</t>
  </si>
  <si>
    <t xml:space="preserve"> % funds attributed for North kachin</t>
  </si>
  <si>
    <t>Average of Approximative % of NGCA beneficiaries</t>
  </si>
  <si>
    <t>Average of Approximative % of GCA beneficiaries</t>
  </si>
  <si>
    <t>BENEFICIARIES REPARTITION</t>
  </si>
  <si>
    <t>Average of Approximate % of beneficiaries in host community</t>
  </si>
  <si>
    <t>Average of Approximate % of beneficiaries in camps</t>
  </si>
  <si>
    <t>FUNDS REPARTITION BY SUB-SECTOR</t>
  </si>
  <si>
    <t>Average of Approximate % of fund dedicated to sanitation</t>
  </si>
  <si>
    <t>Average of Approximate % fund dedicated to Water access</t>
  </si>
  <si>
    <t>Average of Approximate % of fund dedicated to HP</t>
  </si>
  <si>
    <t>NB OF BENEFICIARIES PER SUB-SECTOR IN CAMPS</t>
  </si>
  <si>
    <t>Number of sanitation beneficiaries</t>
  </si>
  <si>
    <t>Number of water access beneficiaries</t>
  </si>
  <si>
    <t xml:space="preserve"> Number of beneficiairies for HE</t>
  </si>
  <si>
    <t>NB OF BENEFICIARIES IN HOST COMMUNITIES</t>
  </si>
  <si>
    <t>Agency leading the project</t>
  </si>
  <si>
    <t xml:space="preserve"> Nb of sanitation beneficiaries</t>
  </si>
  <si>
    <t>Nb of water access beneficiaries</t>
  </si>
  <si>
    <t>Nb of beneficiairies for HE in host</t>
  </si>
  <si>
    <t>Last update:</t>
  </si>
  <si>
    <t>KACHIN EMMERGENCY FUNDING MATRIX</t>
  </si>
  <si>
    <t>Beneficiaries target  detail by type and sub-sector</t>
  </si>
  <si>
    <t>General</t>
  </si>
  <si>
    <t>Details</t>
  </si>
  <si>
    <t>Beneficiaries</t>
  </si>
  <si>
    <t>Camps</t>
  </si>
  <si>
    <t>Other than camp 
(Host communities, villages...)</t>
  </si>
  <si>
    <t>Budget details</t>
  </si>
  <si>
    <t xml:space="preserve">Implementing or consortium partner  </t>
  </si>
  <si>
    <t>cofunding donors</t>
  </si>
  <si>
    <t>Name of the project</t>
  </si>
  <si>
    <t>Project start date 
 dd/mm/yy</t>
  </si>
  <si>
    <t>Project end date  dd/mm/yy</t>
  </si>
  <si>
    <t>Status of the project</t>
  </si>
  <si>
    <t>Total Nb of wash beneficiaries</t>
  </si>
  <si>
    <t>Approximative % of NGCA beneficiaries</t>
  </si>
  <si>
    <t>Approximative % of GCA beneficiaries</t>
  </si>
  <si>
    <t>% Northern Shan</t>
  </si>
  <si>
    <t>%South Kachin</t>
  </si>
  <si>
    <t>%North kachin</t>
  </si>
  <si>
    <t>Approximate % of beneficiaries in camps</t>
  </si>
  <si>
    <t>Approximate % of beneficiaries in host community</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</si>
  <si>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</si>
  <si>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</si>
  <si>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</si>
  <si>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</si>
  <si>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</si>
  <si>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</si>
  <si>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</si>
  <si>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</si>
  <si>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</si>
  <si>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</si>
  <si>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</si>
  <si>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Provision of Hygiene and Sanitation facilities for IDPs at Khaung Doke Khar, Say Tha Mar Gyi and Ohn Taw Gyi 2 camps at Sittwe Township in Rakhine State</t>
  </si>
  <si>
    <t>Emergency support for people displaced by the conflict in Kachin State, Myanmar</t>
  </si>
  <si>
    <t>DWHH</t>
  </si>
  <si>
    <t xml:space="preserve"> Improvement of Community Drinking Water Supply and Strengthening of Communal Structures of Marginalised Population in Northern Shan State as well as Humanitarian Assistance to IDP due to the armed conflict in Kachin State (PN: 20121882.5)</t>
  </si>
  <si>
    <t>HIDA</t>
  </si>
  <si>
    <t>Provision of water and sanitation facilities, and non-food relief items - IDPs in Kachin State (M013859)</t>
  </si>
  <si>
    <t>Humanitarian Assistance to Internally Dispalced Persons in Kachin
Addendum</t>
  </si>
  <si>
    <t xml:space="preserve">Humanitarian Assistance to Internally Dispalced Persons in Kachin
</t>
  </si>
  <si>
    <t>Humanitarian Assistance to Internally Dispalced Persons in Kachin</t>
  </si>
  <si>
    <t>ERF</t>
  </si>
  <si>
    <t>Humanitarian assitance to internally displaced persons in Kachin State</t>
  </si>
  <si>
    <t>Supporting life saving health interventions in conflict affected populations in Northern Shan State, Myanmar</t>
  </si>
  <si>
    <t>Oxfam GB</t>
  </si>
  <si>
    <t>KBC/Shalom</t>
  </si>
  <si>
    <t>Australian
CIDA</t>
  </si>
  <si>
    <t>Emergency Response for Conflict-Affected Population in Kachin and Northern Shan</t>
  </si>
  <si>
    <t>Data input on 17/10/2013</t>
  </si>
  <si>
    <t>ECHO/CIDA</t>
  </si>
  <si>
    <t>Same project than previous one, co-financing</t>
  </si>
  <si>
    <t>ECHO/Australian</t>
  </si>
  <si>
    <t>Plan</t>
  </si>
  <si>
    <t>SCI</t>
  </si>
  <si>
    <t>Emergency Assistance to Conflict Affected Populations in Myanmar</t>
  </si>
  <si>
    <t>active</t>
  </si>
  <si>
    <t>Emergency WASH support for the affected population in Southern Kachin State</t>
  </si>
  <si>
    <t>Water, Sanitation and Hygiene assistance for IDPs affected by the conflict in Southern Kachin State (ECHO/-XA/BUD/2012/91023)</t>
  </si>
  <si>
    <t>Part of global project including Rakhines. For activities the 58% remaining are for Winter kits and assesment of new sites.</t>
  </si>
  <si>
    <t xml:space="preserve"> WASH activities and distribution of non-food items in the Bhamo camps</t>
  </si>
  <si>
    <t>Completed</t>
  </si>
  <si>
    <t>UNICEF/OFDA</t>
  </si>
  <si>
    <t>Cofi-UNICEF-CERF//ECHO The reported beneficiaries are under the ECHO Project for both of those project // ----------------------------------------------------------------the remaining 35% for the distribution of Winter Kits</t>
  </si>
  <si>
    <t>Water, Sanitation and Hygiene rapid response to internal displacements in Kachin and Northern Shan States</t>
  </si>
  <si>
    <t>Integrated WaSH assistance to IDPs affected by conflict
 in Kachin State</t>
  </si>
  <si>
    <t>Trocaire</t>
  </si>
  <si>
    <t>DIFID</t>
  </si>
  <si>
    <t>WASH activity and distribution of Hygiene Kits in Myitkyina and Lashio</t>
  </si>
  <si>
    <t>Secondment of a WASH emergency officer to UNICEF for work in Kachin</t>
  </si>
  <si>
    <t>Secondment of a WASH emergency Capacity building to UNICEF for work in Kachin</t>
  </si>
  <si>
    <t>List status</t>
  </si>
  <si>
    <t>In soumission</t>
  </si>
  <si>
    <t>Rajouter CERF recu et difference commited</t>
  </si>
  <si>
    <t>WASH CLUSTER STRATEGY QUANTITATIVE OBJECTIVE FOLLOW UP</t>
  </si>
  <si>
    <t>Target population</t>
  </si>
  <si>
    <t>Presently targetted</t>
  </si>
  <si>
    <t>% Targetted</t>
  </si>
  <si>
    <t>Remarks</t>
  </si>
  <si>
    <t>Target review in consideration of population update in 4W</t>
  </si>
  <si>
    <r>
      <t xml:space="preserve">Indicators Follow up </t>
    </r>
    <r>
      <rPr>
        <b/>
        <i/>
        <sz val="11"/>
        <color theme="0"/>
        <rFont val="Calibri"/>
        <family val="2"/>
        <scheme val="minor"/>
      </rPr>
      <t>(only quantativally measurable, taken form cluster strategy)</t>
    </r>
  </si>
  <si>
    <t>Objective 1, indicators:</t>
  </si>
  <si>
    <t>Target</t>
  </si>
  <si>
    <t>Achieved</t>
  </si>
  <si>
    <t>Verification sources</t>
  </si>
  <si>
    <t>4W</t>
  </si>
  <si>
    <t>Objective 2, indicators:</t>
  </si>
  <si>
    <t>Objective 3, indicators:</t>
  </si>
  <si>
    <t xml:space="preserve">IDP in GCA camps </t>
  </si>
  <si>
    <t>IDP in NGCA camps</t>
  </si>
  <si>
    <t>Student</t>
  </si>
  <si>
    <t>Small Scale emergency</t>
  </si>
  <si>
    <t>Camp</t>
  </si>
  <si>
    <t>School</t>
  </si>
  <si>
    <t>Potential Number permanent water point missing</t>
  </si>
  <si>
    <t>Number family having ceramic filter</t>
  </si>
  <si>
    <t>nb of persons having rain harvest acess</t>
  </si>
  <si>
    <t>Nb of missing bathing space</t>
  </si>
  <si>
    <t>Nb of missing hand washing station</t>
  </si>
  <si>
    <t>Master 4W WASH  ANALYSIS</t>
  </si>
  <si>
    <t>Master 4W WASH KACHIN</t>
  </si>
  <si>
    <t>Namtu Baptist</t>
  </si>
  <si>
    <t>Doke Htan Ward</t>
  </si>
  <si>
    <t>Village</t>
  </si>
  <si>
    <t>Mu-yin Baptist Church</t>
  </si>
  <si>
    <t>Agritural Compound (KBC)</t>
  </si>
  <si>
    <t>Kachin Su Baptist Church (ECCD)</t>
  </si>
  <si>
    <t>Khar Nan (1) Baptist Church</t>
  </si>
  <si>
    <t>Man Bung Edin Baptist Church</t>
  </si>
  <si>
    <t xml:space="preserve">Tarli </t>
  </si>
  <si>
    <t>SC and Metta will organize for WASH committee forming</t>
  </si>
  <si>
    <t>Namkham</t>
  </si>
  <si>
    <t>Bang Lung</t>
  </si>
  <si>
    <t>Jaw 2</t>
  </si>
  <si>
    <t xml:space="preserve">these IDPs are using nearest water sources </t>
  </si>
  <si>
    <t>Chipwi (School coumpound)</t>
  </si>
  <si>
    <t>Japan</t>
  </si>
  <si>
    <t>Emergency WASH assistance and Food Security and Livelihood support to vulnerable populations affected by conflicts in Rakhine and Kachin States</t>
  </si>
  <si>
    <t>SC seed funding</t>
  </si>
  <si>
    <t>MMR Kachin  Humanitarian Response</t>
  </si>
  <si>
    <t>Humanitarian assistance to populations affected by vioence in Rakhine &amp; Kachin States</t>
  </si>
  <si>
    <t>SIDA</t>
  </si>
  <si>
    <t>MMR Emergency assistance to populations affected by displacement and violence in Kachin State</t>
  </si>
  <si>
    <t>Muse KBC Church</t>
  </si>
  <si>
    <t>Muse RC Church</t>
  </si>
  <si>
    <t>Loi Je RC Boarding School</t>
  </si>
  <si>
    <t>Camp_P_Code</t>
  </si>
  <si>
    <t>MMR001CMP001</t>
  </si>
  <si>
    <t>MMR001CMP002</t>
  </si>
  <si>
    <t>MMR001CMP003</t>
  </si>
  <si>
    <t>MMR001CMP004</t>
  </si>
  <si>
    <t>MMR001CMP005</t>
  </si>
  <si>
    <t>MMR001CMP006</t>
  </si>
  <si>
    <t>MMR001CMP007</t>
  </si>
  <si>
    <t>MMR001CMP009</t>
  </si>
  <si>
    <t>MMR001CMP008</t>
  </si>
  <si>
    <t>MMR001CMP010</t>
  </si>
  <si>
    <t>MMR001CMP011</t>
  </si>
  <si>
    <t>MMR001CMP012</t>
  </si>
  <si>
    <t>MMR001CMP013</t>
  </si>
  <si>
    <t>MMR001CMP014</t>
  </si>
  <si>
    <t>MMR001CMP015</t>
  </si>
  <si>
    <t>MMR001CMP016</t>
  </si>
  <si>
    <t>MMR001CMP018</t>
  </si>
  <si>
    <t>MMR001CMP019</t>
  </si>
  <si>
    <t>MMR001CMP020</t>
  </si>
  <si>
    <t>MMR001CMP021</t>
  </si>
  <si>
    <t>MMR001CMP022</t>
  </si>
  <si>
    <t>MMR001CMP023</t>
  </si>
  <si>
    <t>MMR001CMP024</t>
  </si>
  <si>
    <t>MMR001CMP162</t>
  </si>
  <si>
    <t>MMR001CMP050</t>
  </si>
  <si>
    <t>MMR001CMP194</t>
  </si>
  <si>
    <t>MMR001CMP052</t>
  </si>
  <si>
    <t>MMR001CMP049</t>
  </si>
  <si>
    <t>MMR001CMP051</t>
  </si>
  <si>
    <t>MMR001CMP054</t>
  </si>
  <si>
    <t>MMR001CMP193</t>
  </si>
  <si>
    <t>MMR001CMP047</t>
  </si>
  <si>
    <t>MMR001CMP055</t>
  </si>
  <si>
    <t>MMR001CMP053</t>
  </si>
  <si>
    <t>MMR001CMP042</t>
  </si>
  <si>
    <t>MMR001CMP043</t>
  </si>
  <si>
    <t>MMR001CMP195</t>
  </si>
  <si>
    <t>MMR001CMP210</t>
  </si>
  <si>
    <t>MMR001CMP179</t>
  </si>
  <si>
    <t>MMR001CMP168</t>
  </si>
  <si>
    <t>MMR001CMP176</t>
  </si>
  <si>
    <t>MMR001CMP190</t>
  </si>
  <si>
    <t>MMR001CMP169</t>
  </si>
  <si>
    <t>MMR001CMP188</t>
  </si>
  <si>
    <t>MMR001CMP109</t>
  </si>
  <si>
    <t>MMR001CMP174</t>
  </si>
  <si>
    <t>MMR001CMP148</t>
  </si>
  <si>
    <t>MMR001CMP191</t>
  </si>
  <si>
    <t>MMR001CMP181</t>
  </si>
  <si>
    <t>MMR001CMP167</t>
  </si>
  <si>
    <t>MMR001CMP091</t>
  </si>
  <si>
    <t>MMR001CMP192</t>
  </si>
  <si>
    <t>MMR001CMP103</t>
  </si>
  <si>
    <t>MMR001CMP182</t>
  </si>
  <si>
    <t>MMR001CMP183</t>
  </si>
  <si>
    <t>MMR001CMP184</t>
  </si>
  <si>
    <t>MMR001CMP105</t>
  </si>
  <si>
    <t>MMR001CMP074</t>
  </si>
  <si>
    <t>MMR015CMP015</t>
  </si>
  <si>
    <t>MMR015CMP016</t>
  </si>
  <si>
    <t>MMR015CMP017</t>
  </si>
  <si>
    <t>MMR015CMP018</t>
  </si>
  <si>
    <t>MMR015CMP006</t>
  </si>
  <si>
    <t>MMR015CMP019</t>
  </si>
  <si>
    <t>MMR001CMP129</t>
  </si>
  <si>
    <t>MMR001CMP202</t>
  </si>
  <si>
    <t>MMR001CMP128</t>
  </si>
  <si>
    <t>MMR001CMP212</t>
  </si>
  <si>
    <t>MMR001CMP213</t>
  </si>
  <si>
    <t>MMR001CMP133</t>
  </si>
  <si>
    <t>MMR001CMP132</t>
  </si>
  <si>
    <t>MMR001CMP066</t>
  </si>
  <si>
    <t>MMR001CMP077</t>
  </si>
  <si>
    <t>MMR001CMP079</t>
  </si>
  <si>
    <t>MMR001CMP078</t>
  </si>
  <si>
    <t>MMR001CMP080</t>
  </si>
  <si>
    <t>MMR001CMP152</t>
  </si>
  <si>
    <t>MMR001CMP123</t>
  </si>
  <si>
    <t>MMR001CMP197</t>
  </si>
  <si>
    <t>MMR001CMP122</t>
  </si>
  <si>
    <t>MMR001CMP121</t>
  </si>
  <si>
    <t>MMR001CMP200</t>
  </si>
  <si>
    <t>MMR001CMP071</t>
  </si>
  <si>
    <t>MMR001CMP069</t>
  </si>
  <si>
    <t>MMR001CMP070</t>
  </si>
  <si>
    <t>MMR001CMP064</t>
  </si>
  <si>
    <t>MMR001CMP062</t>
  </si>
  <si>
    <t>MMR001CMP063</t>
  </si>
  <si>
    <t>MMR001CMP058</t>
  </si>
  <si>
    <t>MMR001CMP056</t>
  </si>
  <si>
    <t>MMR001CMP061</t>
  </si>
  <si>
    <t>MMR001CMP059</t>
  </si>
  <si>
    <t>MMR001CMP060</t>
  </si>
  <si>
    <t>MMR015CMP004</t>
  </si>
  <si>
    <t>MMR015CMP001</t>
  </si>
  <si>
    <t>MMR015CMP003</t>
  </si>
  <si>
    <t>MMR001CMP075</t>
  </si>
  <si>
    <t>MMR001CMP067</t>
  </si>
  <si>
    <t>MMR001CMP068</t>
  </si>
  <si>
    <t>MMR001CMP199</t>
  </si>
  <si>
    <t>MMR001CMP113</t>
  </si>
  <si>
    <t>MMR001CMP028</t>
  </si>
  <si>
    <t>MMR001CMP115</t>
  </si>
  <si>
    <t>MMR001CMP208</t>
  </si>
  <si>
    <t>MMR001CMP027</t>
  </si>
  <si>
    <t>MMR001CMP119</t>
  </si>
  <si>
    <t>MMR001CMP031</t>
  </si>
  <si>
    <t>MMR001CMP029</t>
  </si>
  <si>
    <t>MMR001CMP040</t>
  </si>
  <si>
    <t>MMR001CMP039</t>
  </si>
  <si>
    <t>MMR001CMP033</t>
  </si>
  <si>
    <t>MMR001CMP120</t>
  </si>
  <si>
    <t>MMR001CMP160</t>
  </si>
  <si>
    <t>MMR001CMP032</t>
  </si>
  <si>
    <t>MMR001CMP025</t>
  </si>
  <si>
    <t>MMR001CMP030</t>
  </si>
  <si>
    <t>MMR001CMP026</t>
  </si>
  <si>
    <t>MMR001CMP041</t>
  </si>
  <si>
    <t>MMR001CMP037</t>
  </si>
  <si>
    <t>MMR001CMP038</t>
  </si>
  <si>
    <t>MMR001CMP036</t>
  </si>
  <si>
    <t>MMR001CMP116</t>
  </si>
  <si>
    <t>MMR001CMP111</t>
  </si>
  <si>
    <t>Start fund</t>
  </si>
  <si>
    <t>Oxfam</t>
  </si>
  <si>
    <t>Emergency Response for Conflict-Affected Population in Kachin and Northern Shan 14/15</t>
  </si>
  <si>
    <t xml:space="preserve">Data input on 09/06/2014. Note this funding does not enable full coverage with hygiene kits in GCA camps. Oxfam will submit to UNICEF a proposal to cover the gap, but targeting will also be established this year due to increasing livlihoods and decreasing donor funds. </t>
  </si>
  <si>
    <t>Population</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</si>
  <si>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</si>
  <si>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Tat Kone (Ra Da Kawng)</t>
  </si>
  <si>
    <t>Girl Boarding house, A Len Bum</t>
  </si>
  <si>
    <t>Boys Boarding house, A Len Bum</t>
  </si>
  <si>
    <t>Bum Tsit Pa * (1)</t>
  </si>
  <si>
    <t>Bum Tsit Pa * (2)</t>
  </si>
  <si>
    <t xml:space="preserve">Pa Kahtawng Boarding Middle School </t>
  </si>
  <si>
    <t xml:space="preserve">Pa Kahtawng Boarding High School </t>
  </si>
  <si>
    <t>Pa Kahtawng 2</t>
  </si>
  <si>
    <t>Pa Kahtawng 1B</t>
  </si>
  <si>
    <t>Pa Kahtawng 1 A</t>
  </si>
  <si>
    <t>Pa Kahtawng Host Families</t>
  </si>
  <si>
    <t>MWG -RC2</t>
  </si>
  <si>
    <t>Nam Hkawng/Manaung kaung</t>
  </si>
  <si>
    <t>Mandung - Jinghpaw</t>
  </si>
  <si>
    <t>Mandung - RC</t>
  </si>
  <si>
    <t>(Nam Hoi) Host families</t>
  </si>
  <si>
    <t>Gap</t>
  </si>
  <si>
    <t>Cesvi</t>
  </si>
  <si>
    <r>
      <rPr>
        <b/>
        <sz val="10"/>
        <color rgb="FFFF0000"/>
        <rFont val="Calibri"/>
        <family val="2"/>
        <scheme val="minor"/>
      </rPr>
      <t>%</t>
    </r>
    <r>
      <rPr>
        <b/>
        <sz val="10"/>
        <color theme="1"/>
        <rFont val="Calibri"/>
        <family val="2"/>
        <scheme val="minor"/>
      </rPr>
      <t xml:space="preserve"> Household covered with Household filtration </t>
    </r>
  </si>
  <si>
    <t>Incinerator operational</t>
  </si>
  <si>
    <t xml:space="preserve">Development of Lifesaving WASH Facilities in tandem with New Shelter Construction for IDPs
</t>
  </si>
  <si>
    <t>DONORS FUNDS PARTICIPATION</t>
  </si>
  <si>
    <t>Sum of Approximate fund 2014 regarding project date implementation</t>
  </si>
  <si>
    <t>AD-2000 Extension camp</t>
  </si>
  <si>
    <t>Loi Je Lisu  (1) Camp</t>
  </si>
  <si>
    <t>Loi Je Lisu  (2) Camp</t>
  </si>
  <si>
    <t>Loi Je Lisu  (3) Camp</t>
  </si>
  <si>
    <t>MMR015CMP009</t>
  </si>
  <si>
    <t>HWS is not functioning, 1 SP was closed becoz of demage concrect ring</t>
  </si>
  <si>
    <t>MDCG supported WASH-Shelter as HH level (no need to construct semi-parmanent)</t>
  </si>
  <si>
    <t xml:space="preserve">community have practice as wash their hand at bathing space near the latrines </t>
  </si>
  <si>
    <t>MDCG supported WASH-Shelter as HH level (no need to construct semi-parmanent)/ bathing space was ongoing activities by Metta</t>
  </si>
  <si>
    <t>SCI will deal with NSS partners for basic HK distribution to cover the whole area</t>
  </si>
  <si>
    <t>Sum of # Semi permanent latrines missing</t>
  </si>
  <si>
    <t>Sum of Coverage Full HK %</t>
  </si>
  <si>
    <t>Population receiving HP at HH level</t>
  </si>
  <si>
    <t>Count of Latrines gender sperated</t>
  </si>
  <si>
    <t>Targetted</t>
  </si>
  <si>
    <t>Count of Targetted</t>
  </si>
  <si>
    <t>Covered</t>
  </si>
  <si>
    <t>Not covered</t>
  </si>
  <si>
    <t>Count of Documented</t>
  </si>
  <si>
    <t>% Water Need coverage</t>
  </si>
  <si>
    <t>% Latrine need coverage</t>
  </si>
  <si>
    <t>% Bathroom need coverage</t>
  </si>
  <si>
    <t>%  Latrine need coverage</t>
  </si>
  <si>
    <t>Count of Rank coverage</t>
  </si>
  <si>
    <t>% Coverage Permanent Latrine</t>
  </si>
  <si>
    <t>% Coverage Emergency latrine</t>
  </si>
  <si>
    <t>%Coverage Permanent Latrine</t>
  </si>
  <si>
    <t>Nb of Familly affected</t>
  </si>
  <si>
    <t>% Coverage Full HK</t>
  </si>
  <si>
    <t>% Coverage HP session at HH level</t>
  </si>
  <si>
    <t>% Coverage projection end of project</t>
  </si>
  <si>
    <t>% Projection latrine need coverage EOP</t>
  </si>
  <si>
    <t>% Projection Bathrrom coverage EOP</t>
  </si>
  <si>
    <t>%  Coverage Emergency latrine</t>
  </si>
  <si>
    <r>
      <t xml:space="preserve"># of Bathing space </t>
    </r>
    <r>
      <rPr>
        <b/>
        <sz val="10"/>
        <color rgb="FFFF0000"/>
        <rFont val="Calibri"/>
        <family val="2"/>
        <scheme val="minor"/>
      </rPr>
      <t>(1 unit for 100 persons)</t>
    </r>
  </si>
  <si>
    <t>MMR001CMP172</t>
  </si>
  <si>
    <t>Baptist Church, Sai Ra village</t>
  </si>
  <si>
    <t>N-Lwe Yan</t>
  </si>
  <si>
    <t>Phan Khar Kone*</t>
  </si>
  <si>
    <t>Pa Kahtawng Primary House</t>
  </si>
  <si>
    <t>Clutural Compound</t>
  </si>
  <si>
    <t>separated</t>
  </si>
  <si>
    <t>% Water coverage</t>
  </si>
  <si>
    <t>% Latrine coverage</t>
  </si>
  <si>
    <t>% Bathroom coverage</t>
  </si>
  <si>
    <t>DFAT</t>
  </si>
  <si>
    <t>Before 2014</t>
  </si>
  <si>
    <t>2014</t>
  </si>
  <si>
    <t>Visualisation for Snapshot</t>
  </si>
  <si>
    <t>Total targetted population</t>
  </si>
  <si>
    <t>Graph set up</t>
  </si>
  <si>
    <t>Target population reach</t>
  </si>
  <si>
    <t>Target population not reah</t>
  </si>
  <si>
    <t>Objective 1: water access</t>
  </si>
  <si>
    <t>Objective 2: sanitation access</t>
  </si>
  <si>
    <t>WaSH assistance to IDPs affected by conflict
 in Kachin State</t>
  </si>
  <si>
    <t>MMR001CMP229</t>
  </si>
  <si>
    <t>MMR001CMP147</t>
  </si>
  <si>
    <t>Woi Chyai (Mong Lai)</t>
  </si>
  <si>
    <t>Woi Chyai  host families</t>
  </si>
  <si>
    <t>MMR001CMP227</t>
  </si>
  <si>
    <t>MMR001CMP072</t>
  </si>
  <si>
    <t>MMR001CMP073</t>
  </si>
  <si>
    <t>MMR001CMP131</t>
  </si>
  <si>
    <t>MMR001CMP126</t>
  </si>
  <si>
    <t>MMR001CMP196</t>
  </si>
  <si>
    <t>MMR001CMP163</t>
  </si>
  <si>
    <t>MMR001CMP230</t>
  </si>
  <si>
    <t>MMR001CMP228</t>
  </si>
  <si>
    <t>MMR015CMP213</t>
  </si>
  <si>
    <t>MMR015CMP216</t>
  </si>
  <si>
    <t>MMR015CMP139</t>
  </si>
  <si>
    <t>MMR015CMP215</t>
  </si>
  <si>
    <t>MMR015CMP214</t>
  </si>
  <si>
    <t>MMR015CMP209</t>
  </si>
  <si>
    <t>Not reachable location</t>
  </si>
  <si>
    <t>SANITATION</t>
  </si>
  <si>
    <t>HYGIENE KIT</t>
  </si>
  <si>
    <t>Project Analysis</t>
  </si>
  <si>
    <t>Approximate Fund 2015 regarding project date implementation</t>
  </si>
  <si>
    <t>2015</t>
  </si>
  <si>
    <t>Improving water access, hygiene and sanitation conditions of the conflict affected population in Kachin and Rakhine States</t>
  </si>
  <si>
    <t>Part of global project including Rakhine State</t>
  </si>
  <si>
    <t>Water, Sanitation and Hygiene rapid response for people affected by conflict induced displacements and natural disasters in Kachin and Northern Shan States</t>
  </si>
  <si>
    <t>The targeting of beneifciaries cannot be detailed as this project aims at answering to new emergency following displacement or natural hazards</t>
  </si>
  <si>
    <t>IDP in host community</t>
  </si>
  <si>
    <t>To be measured through partner EP&amp;R action, cumulative</t>
  </si>
  <si>
    <t>Population targetted</t>
  </si>
  <si>
    <t>Nb of sites</t>
  </si>
  <si>
    <t>Emergency support for displaced and hosting communities affected by the Kachin conflict, Myanmar</t>
  </si>
  <si>
    <t>Bum Tsit Pa * (3)</t>
  </si>
  <si>
    <t>Momauk Host Families</t>
  </si>
  <si>
    <t>Bhamo Host Families</t>
  </si>
  <si>
    <t>this place have a plan to relocate into Lone Sut camp</t>
  </si>
  <si>
    <t>due to land owner filled the land the bathing sapce construction have removed</t>
  </si>
  <si>
    <t>the 20 semi-permanent latrine are constructed by KBC</t>
  </si>
  <si>
    <t>project gap</t>
  </si>
  <si>
    <t>temporary  incinerator not functioning</t>
  </si>
  <si>
    <t>temporary incinerator have implemented as pilot by Oxfam but it was not functioning now</t>
  </si>
  <si>
    <t xml:space="preserve">6 temporary  incinerator was not functioning </t>
  </si>
  <si>
    <t>need to follow up WASH committee situation within coming cluster meeting</t>
  </si>
  <si>
    <t>Review target HRP 2015</t>
  </si>
  <si>
    <t>Nb of affected household</t>
  </si>
  <si>
    <t>Separated</t>
  </si>
  <si>
    <t>small HH, wash their hand on the bathing space</t>
  </si>
  <si>
    <t xml:space="preserve">Not have enough space to construct more bathing spaces </t>
  </si>
  <si>
    <t>land limited for more semi-permanent latrine construciton, 6 semi permanent latrine already existed, church committee let them to use in 3, but if trouble, they church committee can share</t>
  </si>
  <si>
    <t>1 SPL already closed bcoz of nearing the dining room (can move to other place)</t>
  </si>
  <si>
    <t>HWS is not functioning, 1 latrien pit already exised , just to move the frame</t>
  </si>
  <si>
    <t>hard to implement due to rocky, logistic issues</t>
  </si>
  <si>
    <t xml:space="preserve">due to lack of running cost, the HWS facilities have not functioing/ 4 bathing space have constructed but all are not functioning currently/8-10 latrines closeed due to near shelter/need to renovate in some latrine </t>
  </si>
  <si>
    <t>No Plan for Semi permanent latrines construction</t>
  </si>
  <si>
    <t>Land issuse for latrines coverage</t>
  </si>
  <si>
    <t>Emergency Latrines need to renovate</t>
  </si>
  <si>
    <t>Hseni</t>
  </si>
  <si>
    <t>MMR001CMP231</t>
  </si>
  <si>
    <t>Ku Day Maw KBC</t>
  </si>
  <si>
    <t>Loi Je Lisu  (4) Camp</t>
  </si>
  <si>
    <t>45-60%</t>
  </si>
  <si>
    <t>MMR001CMP225</t>
  </si>
  <si>
    <t xml:space="preserve">Pan Wa (Saw Zam) camp </t>
  </si>
  <si>
    <t>Mansi Host Families</t>
  </si>
  <si>
    <t>Shwegu Host Families</t>
  </si>
  <si>
    <t>land space limited</t>
  </si>
  <si>
    <t xml:space="preserve">have limited spaces to construct more sanitation facilities. Some household has alaready moved to new location (have a plan to move all HHs to this new site. </t>
  </si>
  <si>
    <t>every host families HH have a latrine</t>
  </si>
  <si>
    <t>some semi-latrines have closed by CMC to manage latrines usage</t>
  </si>
  <si>
    <r>
      <t>Solidarit</t>
    </r>
    <r>
      <rPr>
        <b/>
        <sz val="10"/>
        <color theme="1"/>
        <rFont val="Arial"/>
        <family val="2"/>
      </rPr>
      <t>é</t>
    </r>
    <r>
      <rPr>
        <b/>
        <sz val="10"/>
        <color theme="1"/>
        <rFont val="Cambria"/>
        <family val="1"/>
        <scheme val="major"/>
      </rPr>
      <t>s International</t>
    </r>
  </si>
  <si>
    <t>SCI/Oxfam</t>
  </si>
  <si>
    <t>Pan Ku</t>
  </si>
  <si>
    <t>WASH cluster</t>
  </si>
  <si>
    <t xml:space="preserve">the existing 1 well is not protect and not usually used and currently IDPs used GFS. KMSS have a plan to improve that GFS as Water storage tank construction. </t>
  </si>
  <si>
    <t>The GFS is currently out of use</t>
  </si>
  <si>
    <t>KMSS have a plan to distrbute CWF filter</t>
  </si>
  <si>
    <t xml:space="preserve">These IDPs from NGCA didn't need more Semi - permanent construction because of IDPs have sufficient HH latrines at each HH level. Semi-permanent isn't appropriate construciton due to Rocky land and logistic issue in this IDPs camp. </t>
  </si>
  <si>
    <t xml:space="preserve">Every IDPs HH used individual bathing spaces. </t>
  </si>
  <si>
    <t>land limited to construct more semi-permanent</t>
  </si>
  <si>
    <t>Land limited for hardward construciton</t>
  </si>
  <si>
    <t>SCI have plan for hand washing basin</t>
  </si>
  <si>
    <t>MEETA Plan(Emergency latrine 20)</t>
  </si>
  <si>
    <t xml:space="preserve">90 emergency latrines construciton is ongoing, TLS  and other education supports needed. </t>
  </si>
  <si>
    <t>Basic Hygiene kits already distributed by SCI and Overlappin with SCI</t>
  </si>
  <si>
    <t>Contribute to improved living conditions for conflict affected children and their families in Kachin/NSS states</t>
  </si>
  <si>
    <t>31/1/2015</t>
  </si>
  <si>
    <t>MMR Humanitarian Assistance for Households Affected Kacin State, Burma</t>
  </si>
  <si>
    <t>Objective 3: Hygiene promotion</t>
  </si>
  <si>
    <t>Population with equitable access to sufficient and sustainable quantity of safe drinking and domestic water</t>
  </si>
  <si>
    <t>Population with equitable access to safe and sustainable sanitation facilities</t>
  </si>
  <si>
    <t>Population with basic knowledge of diarrheal disease transmission and prevention</t>
  </si>
  <si>
    <t>Small scale emergency</t>
  </si>
  <si>
    <t>HRP Wash Strategy target:</t>
  </si>
  <si>
    <t>IDP GCA</t>
  </si>
  <si>
    <t xml:space="preserve"> IDP NGCA</t>
  </si>
  <si>
    <t>4w</t>
  </si>
  <si>
    <t>Report</t>
  </si>
  <si>
    <t>% Achiement</t>
  </si>
  <si>
    <t>% achievement</t>
  </si>
  <si>
    <t>Kap results</t>
  </si>
  <si>
    <t>UNICEF HPM Indicators</t>
  </si>
  <si>
    <t>2015 HAC Target</t>
  </si>
  <si>
    <t>Population assisted with an UNICEF Wash project actually</t>
  </si>
  <si>
    <t>Past beneficiary with finalised project not anymore covered</t>
  </si>
  <si>
    <t>-</t>
  </si>
  <si>
    <t>Total 2015 actual beneficiary target (not cumulative)</t>
  </si>
  <si>
    <t>Actually targetted</t>
  </si>
  <si>
    <t>% Actually  achieved</t>
  </si>
  <si>
    <t>Live saving Emergency aid to internally displaced people in  Kachin state,Myanmar.</t>
  </si>
  <si>
    <t>Only on HK</t>
  </si>
  <si>
    <t>Kachin Comprehensive humanitarian response phases 6</t>
  </si>
  <si>
    <t>FCA</t>
  </si>
  <si>
    <t>Humanitarian Assistance to Internally Dispalced Persons in NSS</t>
  </si>
  <si>
    <t>this fund allocation is for only Metta (LSO) office and updated in May 15</t>
  </si>
  <si>
    <t>HIDA( HOPE)</t>
  </si>
  <si>
    <t>Humanitarian Assistance to People Displaced in Kachin and Northern Shan State-Myanmar</t>
  </si>
  <si>
    <t xml:space="preserve">CAD 560,670 Including Shelter . Still need to follow up with Metta Yangon office because field office from Myitkyina &amp; Lashio can't provide sufficen information. </t>
  </si>
  <si>
    <t>ADRA</t>
  </si>
  <si>
    <t>Support for conflict affected internally displaced person in Kachin (SCAIDP)</t>
  </si>
  <si>
    <t>150087 (canada Dolllar)</t>
  </si>
  <si>
    <t>Kap result</t>
  </si>
  <si>
    <t>Ending date funds/project coverage</t>
  </si>
  <si>
    <t>Count of Site</t>
  </si>
  <si>
    <t>Emergency response for IDP in Kachin 2015/16 (HIP 2015)</t>
  </si>
  <si>
    <t>Metta/Shalom</t>
  </si>
  <si>
    <t>Kachin Humanitarian Response (CIDA II)</t>
  </si>
  <si>
    <t>01/04/2015</t>
  </si>
  <si>
    <t>31/03/2016</t>
  </si>
  <si>
    <t>MMR001CMP234</t>
  </si>
  <si>
    <t>Lung Sut</t>
  </si>
  <si>
    <t>MMR015CMP218</t>
  </si>
  <si>
    <t>Nam Sa Larp</t>
  </si>
  <si>
    <t>MMR001CMP235</t>
  </si>
  <si>
    <t>Sar Maw-ICM</t>
  </si>
  <si>
    <t>MMR001CMP236</t>
  </si>
  <si>
    <t>Sar Hmaw - KBC</t>
  </si>
  <si>
    <t>MMR001CMP237</t>
  </si>
  <si>
    <t xml:space="preserve">Ma Hawng RC </t>
  </si>
  <si>
    <t>AusAid/OXFAM</t>
  </si>
  <si>
    <t>CIDA/ADRA</t>
  </si>
  <si>
    <t>Trocaires</t>
  </si>
  <si>
    <t>Welthungerhilfe</t>
  </si>
  <si>
    <t>FCA/HIDA/WHH</t>
  </si>
  <si>
    <t>ECHO/OFDA</t>
  </si>
  <si>
    <t>none</t>
  </si>
  <si>
    <t>SCI constructed 1 chlorine treated station.</t>
  </si>
  <si>
    <t>Water Tank(1)</t>
  </si>
  <si>
    <t>tube-well(1)</t>
  </si>
  <si>
    <t xml:space="preserve">the existing GFS has out of used, Metta has tried to solve with CMC. IDPs have fetched a water from surrounding village, now. </t>
  </si>
  <si>
    <t>Metta find the appropriate water sources for this camp. May be GFS or well construciton will be implement.</t>
  </si>
  <si>
    <t>lack of running cost. The HWS facilities have not functioing. Semi-permanent latrines have hard to construct due to logistic constraints.</t>
  </si>
  <si>
    <t>no spaces to construct more latrines and bathing spaces/ now church committee is managed for latrines used as opened 5 latrines for all., if they wish, they can go to the church student hostel latrine/ /they have a plan to shilft to the Lal Pyin Qtr of Hpakant,</t>
  </si>
  <si>
    <t>Land limited. lack of running cost. The handwashng station facilities have not functioned. 2-3 latrines needed to renovate.</t>
  </si>
  <si>
    <t>Normally, IDPs didn't used the existing 15 hand washing stations</t>
  </si>
  <si>
    <t>Handwashing station ss not functioning. And also land limited for facilities construciton.</t>
  </si>
  <si>
    <t>Land limited to construct more latrines and WASH facilities</t>
  </si>
  <si>
    <t>Land limited to construct more latrines and bathing spaces.</t>
  </si>
  <si>
    <t>land limited to construct more latrines</t>
  </si>
  <si>
    <t xml:space="preserve">due to IDPs used individual bathing spaces, no need to construct more. </t>
  </si>
  <si>
    <t>Now, People washed their hands at bathing spaces and the existing HWS haven't functioned.</t>
  </si>
  <si>
    <t xml:space="preserve">land limited to construct more sanitation facilities. </t>
  </si>
  <si>
    <t>Land limited to construct more latrines, water pipe line need to renovate for 1 bathing space</t>
  </si>
  <si>
    <t xml:space="preserve">have limited to construct more sanitation facilities. </t>
  </si>
  <si>
    <t xml:space="preserve">land limited for new sanitation facitlies, and also Church committee have a plan to relocate some people from this camp to another place. </t>
  </si>
  <si>
    <t>land limited for more semi-permanent latrine construciton and also for other sanitation facilities, they more preferred individual bathin spaces.</t>
  </si>
  <si>
    <t>SCI have plan for hand washing basin maintenance/construction</t>
  </si>
  <si>
    <t xml:space="preserve">metta provided refil items </t>
  </si>
  <si>
    <t>Hygiene resupply kit distrubution at KBC 2 host family 205 kits (30.6.15)</t>
  </si>
  <si>
    <t>Metta have 3 months refill distribution in July 15</t>
  </si>
  <si>
    <t>Bathing space gender separated</t>
  </si>
  <si>
    <t xml:space="preserve">MDCG + Metta supported WASH-Shelter facilities at  HH level (no need to construct semi-parmanent). </t>
  </si>
  <si>
    <t>Estimation</t>
  </si>
  <si>
    <t>Robert Church*</t>
  </si>
  <si>
    <t>Lana Zup Ja *</t>
  </si>
  <si>
    <t>HIDA, WHH</t>
  </si>
  <si>
    <t>3 DTW</t>
  </si>
  <si>
    <t>1 DTW</t>
  </si>
  <si>
    <t>CESVI implement WASH activities such as HP and HK distribution and renovation of WASH facilities in this host families</t>
  </si>
  <si>
    <t>HH need more filter for more coverage</t>
  </si>
  <si>
    <t>currently, People used individual latrine. KBC have a plan to set up as a camp this host familities. WASH facilities may be needed at that time.</t>
  </si>
  <si>
    <t>current 2 emergency latrines are funitioned but not safe, it need to upgrade to semi-permannent</t>
  </si>
  <si>
    <t>SI have plan additional construction 4 doors SPL/ 1EBP</t>
  </si>
  <si>
    <t>SI have plan additional construction 3doors SPL/ 2 EBP</t>
  </si>
  <si>
    <t>SI have plan additional construction 8doors SPL.</t>
  </si>
  <si>
    <t>Land limited to costruct more Semi-permanent in this camp</t>
  </si>
  <si>
    <t>Metta only distributed refill HK and mobilize the hygiene promotion in 2015</t>
  </si>
  <si>
    <t xml:space="preserve"> KMSS will distribute Hygiene kit</t>
  </si>
  <si>
    <t xml:space="preserve">N/A information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</si>
</sst>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409]d/mmm/yy;@"/>
    <numFmt numFmtId="166" formatCode="dd/mm/yyyy"/>
    <numFmt numFmtId="167" formatCode="_-* #,##0.00_-;\-* #,##0.00_-;_-* &quot;-&quot;??_-;_-@_-"/>
    <numFmt numFmtId="168" formatCode="[$-409]dd\-mmm\-yy;@"/>
    <numFmt numFmtId="169" formatCode="[$-409]d\-mmm\-yy;@"/>
  </numFmts>
  <fonts count="81"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0"/>
      <name val="Arial"/>
      <family val="2"/>
    </font>
    <font>
      <sz val="9"/>
      <color indexed="81"/>
      <name val="Tahoma"/>
      <family val="2"/>
    </font>
    <font>
      <b/>
      <sz val="9"/>
      <color indexed="81"/>
      <name val="Tahoma"/>
      <family val="2"/>
    </font>
    <font>
      <b/>
      <sz val="10"/>
      <color indexed="8"/>
      <name val="Calibri"/>
      <family val="2"/>
    </font>
    <font>
      <b/>
      <sz val="12"/>
      <color indexed="10"/>
      <name val="Calibri"/>
      <family val="2"/>
    </font>
    <font>
      <b/>
      <sz val="10"/>
      <color indexed="10"/>
      <name val="Calibri"/>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b/>
      <sz val="12"/>
      <color theme="3" tint="0.39997558519241921"/>
      <name val="Calibri"/>
      <family val="2"/>
      <scheme val="minor"/>
    </font>
    <font>
      <sz val="12"/>
      <color theme="3" tint="0.39997558519241921"/>
      <name val="Calibri"/>
      <family val="2"/>
      <scheme val="minor"/>
    </font>
    <font>
      <sz val="10"/>
      <name val="Calibri"/>
      <family val="2"/>
      <scheme val="minor"/>
    </font>
    <font>
      <b/>
      <sz val="18"/>
      <color theme="1"/>
      <name val="Calibri"/>
      <family val="2"/>
      <scheme val="minor"/>
    </font>
    <font>
      <b/>
      <sz val="16"/>
      <color theme="3" tint="0.39997558519241921"/>
      <name val="Calibri"/>
      <family val="2"/>
      <scheme val="minor"/>
    </font>
    <font>
      <b/>
      <sz val="10"/>
      <color theme="1"/>
      <name val="Calibri"/>
      <family val="2"/>
    </font>
    <font>
      <b/>
      <sz val="20"/>
      <color theme="1"/>
      <name val="Calibri"/>
      <family val="2"/>
      <scheme val="minor"/>
    </font>
    <font>
      <b/>
      <sz val="14"/>
      <color theme="3" tint="0.39997558519241921"/>
      <name val="Calibri"/>
      <family val="2"/>
      <scheme val="minor"/>
    </font>
    <font>
      <b/>
      <sz val="10"/>
      <name val="Calibri"/>
      <family val="2"/>
    </font>
    <font>
      <b/>
      <sz val="14"/>
      <color indexed="10"/>
      <name val="Calibri"/>
      <family val="2"/>
    </font>
    <font>
      <b/>
      <sz val="14"/>
      <color indexed="8"/>
      <name val="Calibri"/>
      <family val="2"/>
    </font>
    <font>
      <b/>
      <sz val="12"/>
      <name val="Calibri"/>
      <family val="2"/>
      <scheme val="minor"/>
    </font>
    <font>
      <b/>
      <sz val="10"/>
      <color rgb="FFFF0000"/>
      <name val="Calibri"/>
      <family val="2"/>
      <scheme val="minor"/>
    </font>
    <font>
      <b/>
      <sz val="10"/>
      <name val="Calibri"/>
      <family val="2"/>
      <scheme val="minor"/>
    </font>
    <font>
      <b/>
      <sz val="11"/>
      <color rgb="FFFF0000"/>
      <name val="Calibri"/>
      <family val="2"/>
      <scheme val="minor"/>
    </font>
    <font>
      <i/>
      <sz val="11"/>
      <color rgb="FFFF0000"/>
      <name val="Calibri"/>
      <family val="2"/>
      <scheme val="minor"/>
    </font>
    <font>
      <sz val="10"/>
      <color rgb="FF0070C0"/>
      <name val="Arial Narrow"/>
      <family val="2"/>
    </font>
    <font>
      <b/>
      <sz val="10"/>
      <color rgb="FFFF0000"/>
      <name val="Calibri"/>
      <family val="2"/>
    </font>
    <font>
      <b/>
      <sz val="20"/>
      <color theme="0"/>
      <name val="Calibri"/>
      <family val="2"/>
      <scheme val="minor"/>
    </font>
    <font>
      <b/>
      <sz val="16"/>
      <color theme="0"/>
      <name val="Calibri"/>
      <family val="2"/>
      <scheme val="minor"/>
    </font>
    <font>
      <b/>
      <sz val="16"/>
      <color theme="1"/>
      <name val="Calibri"/>
      <family val="2"/>
      <scheme val="minor"/>
    </font>
    <font>
      <sz val="11"/>
      <color rgb="FFFF0000"/>
      <name val="Calibri"/>
      <family val="2"/>
      <scheme val="minor"/>
    </font>
    <font>
      <sz val="11"/>
      <name val="Calibri"/>
      <family val="2"/>
      <scheme val="minor"/>
    </font>
    <font>
      <b/>
      <i/>
      <sz val="11"/>
      <color theme="0"/>
      <name val="Calibri"/>
      <family val="2"/>
      <scheme val="minor"/>
    </font>
    <font>
      <sz val="12"/>
      <color theme="1"/>
      <name val="Calibri"/>
      <family val="2"/>
      <scheme val="minor"/>
    </font>
    <font>
      <i/>
      <sz val="12"/>
      <color theme="1"/>
      <name val="Calibri"/>
      <family val="2"/>
      <scheme val="minor"/>
    </font>
    <font>
      <i/>
      <sz val="9"/>
      <color theme="1"/>
      <name val="Calibri"/>
      <family val="2"/>
      <scheme val="minor"/>
    </font>
    <font>
      <sz val="12"/>
      <color rgb="FFFF0000"/>
      <name val="Calibri"/>
      <family val="2"/>
      <scheme val="minor"/>
    </font>
    <font>
      <b/>
      <sz val="14"/>
      <color rgb="FF000000"/>
      <name val="Calibri"/>
      <family val="2"/>
      <scheme val="minor"/>
    </font>
    <font>
      <sz val="10"/>
      <color theme="1"/>
      <name val="Cambria"/>
      <family val="1"/>
      <scheme val="major"/>
    </font>
    <font>
      <b/>
      <sz val="12"/>
      <color theme="1"/>
      <name val="Cambria"/>
      <family val="1"/>
      <scheme val="major"/>
    </font>
    <font>
      <b/>
      <sz val="14"/>
      <color theme="3" tint="0.39997558519241921"/>
      <name val="Cambria"/>
      <family val="1"/>
      <scheme val="major"/>
    </font>
    <font>
      <b/>
      <sz val="14"/>
      <name val="Cambria"/>
      <family val="1"/>
      <scheme val="major"/>
    </font>
    <font>
      <b/>
      <sz val="14"/>
      <color theme="1"/>
      <name val="Cambria"/>
      <family val="1"/>
      <scheme val="major"/>
    </font>
    <font>
      <b/>
      <sz val="10"/>
      <name val="Cambria"/>
      <family val="1"/>
      <scheme val="major"/>
    </font>
    <font>
      <b/>
      <sz val="10"/>
      <color theme="1"/>
      <name val="Cambria"/>
      <family val="1"/>
      <scheme val="major"/>
    </font>
    <font>
      <sz val="10"/>
      <name val="Cambria"/>
      <family val="1"/>
      <scheme val="major"/>
    </font>
    <font>
      <i/>
      <sz val="10"/>
      <color theme="1"/>
      <name val="Cambria"/>
      <family val="1"/>
      <scheme val="major"/>
    </font>
    <font>
      <sz val="10"/>
      <name val="MS Sans Serif"/>
      <family val="2"/>
    </font>
    <font>
      <b/>
      <sz val="8"/>
      <color indexed="81"/>
      <name val="Tahoma"/>
      <family val="2"/>
    </font>
    <font>
      <sz val="8"/>
      <color indexed="81"/>
      <name val="Tahoma"/>
      <family val="2"/>
    </font>
    <font>
      <sz val="11"/>
      <color theme="0" tint="-0.499984740745262"/>
      <name val="Calibri"/>
      <family val="2"/>
      <scheme val="minor"/>
    </font>
    <font>
      <i/>
      <sz val="11"/>
      <color theme="0" tint="-0.499984740745262"/>
      <name val="Calibri"/>
      <family val="2"/>
      <scheme val="minor"/>
    </font>
    <font>
      <sz val="16"/>
      <color theme="1"/>
      <name val="Calibri"/>
      <family val="2"/>
      <scheme val="minor"/>
    </font>
    <font>
      <sz val="11"/>
      <color theme="0" tint="-0.249977111117893"/>
      <name val="Calibri"/>
      <family val="2"/>
      <scheme val="minor"/>
    </font>
    <font>
      <b/>
      <i/>
      <sz val="12"/>
      <color theme="1"/>
      <name val="Calibri"/>
      <family val="2"/>
      <scheme val="minor"/>
    </font>
    <font>
      <sz val="10"/>
      <color rgb="FFFF0000"/>
      <name val="Arial Narrow"/>
      <family val="2"/>
    </font>
    <font>
      <b/>
      <sz val="16"/>
      <color rgb="FFFF0000"/>
      <name val="Calibri"/>
      <family val="2"/>
      <scheme val="minor"/>
    </font>
    <font>
      <b/>
      <sz val="12"/>
      <color rgb="FFFF0000"/>
      <name val="Calibri"/>
      <family val="2"/>
      <scheme val="minor"/>
    </font>
    <font>
      <b/>
      <sz val="10"/>
      <color theme="1"/>
      <name val="Arial"/>
      <family val="2"/>
    </font>
    <font>
      <sz val="12"/>
      <name val="Calibri"/>
      <family val="2"/>
      <scheme val="minor"/>
    </font>
    <font>
      <sz val="12"/>
      <color theme="1"/>
      <name val="Arial Narrow"/>
      <family val="2"/>
    </font>
    <font>
      <sz val="12"/>
      <color rgb="FF0070C0"/>
      <name val="Arial Narrow"/>
      <family val="2"/>
    </font>
    <font>
      <b/>
      <sz val="11"/>
      <name val="Calibri"/>
      <family val="2"/>
      <scheme val="minor"/>
    </font>
    <font>
      <sz val="9"/>
      <color indexed="81"/>
      <name val="Tahoma"/>
      <charset val="1"/>
    </font>
    <font>
      <b/>
      <sz val="9"/>
      <color indexed="81"/>
      <name val="Tahoma"/>
      <charset val="1"/>
    </font>
    <font>
      <sz val="11"/>
      <color theme="1"/>
      <name val="Calibri"/>
      <scheme val="minor"/>
    </font>
  </fonts>
  <fills count="15">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CCCCFF"/>
        <bgColor indexed="64"/>
      </patternFill>
    </fill>
    <fill>
      <patternFill patternType="solid">
        <fgColor theme="0" tint="-0.249977111117893"/>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s>
  <borders count="151">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style="thin">
        <color indexed="64"/>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ck">
        <color indexed="64"/>
      </top>
      <bottom style="medium">
        <color indexed="64"/>
      </bottom>
      <diagonal/>
    </border>
    <border>
      <left style="medium">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top/>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right/>
      <top/>
      <bottom style="thin">
        <color rgb="FFABABAB"/>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auto="1"/>
      </left>
      <right style="hair">
        <color auto="1"/>
      </right>
      <top style="thin">
        <color auto="1"/>
      </top>
      <bottom style="hair">
        <color auto="1"/>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medium">
        <color auto="1"/>
      </left>
      <right/>
      <top style="thin">
        <color indexed="64"/>
      </top>
      <bottom style="thin">
        <color auto="1"/>
      </bottom>
      <diagonal/>
    </border>
    <border>
      <left style="hair">
        <color indexed="64"/>
      </left>
      <right style="hair">
        <color indexed="64"/>
      </right>
      <top/>
      <bottom style="medium">
        <color auto="1"/>
      </bottom>
      <diagonal/>
    </border>
    <border>
      <left style="hair">
        <color auto="1"/>
      </left>
      <right style="medium">
        <color auto="1"/>
      </right>
      <top/>
      <bottom style="medium">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medium">
        <color indexed="64"/>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auto="1"/>
      </top>
      <bottom style="hair">
        <color indexed="64"/>
      </bottom>
      <diagonal/>
    </border>
    <border>
      <left style="medium">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5">
    <xf numFmtId="0" fontId="0" fillId="0" borderId="0"/>
    <xf numFmtId="43" fontId="17" fillId="0" borderId="0" applyFont="0" applyFill="0" applyBorder="0" applyAlignment="0" applyProtection="0"/>
    <xf numFmtId="0" fontId="9" fillId="0" borderId="0"/>
    <xf numFmtId="9" fontId="17" fillId="0" borderId="0" applyFont="0" applyFill="0" applyBorder="0" applyAlignment="0" applyProtection="0"/>
    <xf numFmtId="165" fontId="17"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62" fillId="0" borderId="0" applyFont="0" applyFill="0" applyBorder="0" applyAlignment="0" applyProtection="0"/>
    <xf numFmtId="0" fontId="17" fillId="0" borderId="0"/>
    <xf numFmtId="0" fontId="17" fillId="0" borderId="0"/>
    <xf numFmtId="0" fontId="17" fillId="0" borderId="0"/>
    <xf numFmtId="0" fontId="9" fillId="0" borderId="0"/>
    <xf numFmtId="168" fontId="17"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872">
    <xf numFmtId="0" fontId="0" fillId="0" borderId="0" xfId="0"/>
    <xf numFmtId="0" fontId="0" fillId="2" borderId="0" xfId="0" applyFill="1"/>
    <xf numFmtId="0" fontId="0" fillId="5" borderId="15" xfId="0" applyFill="1" applyBorder="1"/>
    <xf numFmtId="0" fontId="0" fillId="5" borderId="0" xfId="0" applyFill="1" applyBorder="1"/>
    <xf numFmtId="0" fontId="0" fillId="5" borderId="16" xfId="0" applyFill="1" applyBorder="1"/>
    <xf numFmtId="0" fontId="18" fillId="5" borderId="0" xfId="0" applyFont="1" applyFill="1" applyBorder="1"/>
    <xf numFmtId="0" fontId="0" fillId="5" borderId="13" xfId="0" applyFill="1" applyBorder="1"/>
    <xf numFmtId="0" fontId="0" fillId="5" borderId="14" xfId="0" applyFill="1" applyBorder="1"/>
    <xf numFmtId="0" fontId="0" fillId="5" borderId="17" xfId="0" applyFill="1" applyBorder="1"/>
    <xf numFmtId="0" fontId="0" fillId="2" borderId="0" xfId="0" applyFill="1" applyAlignment="1">
      <alignment horizontal="center" vertical="center"/>
    </xf>
    <xf numFmtId="14" fontId="0" fillId="0" borderId="0" xfId="0" applyNumberFormat="1"/>
    <xf numFmtId="0" fontId="0" fillId="2" borderId="0" xfId="0" applyFill="1" applyAlignment="1">
      <alignment vertical="center" wrapText="1"/>
    </xf>
    <xf numFmtId="0" fontId="0" fillId="2" borderId="0" xfId="0" applyFill="1" applyBorder="1" applyAlignment="1">
      <alignment vertical="center" wrapText="1"/>
    </xf>
    <xf numFmtId="9" fontId="0" fillId="2" borderId="0" xfId="0" applyNumberFormat="1" applyFill="1" applyBorder="1" applyAlignment="1">
      <alignment vertical="center" wrapText="1"/>
    </xf>
    <xf numFmtId="0" fontId="0" fillId="2" borderId="0" xfId="0"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Border="1" applyAlignment="1">
      <alignment horizontal="center" vertical="center" wrapText="1"/>
    </xf>
    <xf numFmtId="0" fontId="0" fillId="2" borderId="0" xfId="0" applyNumberFormat="1" applyFill="1" applyBorder="1" applyAlignment="1">
      <alignment horizontal="center" vertical="center" wrapText="1"/>
    </xf>
    <xf numFmtId="0" fontId="19" fillId="2" borderId="0" xfId="0" applyFont="1" applyFill="1" applyBorder="1" applyAlignment="1" applyProtection="1">
      <alignment horizontal="left"/>
      <protection locked="0"/>
    </xf>
    <xf numFmtId="0" fontId="19" fillId="2" borderId="0" xfId="0" applyFont="1" applyFill="1" applyBorder="1" applyAlignment="1" applyProtection="1">
      <alignment horizontal="left"/>
    </xf>
    <xf numFmtId="0" fontId="24" fillId="5" borderId="9" xfId="0" applyFont="1" applyFill="1" applyBorder="1" applyAlignment="1" applyProtection="1">
      <alignment horizontal="right" vertical="center"/>
      <protection locked="0"/>
    </xf>
    <xf numFmtId="17" fontId="24" fillId="5" borderId="12" xfId="0" applyNumberFormat="1"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protection locked="0"/>
    </xf>
    <xf numFmtId="164" fontId="24" fillId="2" borderId="0" xfId="1"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center"/>
      <protection locked="0"/>
    </xf>
    <xf numFmtId="0" fontId="19" fillId="2" borderId="0" xfId="0" applyFont="1" applyFill="1" applyBorder="1" applyAlignment="1" applyProtection="1">
      <alignment horizontal="left" vertical="center"/>
      <protection locked="0"/>
    </xf>
    <xf numFmtId="0" fontId="0" fillId="0" borderId="0" xfId="0" applyAlignment="1">
      <alignment horizontal="left"/>
    </xf>
    <xf numFmtId="9" fontId="0" fillId="0" borderId="0" xfId="0" applyNumberFormat="1"/>
    <xf numFmtId="0" fontId="0" fillId="0" borderId="0" xfId="0" applyBorder="1"/>
    <xf numFmtId="0" fontId="0" fillId="0" borderId="0" xfId="0" pivotButton="1"/>
    <xf numFmtId="9" fontId="0" fillId="2" borderId="0" xfId="3" applyFont="1" applyFill="1" applyBorder="1" applyAlignment="1">
      <alignment vertical="center" wrapText="1"/>
    </xf>
    <xf numFmtId="0" fontId="24" fillId="5" borderId="25" xfId="0" applyFont="1" applyFill="1" applyBorder="1" applyAlignment="1" applyProtection="1">
      <alignment horizontal="right" vertical="center"/>
      <protection locked="0"/>
    </xf>
    <xf numFmtId="0" fontId="24" fillId="5" borderId="7" xfId="0" applyFont="1" applyFill="1" applyBorder="1" applyAlignment="1" applyProtection="1">
      <alignment horizontal="center" vertical="center"/>
      <protection locked="0"/>
    </xf>
    <xf numFmtId="0" fontId="23" fillId="3" borderId="5" xfId="0" applyFont="1" applyFill="1" applyBorder="1" applyAlignment="1" applyProtection="1">
      <alignment vertical="center"/>
      <protection locked="0"/>
    </xf>
    <xf numFmtId="0" fontId="24" fillId="5" borderId="12" xfId="0" applyFont="1" applyFill="1" applyBorder="1" applyAlignment="1" applyProtection="1">
      <alignment horizontal="right" vertical="center"/>
      <protection locked="0"/>
    </xf>
    <xf numFmtId="0" fontId="24" fillId="5" borderId="3" xfId="0" applyFont="1" applyFill="1" applyBorder="1" applyAlignment="1" applyProtection="1">
      <alignment horizontal="right" vertical="center"/>
      <protection locked="0"/>
    </xf>
    <xf numFmtId="0" fontId="31" fillId="5" borderId="21" xfId="0" applyFont="1" applyFill="1" applyBorder="1" applyAlignment="1">
      <alignment horizontal="left" vertical="center"/>
    </xf>
    <xf numFmtId="0" fontId="31" fillId="5" borderId="22" xfId="0" applyFont="1" applyFill="1" applyBorder="1" applyAlignment="1">
      <alignment horizontal="left" vertical="center"/>
    </xf>
    <xf numFmtId="0" fontId="38" fillId="2" borderId="0" xfId="0" applyFont="1" applyFill="1" applyBorder="1" applyAlignment="1">
      <alignment horizontal="right" vertical="center" wrapText="1"/>
    </xf>
    <xf numFmtId="0" fontId="39" fillId="2" borderId="0" xfId="0" applyFont="1" applyFill="1" applyBorder="1" applyAlignment="1">
      <alignment horizontal="left" vertical="center"/>
    </xf>
    <xf numFmtId="0" fontId="40" fillId="2" borderId="0" xfId="0" applyFont="1" applyFill="1" applyBorder="1" applyAlignment="1" applyProtection="1">
      <alignment horizontal="left"/>
      <protection locked="0"/>
    </xf>
    <xf numFmtId="165" fontId="17" fillId="2" borderId="0" xfId="4" applyFill="1" applyAlignment="1">
      <alignment vertical="center"/>
    </xf>
    <xf numFmtId="165" fontId="43" fillId="11" borderId="0" xfId="4" applyFont="1" applyFill="1" applyAlignment="1">
      <alignment vertical="center"/>
    </xf>
    <xf numFmtId="165" fontId="44" fillId="11" borderId="0" xfId="4" applyFont="1" applyFill="1" applyAlignment="1">
      <alignment vertical="center"/>
    </xf>
    <xf numFmtId="165" fontId="44" fillId="2" borderId="0" xfId="4" applyFont="1" applyFill="1" applyAlignment="1">
      <alignment vertical="center"/>
    </xf>
    <xf numFmtId="3" fontId="17" fillId="2" borderId="57" xfId="4" applyNumberFormat="1" applyFill="1" applyBorder="1" applyAlignment="1">
      <alignment horizontal="center" vertical="center"/>
    </xf>
    <xf numFmtId="9" fontId="17" fillId="2" borderId="59" xfId="4" applyNumberFormat="1" applyFill="1" applyBorder="1" applyAlignment="1">
      <alignment horizontal="center" vertical="center"/>
    </xf>
    <xf numFmtId="3" fontId="46" fillId="2" borderId="57" xfId="4" applyNumberFormat="1" applyFont="1" applyFill="1" applyBorder="1" applyAlignment="1">
      <alignment horizontal="center" vertical="center"/>
    </xf>
    <xf numFmtId="3" fontId="17" fillId="2" borderId="0" xfId="4" applyNumberFormat="1" applyFill="1" applyAlignment="1">
      <alignment vertical="center"/>
    </xf>
    <xf numFmtId="165" fontId="43" fillId="2" borderId="0" xfId="4" applyFont="1" applyFill="1" applyAlignment="1">
      <alignment vertical="center"/>
    </xf>
    <xf numFmtId="0" fontId="17" fillId="2" borderId="0" xfId="4" applyNumberFormat="1" applyFill="1" applyAlignment="1">
      <alignment vertical="center"/>
    </xf>
    <xf numFmtId="165" fontId="17" fillId="2" borderId="0" xfId="4" applyFill="1" applyAlignment="1">
      <alignment horizontal="center" vertical="center"/>
    </xf>
    <xf numFmtId="0" fontId="48" fillId="2" borderId="0" xfId="5" applyFont="1" applyFill="1"/>
    <xf numFmtId="0" fontId="48" fillId="2" borderId="0" xfId="5" applyFont="1" applyFill="1" applyAlignment="1">
      <alignment wrapText="1"/>
    </xf>
    <xf numFmtId="0" fontId="48" fillId="2" borderId="0" xfId="5" applyFont="1" applyFill="1" applyAlignment="1">
      <alignment horizontal="center" vertical="center"/>
    </xf>
    <xf numFmtId="0" fontId="48" fillId="0" borderId="0" xfId="5" applyFont="1"/>
    <xf numFmtId="0" fontId="49" fillId="0" borderId="0" xfId="5" applyFont="1" applyAlignment="1">
      <alignment wrapText="1"/>
    </xf>
    <xf numFmtId="0" fontId="50" fillId="2" borderId="0" xfId="5" applyFont="1" applyFill="1" applyAlignment="1">
      <alignment vertical="center" wrapText="1"/>
    </xf>
    <xf numFmtId="0" fontId="51" fillId="0" borderId="0" xfId="5" applyFont="1"/>
    <xf numFmtId="0" fontId="48" fillId="0" borderId="0" xfId="5" applyFont="1" applyAlignment="1">
      <alignment wrapText="1"/>
    </xf>
    <xf numFmtId="0" fontId="48" fillId="0" borderId="0" xfId="5" applyFont="1" applyAlignment="1">
      <alignment horizontal="center" vertical="center"/>
    </xf>
    <xf numFmtId="0" fontId="52" fillId="0" borderId="0" xfId="5" applyFont="1" applyAlignment="1">
      <alignment horizontal="center" vertical="center" readingOrder="1"/>
    </xf>
    <xf numFmtId="3" fontId="45" fillId="2" borderId="57" xfId="4" applyNumberFormat="1" applyFont="1" applyFill="1" applyBorder="1" applyAlignment="1">
      <alignment horizontal="center" vertical="center"/>
    </xf>
    <xf numFmtId="0" fontId="21" fillId="6" borderId="47" xfId="0" applyFont="1" applyFill="1" applyBorder="1" applyAlignment="1" applyProtection="1">
      <alignment horizontal="center" vertical="center" wrapText="1"/>
    </xf>
    <xf numFmtId="0" fontId="18" fillId="0" borderId="0" xfId="0" applyFont="1"/>
    <xf numFmtId="0" fontId="53" fillId="2" borderId="0" xfId="21" applyFont="1" applyFill="1" applyProtection="1">
      <protection locked="0"/>
    </xf>
    <xf numFmtId="3" fontId="53" fillId="2" borderId="0" xfId="21" applyNumberFormat="1" applyFont="1" applyFill="1" applyProtection="1">
      <protection locked="0"/>
    </xf>
    <xf numFmtId="3" fontId="53" fillId="2" borderId="44" xfId="21" applyNumberFormat="1" applyFont="1" applyFill="1" applyBorder="1" applyProtection="1">
      <protection locked="0"/>
    </xf>
    <xf numFmtId="3" fontId="53" fillId="2" borderId="46" xfId="21" applyNumberFormat="1" applyFont="1" applyFill="1" applyBorder="1" applyProtection="1">
      <protection locked="0"/>
    </xf>
    <xf numFmtId="0" fontId="53" fillId="2" borderId="0" xfId="21" applyFont="1" applyFill="1"/>
    <xf numFmtId="0" fontId="54" fillId="5" borderId="101" xfId="21" applyFont="1" applyFill="1" applyBorder="1" applyAlignment="1" applyProtection="1">
      <alignment horizontal="right" vertical="center"/>
      <protection locked="0"/>
    </xf>
    <xf numFmtId="15" fontId="55" fillId="5" borderId="101" xfId="21" applyNumberFormat="1" applyFont="1" applyFill="1" applyBorder="1" applyAlignment="1" applyProtection="1">
      <alignment horizontal="left" vertical="center"/>
      <protection locked="0"/>
    </xf>
    <xf numFmtId="0" fontId="53" fillId="5" borderId="102" xfId="21" applyFont="1" applyFill="1" applyBorder="1" applyProtection="1">
      <protection locked="0"/>
    </xf>
    <xf numFmtId="0" fontId="53" fillId="5" borderId="103" xfId="21" applyFont="1" applyFill="1" applyBorder="1" applyProtection="1">
      <protection locked="0"/>
    </xf>
    <xf numFmtId="0" fontId="54" fillId="8" borderId="103" xfId="21" applyFont="1" applyFill="1" applyBorder="1" applyAlignment="1" applyProtection="1">
      <alignment horizontal="center" vertical="center"/>
      <protection locked="0"/>
    </xf>
    <xf numFmtId="0" fontId="57" fillId="2" borderId="0" xfId="21" applyFont="1" applyFill="1" applyAlignment="1">
      <alignment horizontal="center" vertical="center"/>
    </xf>
    <xf numFmtId="0" fontId="58" fillId="4" borderId="48" xfId="21" applyFont="1" applyFill="1" applyBorder="1" applyAlignment="1">
      <alignment horizontal="center" vertical="center" wrapText="1"/>
    </xf>
    <xf numFmtId="0" fontId="58" fillId="4" borderId="49" xfId="21" applyFont="1" applyFill="1" applyBorder="1" applyAlignment="1">
      <alignment horizontal="center" vertical="center" wrapText="1"/>
    </xf>
    <xf numFmtId="0" fontId="58" fillId="4" borderId="50" xfId="21" applyFont="1" applyFill="1" applyBorder="1" applyAlignment="1">
      <alignment horizontal="center" vertical="center" wrapText="1"/>
    </xf>
    <xf numFmtId="0" fontId="58" fillId="4" borderId="51" xfId="21" applyFont="1" applyFill="1" applyBorder="1" applyAlignment="1">
      <alignment horizontal="center" vertical="center" wrapText="1"/>
    </xf>
    <xf numFmtId="10" fontId="58" fillId="4" borderId="49" xfId="21" applyNumberFormat="1" applyFont="1" applyFill="1" applyBorder="1" applyAlignment="1">
      <alignment horizontal="center" vertical="center" wrapText="1"/>
    </xf>
    <xf numFmtId="10" fontId="58" fillId="4" borderId="52" xfId="21" applyNumberFormat="1" applyFont="1" applyFill="1" applyBorder="1" applyAlignment="1">
      <alignment horizontal="center" vertical="center" wrapText="1"/>
    </xf>
    <xf numFmtId="3" fontId="58" fillId="4" borderId="53" xfId="21" applyNumberFormat="1" applyFont="1" applyFill="1" applyBorder="1" applyAlignment="1">
      <alignment horizontal="center" vertical="center" wrapText="1"/>
    </xf>
    <xf numFmtId="0" fontId="58" fillId="4" borderId="53" xfId="21" applyFont="1" applyFill="1" applyBorder="1" applyAlignment="1">
      <alignment horizontal="center" vertical="center" wrapText="1"/>
    </xf>
    <xf numFmtId="0" fontId="58" fillId="4" borderId="52" xfId="21" applyFont="1" applyFill="1" applyBorder="1" applyAlignment="1">
      <alignment horizontal="center" vertical="center" wrapText="1"/>
    </xf>
    <xf numFmtId="0" fontId="58" fillId="4" borderId="54" xfId="21" applyFont="1" applyFill="1" applyBorder="1" applyAlignment="1">
      <alignment horizontal="center" vertical="center" wrapText="1"/>
    </xf>
    <xf numFmtId="3" fontId="58" fillId="4" borderId="48" xfId="21" applyNumberFormat="1" applyFont="1" applyFill="1" applyBorder="1" applyAlignment="1">
      <alignment horizontal="center" vertical="center" wrapText="1"/>
    </xf>
    <xf numFmtId="3" fontId="58" fillId="4" borderId="54" xfId="21" applyNumberFormat="1" applyFont="1" applyFill="1" applyBorder="1" applyAlignment="1">
      <alignment horizontal="center" vertical="center" wrapText="1"/>
    </xf>
    <xf numFmtId="3" fontId="58" fillId="4" borderId="49" xfId="21" applyNumberFormat="1" applyFont="1" applyFill="1" applyBorder="1" applyAlignment="1">
      <alignment horizontal="center" vertical="center" wrapText="1"/>
    </xf>
    <xf numFmtId="3" fontId="58" fillId="4" borderId="50" xfId="21" applyNumberFormat="1" applyFont="1" applyFill="1" applyBorder="1" applyAlignment="1">
      <alignment horizontal="center" vertical="center" wrapText="1"/>
    </xf>
    <xf numFmtId="0" fontId="58" fillId="4" borderId="55" xfId="21" applyFont="1" applyFill="1" applyBorder="1" applyAlignment="1">
      <alignment horizontal="center" vertical="center" wrapText="1"/>
    </xf>
    <xf numFmtId="0" fontId="59" fillId="6" borderId="56" xfId="21" applyFont="1" applyFill="1" applyBorder="1" applyAlignment="1" applyProtection="1">
      <alignment horizontal="left" vertical="center" wrapText="1"/>
      <protection locked="0"/>
    </xf>
    <xf numFmtId="0" fontId="53" fillId="6" borderId="57" xfId="21" applyFont="1" applyFill="1" applyBorder="1" applyAlignment="1" applyProtection="1">
      <alignment horizontal="center" vertical="center" wrapText="1"/>
      <protection locked="0"/>
    </xf>
    <xf numFmtId="0" fontId="59" fillId="6" borderId="57" xfId="21" applyFont="1" applyFill="1" applyBorder="1" applyAlignment="1" applyProtection="1">
      <alignment horizontal="center" vertical="center" wrapText="1"/>
      <protection locked="0"/>
    </xf>
    <xf numFmtId="0" fontId="53" fillId="2" borderId="58" xfId="21" applyFont="1" applyFill="1" applyBorder="1" applyAlignment="1" applyProtection="1">
      <alignment horizontal="left" vertical="center" wrapText="1"/>
      <protection locked="0"/>
    </xf>
    <xf numFmtId="14" fontId="53" fillId="2" borderId="56" xfId="21" applyNumberFormat="1" applyFont="1" applyFill="1" applyBorder="1" applyAlignment="1">
      <alignment horizontal="center" vertical="center" wrapText="1"/>
    </xf>
    <xf numFmtId="14" fontId="53" fillId="2" borderId="57" xfId="21" applyNumberFormat="1" applyFont="1" applyFill="1" applyBorder="1" applyAlignment="1">
      <alignment horizontal="center" vertical="center" wrapText="1"/>
    </xf>
    <xf numFmtId="0" fontId="53" fillId="2" borderId="59" xfId="21" applyFont="1" applyFill="1" applyBorder="1" applyAlignment="1" applyProtection="1">
      <alignment horizontal="center" vertical="center" wrapText="1"/>
      <protection locked="0"/>
    </xf>
    <xf numFmtId="0" fontId="53" fillId="2" borderId="58" xfId="21" applyFont="1" applyFill="1" applyBorder="1" applyAlignment="1" applyProtection="1">
      <alignment horizontal="center" vertical="center" wrapText="1"/>
      <protection locked="0"/>
    </xf>
    <xf numFmtId="0" fontId="53" fillId="2" borderId="56" xfId="21" applyFont="1" applyFill="1" applyBorder="1" applyAlignment="1" applyProtection="1">
      <alignment horizontal="center" vertical="center" wrapText="1"/>
      <protection locked="0"/>
    </xf>
    <xf numFmtId="9" fontId="53" fillId="2" borderId="57" xfId="22" applyNumberFormat="1" applyFont="1" applyFill="1" applyBorder="1" applyAlignment="1">
      <alignment horizontal="center" vertical="center"/>
    </xf>
    <xf numFmtId="9" fontId="53" fillId="2" borderId="60" xfId="22" applyNumberFormat="1" applyFont="1" applyFill="1" applyBorder="1" applyAlignment="1">
      <alignment horizontal="center" vertical="center"/>
    </xf>
    <xf numFmtId="9" fontId="53" fillId="2" borderId="61" xfId="21" applyNumberFormat="1" applyFont="1" applyFill="1" applyBorder="1" applyAlignment="1" applyProtection="1">
      <alignment horizontal="center" vertical="center" wrapText="1"/>
      <protection locked="0"/>
    </xf>
    <xf numFmtId="9" fontId="53" fillId="2" borderId="60" xfId="21" applyNumberFormat="1" applyFont="1" applyFill="1" applyBorder="1" applyAlignment="1" applyProtection="1">
      <alignment horizontal="center" vertical="center" wrapText="1"/>
      <protection locked="0"/>
    </xf>
    <xf numFmtId="0" fontId="53" fillId="2" borderId="61" xfId="21" applyFont="1" applyFill="1" applyBorder="1" applyAlignment="1" applyProtection="1">
      <alignment horizontal="center" vertical="center" wrapText="1"/>
      <protection locked="0"/>
    </xf>
    <xf numFmtId="0" fontId="53" fillId="2" borderId="57" xfId="21" applyFont="1" applyFill="1" applyBorder="1" applyAlignment="1" applyProtection="1">
      <alignment horizontal="center" vertical="center" wrapText="1"/>
      <protection locked="0"/>
    </xf>
    <xf numFmtId="0" fontId="53" fillId="2" borderId="60" xfId="21" applyFont="1" applyFill="1" applyBorder="1" applyAlignment="1" applyProtection="1">
      <alignment horizontal="center" vertical="center" wrapText="1"/>
      <protection locked="0"/>
    </xf>
    <xf numFmtId="0" fontId="53" fillId="2" borderId="62" xfId="21" applyFont="1" applyFill="1" applyBorder="1" applyAlignment="1" applyProtection="1">
      <alignment horizontal="center" vertical="center" wrapText="1"/>
      <protection locked="0"/>
    </xf>
    <xf numFmtId="3" fontId="53" fillId="6" borderId="56" xfId="21" applyNumberFormat="1" applyFont="1" applyFill="1" applyBorder="1" applyAlignment="1" applyProtection="1">
      <alignment horizontal="center" vertical="center" wrapText="1"/>
      <protection locked="0"/>
    </xf>
    <xf numFmtId="3" fontId="53" fillId="6" borderId="62" xfId="21" applyNumberFormat="1" applyFont="1" applyFill="1" applyBorder="1" applyAlignment="1" applyProtection="1">
      <alignment horizontal="center" vertical="center" wrapText="1"/>
      <protection locked="0"/>
    </xf>
    <xf numFmtId="9" fontId="53" fillId="2" borderId="57" xfId="21" applyNumberFormat="1" applyFont="1" applyFill="1" applyBorder="1" applyAlignment="1" applyProtection="1">
      <alignment horizontal="center" vertical="center" wrapText="1"/>
      <protection locked="0"/>
    </xf>
    <xf numFmtId="9" fontId="53" fillId="2" borderId="58" xfId="21" applyNumberFormat="1" applyFont="1" applyFill="1" applyBorder="1" applyAlignment="1" applyProtection="1">
      <alignment horizontal="center" vertical="center" wrapText="1"/>
      <protection locked="0"/>
    </xf>
    <xf numFmtId="0" fontId="53" fillId="2" borderId="63" xfId="21" applyFont="1" applyFill="1" applyBorder="1" applyAlignment="1" applyProtection="1">
      <alignment horizontal="center" vertical="center" wrapText="1"/>
      <protection locked="0"/>
    </xf>
    <xf numFmtId="166" fontId="53" fillId="2" borderId="56" xfId="21" applyNumberFormat="1" applyFont="1" applyFill="1" applyBorder="1" applyAlignment="1" applyProtection="1">
      <alignment horizontal="center" vertical="center" wrapText="1"/>
      <protection locked="0"/>
    </xf>
    <xf numFmtId="166" fontId="53" fillId="2" borderId="57" xfId="21" applyNumberFormat="1" applyFont="1" applyFill="1" applyBorder="1" applyAlignment="1" applyProtection="1">
      <alignment horizontal="center" vertical="center" wrapText="1"/>
      <protection locked="0"/>
    </xf>
    <xf numFmtId="9" fontId="53" fillId="2" borderId="61" xfId="22" applyNumberFormat="1" applyFont="1" applyFill="1" applyBorder="1" applyAlignment="1">
      <alignment horizontal="center" vertical="center"/>
    </xf>
    <xf numFmtId="3" fontId="53" fillId="6" borderId="56" xfId="22" applyNumberFormat="1" applyFont="1" applyFill="1" applyBorder="1" applyAlignment="1">
      <alignment horizontal="center" vertical="center"/>
    </xf>
    <xf numFmtId="3" fontId="53" fillId="6" borderId="62" xfId="22" applyNumberFormat="1" applyFont="1" applyFill="1" applyBorder="1" applyAlignment="1">
      <alignment horizontal="center" vertical="center"/>
    </xf>
    <xf numFmtId="9" fontId="53" fillId="2" borderId="58" xfId="22" applyNumberFormat="1" applyFont="1" applyFill="1" applyBorder="1" applyAlignment="1">
      <alignment horizontal="center" vertical="center"/>
    </xf>
    <xf numFmtId="14" fontId="53" fillId="2" borderId="56" xfId="21" applyNumberFormat="1" applyFont="1" applyFill="1" applyBorder="1" applyAlignment="1" applyProtection="1">
      <alignment horizontal="center" vertical="center" wrapText="1"/>
      <protection locked="0"/>
    </xf>
    <xf numFmtId="14" fontId="53" fillId="2" borderId="57" xfId="21" applyNumberFormat="1" applyFont="1" applyFill="1" applyBorder="1" applyAlignment="1" applyProtection="1">
      <alignment horizontal="center" vertical="center" wrapText="1"/>
      <protection locked="0"/>
    </xf>
    <xf numFmtId="3" fontId="53" fillId="2" borderId="56" xfId="21" applyNumberFormat="1" applyFont="1" applyFill="1" applyBorder="1" applyAlignment="1" applyProtection="1">
      <alignment horizontal="center" vertical="center" wrapText="1"/>
      <protection locked="0"/>
    </xf>
    <xf numFmtId="3" fontId="53" fillId="2" borderId="61" xfId="21" applyNumberFormat="1" applyFont="1" applyFill="1" applyBorder="1" applyAlignment="1" applyProtection="1">
      <alignment horizontal="center" vertical="center" wrapText="1"/>
      <protection locked="0"/>
    </xf>
    <xf numFmtId="3" fontId="53" fillId="2" borderId="57" xfId="21" applyNumberFormat="1" applyFont="1" applyFill="1" applyBorder="1" applyAlignment="1" applyProtection="1">
      <alignment horizontal="center" vertical="center" wrapText="1"/>
      <protection locked="0"/>
    </xf>
    <xf numFmtId="3" fontId="53" fillId="2" borderId="60" xfId="21" applyNumberFormat="1" applyFont="1" applyFill="1" applyBorder="1" applyAlignment="1" applyProtection="1">
      <alignment horizontal="center" vertical="center" wrapText="1"/>
      <protection locked="0"/>
    </xf>
    <xf numFmtId="3" fontId="53" fillId="2" borderId="62" xfId="21" applyNumberFormat="1" applyFont="1" applyFill="1" applyBorder="1" applyAlignment="1" applyProtection="1">
      <alignment horizontal="center" vertical="center" wrapText="1"/>
      <protection locked="0"/>
    </xf>
    <xf numFmtId="3" fontId="53" fillId="2" borderId="59" xfId="21" applyNumberFormat="1" applyFont="1" applyFill="1" applyBorder="1" applyAlignment="1" applyProtection="1">
      <alignment horizontal="center" vertical="center" wrapText="1"/>
      <protection locked="0"/>
    </xf>
    <xf numFmtId="0" fontId="60" fillId="6" borderId="57" xfId="21" applyFont="1" applyFill="1" applyBorder="1" applyAlignment="1" applyProtection="1">
      <alignment horizontal="center" vertical="center" wrapText="1"/>
      <protection locked="0"/>
    </xf>
    <xf numFmtId="0" fontId="53" fillId="2" borderId="0" xfId="21" applyFont="1" applyFill="1" applyAlignment="1">
      <alignment wrapText="1"/>
    </xf>
    <xf numFmtId="9" fontId="53" fillId="2" borderId="57" xfId="23" applyNumberFormat="1" applyFont="1" applyFill="1" applyBorder="1" applyAlignment="1" applyProtection="1">
      <alignment horizontal="center" vertical="center" wrapText="1"/>
      <protection locked="0"/>
    </xf>
    <xf numFmtId="9" fontId="53" fillId="2" borderId="60" xfId="23" applyNumberFormat="1" applyFont="1" applyFill="1" applyBorder="1" applyAlignment="1" applyProtection="1">
      <alignment horizontal="center" vertical="center" wrapText="1"/>
      <protection locked="0"/>
    </xf>
    <xf numFmtId="9" fontId="53" fillId="2" borderId="45" xfId="21" applyNumberFormat="1" applyFont="1" applyFill="1" applyBorder="1" applyAlignment="1">
      <alignment horizontal="center" vertical="center" wrapText="1"/>
    </xf>
    <xf numFmtId="9" fontId="53" fillId="2" borderId="64" xfId="21" applyNumberFormat="1" applyFont="1" applyFill="1" applyBorder="1" applyAlignment="1">
      <alignment horizontal="center" vertical="center" wrapText="1"/>
    </xf>
    <xf numFmtId="9" fontId="53" fillId="2" borderId="59" xfId="22" applyNumberFormat="1" applyFont="1" applyFill="1" applyBorder="1" applyAlignment="1">
      <alignment horizontal="center" vertical="center"/>
    </xf>
    <xf numFmtId="0" fontId="53" fillId="2" borderId="65" xfId="21" applyFont="1" applyFill="1" applyBorder="1" applyAlignment="1" applyProtection="1">
      <alignment horizontal="center" vertical="center" wrapText="1"/>
      <protection locked="0"/>
    </xf>
    <xf numFmtId="9" fontId="53" fillId="2" borderId="59" xfId="21" applyNumberFormat="1" applyFont="1" applyFill="1" applyBorder="1" applyAlignment="1" applyProtection="1">
      <alignment horizontal="center" vertical="center" wrapText="1"/>
      <protection locked="0"/>
    </xf>
    <xf numFmtId="9" fontId="53" fillId="2" borderId="66" xfId="21" applyNumberFormat="1" applyFont="1" applyFill="1" applyBorder="1" applyAlignment="1" applyProtection="1">
      <alignment horizontal="center" vertical="center" wrapText="1"/>
      <protection locked="0"/>
    </xf>
    <xf numFmtId="0" fontId="53" fillId="2" borderId="65" xfId="21" applyFont="1" applyFill="1" applyBorder="1" applyAlignment="1" applyProtection="1">
      <alignment horizontal="left" vertical="center" wrapText="1"/>
      <protection locked="0"/>
    </xf>
    <xf numFmtId="1" fontId="53" fillId="2" borderId="62" xfId="21" applyNumberFormat="1" applyFont="1" applyFill="1" applyBorder="1" applyAlignment="1" applyProtection="1">
      <alignment horizontal="center" vertical="center" wrapText="1"/>
      <protection locked="0"/>
    </xf>
    <xf numFmtId="14" fontId="60" fillId="2" borderId="67" xfId="21" applyNumberFormat="1" applyFont="1" applyFill="1" applyBorder="1" applyAlignment="1" applyProtection="1">
      <alignment horizontal="center" vertical="center" wrapText="1"/>
      <protection locked="0"/>
    </xf>
    <xf numFmtId="14" fontId="60" fillId="2" borderId="68" xfId="21" applyNumberFormat="1" applyFont="1" applyFill="1" applyBorder="1" applyAlignment="1" applyProtection="1">
      <alignment horizontal="center" vertical="center" wrapText="1"/>
      <protection locked="0"/>
    </xf>
    <xf numFmtId="0" fontId="60" fillId="2" borderId="69" xfId="21" applyFont="1" applyFill="1" applyBorder="1" applyAlignment="1" applyProtection="1">
      <alignment horizontal="center" vertical="center" wrapText="1"/>
      <protection locked="0"/>
    </xf>
    <xf numFmtId="0" fontId="60" fillId="2" borderId="70" xfId="21" applyFont="1" applyFill="1" applyBorder="1" applyAlignment="1" applyProtection="1">
      <alignment horizontal="center" vertical="center" wrapText="1"/>
      <protection locked="0"/>
    </xf>
    <xf numFmtId="14" fontId="60" fillId="2" borderId="56" xfId="21" applyNumberFormat="1" applyFont="1" applyFill="1" applyBorder="1" applyAlignment="1" applyProtection="1">
      <alignment horizontal="center" vertical="center" wrapText="1"/>
      <protection locked="0"/>
    </xf>
    <xf numFmtId="14" fontId="60" fillId="2" borderId="57" xfId="21" applyNumberFormat="1" applyFont="1" applyFill="1" applyBorder="1" applyAlignment="1" applyProtection="1">
      <alignment horizontal="center" vertical="center" wrapText="1"/>
      <protection locked="0"/>
    </xf>
    <xf numFmtId="0" fontId="60" fillId="2" borderId="59" xfId="21" applyFont="1" applyFill="1" applyBorder="1" applyAlignment="1" applyProtection="1">
      <alignment horizontal="center" vertical="center" wrapText="1"/>
      <protection locked="0"/>
    </xf>
    <xf numFmtId="0" fontId="60" fillId="2" borderId="58" xfId="21" applyFont="1" applyFill="1" applyBorder="1" applyAlignment="1" applyProtection="1">
      <alignment horizontal="center" vertical="center" wrapText="1"/>
      <protection locked="0"/>
    </xf>
    <xf numFmtId="0" fontId="59" fillId="6" borderId="67" xfId="21" applyFont="1" applyFill="1" applyBorder="1" applyAlignment="1" applyProtection="1">
      <alignment horizontal="left" vertical="center" wrapText="1"/>
      <protection locked="0"/>
    </xf>
    <xf numFmtId="0" fontId="53" fillId="6" borderId="68" xfId="21" applyFont="1" applyFill="1" applyBorder="1" applyAlignment="1" applyProtection="1">
      <alignment horizontal="center" vertical="center" wrapText="1"/>
      <protection locked="0"/>
    </xf>
    <xf numFmtId="0" fontId="59" fillId="6" borderId="68" xfId="21" applyFont="1" applyFill="1" applyBorder="1" applyAlignment="1" applyProtection="1">
      <alignment horizontal="center" vertical="center" wrapText="1"/>
      <protection locked="0"/>
    </xf>
    <xf numFmtId="0" fontId="53" fillId="2" borderId="70" xfId="21" applyFont="1" applyFill="1" applyBorder="1" applyAlignment="1" applyProtection="1">
      <alignment horizontal="left" vertical="center" wrapText="1"/>
      <protection locked="0"/>
    </xf>
    <xf numFmtId="14" fontId="53" fillId="2" borderId="67" xfId="21" applyNumberFormat="1" applyFont="1" applyFill="1" applyBorder="1" applyAlignment="1" applyProtection="1">
      <alignment horizontal="center" vertical="center" wrapText="1"/>
      <protection locked="0"/>
    </xf>
    <xf numFmtId="14" fontId="53" fillId="2" borderId="68" xfId="21" applyNumberFormat="1" applyFont="1" applyFill="1" applyBorder="1" applyAlignment="1" applyProtection="1">
      <alignment horizontal="center" vertical="center" wrapText="1"/>
      <protection locked="0"/>
    </xf>
    <xf numFmtId="0" fontId="53" fillId="2" borderId="69" xfId="21" applyFont="1" applyFill="1" applyBorder="1" applyAlignment="1" applyProtection="1">
      <alignment horizontal="center" vertical="center" wrapText="1"/>
      <protection locked="0"/>
    </xf>
    <xf numFmtId="3" fontId="53" fillId="2" borderId="67" xfId="21" applyNumberFormat="1" applyFont="1" applyFill="1" applyBorder="1" applyAlignment="1" applyProtection="1">
      <alignment horizontal="center" vertical="center" wrapText="1"/>
      <protection locked="0"/>
    </xf>
    <xf numFmtId="9" fontId="53" fillId="2" borderId="68" xfId="21" applyNumberFormat="1" applyFont="1" applyFill="1" applyBorder="1" applyAlignment="1" applyProtection="1">
      <alignment horizontal="center" vertical="center" wrapText="1"/>
      <protection locked="0"/>
    </xf>
    <xf numFmtId="9" fontId="53" fillId="2" borderId="85" xfId="21" applyNumberFormat="1" applyFont="1" applyFill="1" applyBorder="1" applyAlignment="1" applyProtection="1">
      <alignment horizontal="center" vertical="center" wrapText="1"/>
      <protection locked="0"/>
    </xf>
    <xf numFmtId="9" fontId="53" fillId="2" borderId="86" xfId="21" applyNumberFormat="1" applyFont="1" applyFill="1" applyBorder="1" applyAlignment="1" applyProtection="1">
      <alignment horizontal="center" vertical="center" wrapText="1"/>
      <protection locked="0"/>
    </xf>
    <xf numFmtId="3" fontId="53" fillId="2" borderId="86" xfId="21" applyNumberFormat="1" applyFont="1" applyFill="1" applyBorder="1" applyAlignment="1" applyProtection="1">
      <alignment horizontal="center" vertical="center" wrapText="1"/>
      <protection locked="0"/>
    </xf>
    <xf numFmtId="3" fontId="53" fillId="2" borderId="68" xfId="21" applyNumberFormat="1" applyFont="1" applyFill="1" applyBorder="1" applyAlignment="1" applyProtection="1">
      <alignment horizontal="center" vertical="center" wrapText="1"/>
      <protection locked="0"/>
    </xf>
    <xf numFmtId="3" fontId="53" fillId="2" borderId="85" xfId="21" applyNumberFormat="1" applyFont="1" applyFill="1" applyBorder="1" applyAlignment="1" applyProtection="1">
      <alignment horizontal="center" vertical="center" wrapText="1"/>
      <protection locked="0"/>
    </xf>
    <xf numFmtId="3" fontId="53" fillId="2" borderId="87" xfId="21" applyNumberFormat="1" applyFont="1" applyFill="1" applyBorder="1" applyAlignment="1" applyProtection="1">
      <alignment horizontal="center" vertical="center" wrapText="1"/>
      <protection locked="0"/>
    </xf>
    <xf numFmtId="3" fontId="53" fillId="2" borderId="69" xfId="21" applyNumberFormat="1" applyFont="1" applyFill="1" applyBorder="1" applyAlignment="1" applyProtection="1">
      <alignment horizontal="center" vertical="center" wrapText="1"/>
      <protection locked="0"/>
    </xf>
    <xf numFmtId="3" fontId="53" fillId="6" borderId="67" xfId="21" applyNumberFormat="1" applyFont="1" applyFill="1" applyBorder="1" applyAlignment="1" applyProtection="1">
      <alignment horizontal="center" vertical="center" wrapText="1"/>
      <protection locked="0"/>
    </xf>
    <xf numFmtId="3" fontId="53" fillId="6" borderId="87" xfId="21" applyNumberFormat="1" applyFont="1" applyFill="1" applyBorder="1" applyAlignment="1" applyProtection="1">
      <alignment horizontal="center" vertical="center" wrapText="1"/>
      <protection locked="0"/>
    </xf>
    <xf numFmtId="9" fontId="53" fillId="2" borderId="69" xfId="21" applyNumberFormat="1" applyFont="1" applyFill="1" applyBorder="1" applyAlignment="1" applyProtection="1">
      <alignment horizontal="center" vertical="center" wrapText="1"/>
      <protection locked="0"/>
    </xf>
    <xf numFmtId="0" fontId="53" fillId="2" borderId="88" xfId="21" applyFont="1" applyFill="1" applyBorder="1" applyAlignment="1" applyProtection="1">
      <alignment horizontal="center" vertical="center" wrapText="1"/>
      <protection locked="0"/>
    </xf>
    <xf numFmtId="0" fontId="59" fillId="9" borderId="48" xfId="21" applyFont="1" applyFill="1" applyBorder="1" applyAlignment="1" applyProtection="1">
      <alignment horizontal="left" vertical="center" wrapText="1"/>
      <protection locked="0"/>
    </xf>
    <xf numFmtId="0" fontId="53" fillId="9" borderId="49" xfId="21" applyFont="1" applyFill="1" applyBorder="1" applyAlignment="1" applyProtection="1">
      <alignment horizontal="center" vertical="center" wrapText="1"/>
      <protection locked="0"/>
    </xf>
    <xf numFmtId="0" fontId="59" fillId="9" borderId="49" xfId="21" applyFont="1" applyFill="1" applyBorder="1" applyAlignment="1" applyProtection="1">
      <alignment horizontal="center" vertical="center" wrapText="1"/>
      <protection locked="0"/>
    </xf>
    <xf numFmtId="0" fontId="53" fillId="9" borderId="50" xfId="21" applyFont="1" applyFill="1" applyBorder="1" applyAlignment="1" applyProtection="1">
      <alignment horizontal="left" vertical="center" wrapText="1"/>
      <protection locked="0"/>
    </xf>
    <xf numFmtId="14" fontId="53" fillId="9" borderId="48" xfId="21" applyNumberFormat="1" applyFont="1" applyFill="1" applyBorder="1" applyAlignment="1" applyProtection="1">
      <alignment horizontal="center" vertical="center" wrapText="1"/>
      <protection locked="0"/>
    </xf>
    <xf numFmtId="14" fontId="53" fillId="9" borderId="49" xfId="21" applyNumberFormat="1" applyFont="1" applyFill="1" applyBorder="1" applyAlignment="1" applyProtection="1">
      <alignment horizontal="center" vertical="center" wrapText="1"/>
      <protection locked="0"/>
    </xf>
    <xf numFmtId="0" fontId="53" fillId="9" borderId="51" xfId="21" applyFont="1" applyFill="1" applyBorder="1" applyAlignment="1" applyProtection="1">
      <alignment horizontal="center" vertical="center" wrapText="1"/>
      <protection locked="0"/>
    </xf>
    <xf numFmtId="0" fontId="53" fillId="9" borderId="50" xfId="21" applyFont="1" applyFill="1" applyBorder="1" applyAlignment="1" applyProtection="1">
      <alignment horizontal="center" vertical="center" wrapText="1"/>
      <protection locked="0"/>
    </xf>
    <xf numFmtId="3" fontId="53" fillId="9" borderId="48" xfId="21" applyNumberFormat="1" applyFont="1" applyFill="1" applyBorder="1" applyAlignment="1" applyProtection="1">
      <alignment horizontal="center" vertical="center" wrapText="1"/>
      <protection locked="0"/>
    </xf>
    <xf numFmtId="9" fontId="53" fillId="9" borderId="49" xfId="21" applyNumberFormat="1" applyFont="1" applyFill="1" applyBorder="1" applyAlignment="1" applyProtection="1">
      <alignment horizontal="center" vertical="center" wrapText="1"/>
      <protection locked="0"/>
    </xf>
    <xf numFmtId="9" fontId="53" fillId="9" borderId="52" xfId="21" applyNumberFormat="1" applyFont="1" applyFill="1" applyBorder="1" applyAlignment="1" applyProtection="1">
      <alignment horizontal="center" vertical="center" wrapText="1"/>
      <protection locked="0"/>
    </xf>
    <xf numFmtId="9" fontId="53" fillId="9" borderId="53" xfId="21" applyNumberFormat="1" applyFont="1" applyFill="1" applyBorder="1" applyAlignment="1" applyProtection="1">
      <alignment horizontal="center" vertical="center" wrapText="1"/>
      <protection locked="0"/>
    </xf>
    <xf numFmtId="3" fontId="53" fillId="6" borderId="48" xfId="21" applyNumberFormat="1" applyFont="1" applyFill="1" applyBorder="1" applyAlignment="1" applyProtection="1">
      <alignment horizontal="center" vertical="center" wrapText="1"/>
      <protection locked="0"/>
    </xf>
    <xf numFmtId="3" fontId="53" fillId="6" borderId="54" xfId="21" applyNumberFormat="1" applyFont="1" applyFill="1" applyBorder="1" applyAlignment="1" applyProtection="1">
      <alignment horizontal="center" vertical="center" wrapText="1"/>
      <protection locked="0"/>
    </xf>
    <xf numFmtId="9" fontId="53" fillId="9" borderId="51" xfId="21" applyNumberFormat="1" applyFont="1" applyFill="1" applyBorder="1" applyAlignment="1" applyProtection="1">
      <alignment horizontal="center" vertical="center" wrapText="1"/>
      <protection locked="0"/>
    </xf>
    <xf numFmtId="0" fontId="53" fillId="9" borderId="89" xfId="21" applyFont="1" applyFill="1" applyBorder="1" applyAlignment="1" applyProtection="1">
      <alignment horizontal="center" vertical="center" wrapText="1"/>
      <protection locked="0"/>
    </xf>
    <xf numFmtId="0" fontId="59" fillId="9" borderId="56" xfId="21" applyFont="1" applyFill="1" applyBorder="1" applyAlignment="1" applyProtection="1">
      <alignment horizontal="left" vertical="center" wrapText="1"/>
      <protection locked="0"/>
    </xf>
    <xf numFmtId="0" fontId="53" fillId="9" borderId="57" xfId="21" applyFont="1" applyFill="1" applyBorder="1" applyAlignment="1" applyProtection="1">
      <alignment horizontal="center" vertical="center" wrapText="1"/>
      <protection locked="0"/>
    </xf>
    <xf numFmtId="0" fontId="59" fillId="9" borderId="57" xfId="21" applyFont="1" applyFill="1" applyBorder="1" applyAlignment="1" applyProtection="1">
      <alignment horizontal="center" vertical="center" wrapText="1"/>
      <protection locked="0"/>
    </xf>
    <xf numFmtId="0" fontId="53" fillId="9" borderId="58" xfId="21" applyFont="1" applyFill="1" applyBorder="1" applyAlignment="1" applyProtection="1">
      <alignment horizontal="left" vertical="center" wrapText="1"/>
      <protection locked="0"/>
    </xf>
    <xf numFmtId="14" fontId="53" fillId="9" borderId="56" xfId="21" applyNumberFormat="1" applyFont="1" applyFill="1" applyBorder="1" applyAlignment="1" applyProtection="1">
      <alignment horizontal="center" vertical="center" wrapText="1"/>
      <protection locked="0"/>
    </xf>
    <xf numFmtId="14" fontId="53" fillId="9" borderId="57" xfId="21" applyNumberFormat="1" applyFont="1" applyFill="1" applyBorder="1" applyAlignment="1" applyProtection="1">
      <alignment horizontal="center" vertical="center" wrapText="1"/>
      <protection locked="0"/>
    </xf>
    <xf numFmtId="0" fontId="53" fillId="9" borderId="59" xfId="21" applyFont="1" applyFill="1" applyBorder="1" applyAlignment="1" applyProtection="1">
      <alignment horizontal="center" vertical="center" wrapText="1"/>
      <protection locked="0"/>
    </xf>
    <xf numFmtId="0" fontId="53" fillId="9" borderId="58" xfId="21" applyFont="1" applyFill="1" applyBorder="1" applyAlignment="1" applyProtection="1">
      <alignment horizontal="center" vertical="center" wrapText="1"/>
      <protection locked="0"/>
    </xf>
    <xf numFmtId="3" fontId="53" fillId="9" borderId="56" xfId="21" applyNumberFormat="1" applyFont="1" applyFill="1" applyBorder="1" applyAlignment="1" applyProtection="1">
      <alignment horizontal="center" vertical="center" wrapText="1"/>
      <protection locked="0"/>
    </xf>
    <xf numFmtId="9" fontId="53" fillId="9" borderId="57" xfId="21" applyNumberFormat="1" applyFont="1" applyFill="1" applyBorder="1" applyAlignment="1" applyProtection="1">
      <alignment horizontal="center" vertical="center" wrapText="1"/>
      <protection locked="0"/>
    </xf>
    <xf numFmtId="9" fontId="53" fillId="9" borderId="60" xfId="21" applyNumberFormat="1" applyFont="1" applyFill="1" applyBorder="1" applyAlignment="1" applyProtection="1">
      <alignment horizontal="center" vertical="center" wrapText="1"/>
      <protection locked="0"/>
    </xf>
    <xf numFmtId="9" fontId="53" fillId="9" borderId="61" xfId="21" applyNumberFormat="1" applyFont="1" applyFill="1" applyBorder="1" applyAlignment="1" applyProtection="1">
      <alignment horizontal="center" vertical="center" wrapText="1"/>
      <protection locked="0"/>
    </xf>
    <xf numFmtId="3" fontId="53" fillId="9" borderId="61" xfId="21" applyNumberFormat="1" applyFont="1" applyFill="1" applyBorder="1" applyAlignment="1" applyProtection="1">
      <alignment horizontal="center" vertical="center" wrapText="1"/>
      <protection locked="0"/>
    </xf>
    <xf numFmtId="3" fontId="53" fillId="9" borderId="57" xfId="21" applyNumberFormat="1" applyFont="1" applyFill="1" applyBorder="1" applyAlignment="1" applyProtection="1">
      <alignment horizontal="center" vertical="center" wrapText="1"/>
      <protection locked="0"/>
    </xf>
    <xf numFmtId="3" fontId="53" fillId="9" borderId="60" xfId="21" applyNumberFormat="1" applyFont="1" applyFill="1" applyBorder="1" applyAlignment="1" applyProtection="1">
      <alignment horizontal="center" vertical="center" wrapText="1"/>
      <protection locked="0"/>
    </xf>
    <xf numFmtId="9" fontId="53" fillId="9" borderId="59" xfId="21" applyNumberFormat="1" applyFont="1" applyFill="1" applyBorder="1" applyAlignment="1" applyProtection="1">
      <alignment horizontal="center" vertical="center" wrapText="1"/>
      <protection locked="0"/>
    </xf>
    <xf numFmtId="0" fontId="53" fillId="9" borderId="65" xfId="21" applyFont="1" applyFill="1" applyBorder="1" applyAlignment="1" applyProtection="1">
      <alignment horizontal="center" vertical="center" wrapText="1"/>
      <protection locked="0"/>
    </xf>
    <xf numFmtId="0" fontId="53" fillId="9" borderId="56" xfId="21" applyFont="1" applyFill="1" applyBorder="1" applyAlignment="1" applyProtection="1">
      <alignment horizontal="center" vertical="center" wrapText="1"/>
      <protection locked="0"/>
    </xf>
    <xf numFmtId="0" fontId="59" fillId="9" borderId="90" xfId="21" applyFont="1" applyFill="1" applyBorder="1" applyAlignment="1" applyProtection="1">
      <alignment horizontal="left" vertical="center" wrapText="1"/>
      <protection locked="0"/>
    </xf>
    <xf numFmtId="0" fontId="53" fillId="9" borderId="91" xfId="21" applyFont="1" applyFill="1" applyBorder="1" applyAlignment="1" applyProtection="1">
      <alignment horizontal="center" vertical="center" wrapText="1"/>
      <protection locked="0"/>
    </xf>
    <xf numFmtId="0" fontId="59" fillId="9" borderId="91" xfId="21" applyFont="1" applyFill="1" applyBorder="1" applyAlignment="1" applyProtection="1">
      <alignment horizontal="center" vertical="center" wrapText="1"/>
      <protection locked="0"/>
    </xf>
    <xf numFmtId="14" fontId="53" fillId="9" borderId="90" xfId="21" applyNumberFormat="1" applyFont="1" applyFill="1" applyBorder="1" applyAlignment="1" applyProtection="1">
      <alignment horizontal="center" vertical="center" wrapText="1"/>
      <protection locked="0"/>
    </xf>
    <xf numFmtId="14" fontId="53" fillId="9" borderId="91" xfId="21" applyNumberFormat="1" applyFont="1" applyFill="1" applyBorder="1" applyAlignment="1" applyProtection="1">
      <alignment horizontal="center" vertical="center" wrapText="1"/>
      <protection locked="0"/>
    </xf>
    <xf numFmtId="0" fontId="53" fillId="9" borderId="93" xfId="21" applyFont="1" applyFill="1" applyBorder="1" applyAlignment="1" applyProtection="1">
      <alignment horizontal="center" vertical="center" wrapText="1"/>
      <protection locked="0"/>
    </xf>
    <xf numFmtId="0" fontId="53" fillId="9" borderId="92" xfId="21" applyFont="1" applyFill="1" applyBorder="1" applyAlignment="1" applyProtection="1">
      <alignment horizontal="center" vertical="center" wrapText="1"/>
      <protection locked="0"/>
    </xf>
    <xf numFmtId="0" fontId="53" fillId="9" borderId="90" xfId="21" applyFont="1" applyFill="1" applyBorder="1" applyAlignment="1" applyProtection="1">
      <alignment horizontal="center" vertical="center" wrapText="1"/>
      <protection locked="0"/>
    </xf>
    <xf numFmtId="9" fontId="53" fillId="9" borderId="91" xfId="21" applyNumberFormat="1" applyFont="1" applyFill="1" applyBorder="1" applyAlignment="1" applyProtection="1">
      <alignment horizontal="center" vertical="center" wrapText="1"/>
      <protection locked="0"/>
    </xf>
    <xf numFmtId="9" fontId="53" fillId="9" borderId="94" xfId="21" applyNumberFormat="1" applyFont="1" applyFill="1" applyBorder="1" applyAlignment="1" applyProtection="1">
      <alignment horizontal="center" vertical="center" wrapText="1"/>
      <protection locked="0"/>
    </xf>
    <xf numFmtId="9" fontId="53" fillId="9" borderId="95" xfId="21" applyNumberFormat="1" applyFont="1" applyFill="1" applyBorder="1" applyAlignment="1" applyProtection="1">
      <alignment horizontal="center" vertical="center" wrapText="1"/>
      <protection locked="0"/>
    </xf>
    <xf numFmtId="3" fontId="53" fillId="6" borderId="90" xfId="21" applyNumberFormat="1" applyFont="1" applyFill="1" applyBorder="1" applyAlignment="1" applyProtection="1">
      <alignment horizontal="center" vertical="center" wrapText="1"/>
      <protection locked="0"/>
    </xf>
    <xf numFmtId="3" fontId="53" fillId="6" borderId="96" xfId="21" applyNumberFormat="1" applyFont="1" applyFill="1" applyBorder="1" applyAlignment="1" applyProtection="1">
      <alignment horizontal="center" vertical="center" wrapText="1"/>
      <protection locked="0"/>
    </xf>
    <xf numFmtId="9" fontId="53" fillId="9" borderId="93" xfId="21" applyNumberFormat="1" applyFont="1" applyFill="1" applyBorder="1" applyAlignment="1" applyProtection="1">
      <alignment horizontal="center" vertical="center" wrapText="1"/>
      <protection locked="0"/>
    </xf>
    <xf numFmtId="0" fontId="53" fillId="9" borderId="97" xfId="21" applyFont="1" applyFill="1" applyBorder="1" applyAlignment="1" applyProtection="1">
      <alignment horizontal="center" vertical="center" wrapText="1"/>
      <protection locked="0"/>
    </xf>
    <xf numFmtId="0" fontId="53" fillId="9" borderId="60" xfId="21" applyFont="1" applyFill="1" applyBorder="1" applyAlignment="1" applyProtection="1">
      <alignment horizontal="center" vertical="center" wrapText="1"/>
      <protection locked="0"/>
    </xf>
    <xf numFmtId="3" fontId="53" fillId="6" borderId="57" xfId="21" applyNumberFormat="1" applyFont="1" applyFill="1" applyBorder="1" applyAlignment="1" applyProtection="1">
      <alignment horizontal="center" vertical="center" wrapText="1"/>
      <protection locked="0"/>
    </xf>
    <xf numFmtId="0" fontId="59" fillId="9" borderId="71" xfId="21" applyFont="1" applyFill="1" applyBorder="1" applyAlignment="1" applyProtection="1">
      <alignment horizontal="left" vertical="center" wrapText="1"/>
      <protection locked="0"/>
    </xf>
    <xf numFmtId="0" fontId="53" fillId="9" borderId="45" xfId="21" applyFont="1" applyFill="1" applyBorder="1" applyAlignment="1" applyProtection="1">
      <alignment horizontal="center" vertical="center" wrapText="1"/>
      <protection locked="0"/>
    </xf>
    <xf numFmtId="0" fontId="59" fillId="9" borderId="45" xfId="21" applyFont="1" applyFill="1" applyBorder="1" applyAlignment="1" applyProtection="1">
      <alignment horizontal="center" vertical="center" wrapText="1"/>
      <protection locked="0"/>
    </xf>
    <xf numFmtId="14" fontId="53" fillId="9" borderId="71" xfId="21" applyNumberFormat="1" applyFont="1" applyFill="1" applyBorder="1" applyAlignment="1" applyProtection="1">
      <alignment horizontal="center" vertical="center" wrapText="1"/>
      <protection locked="0"/>
    </xf>
    <xf numFmtId="14" fontId="53" fillId="9" borderId="45" xfId="21" applyNumberFormat="1" applyFont="1" applyFill="1" applyBorder="1" applyAlignment="1" applyProtection="1">
      <alignment horizontal="center" vertical="center" wrapText="1"/>
      <protection locked="0"/>
    </xf>
    <xf numFmtId="0" fontId="53" fillId="9" borderId="46" xfId="21" applyFont="1" applyFill="1" applyBorder="1" applyAlignment="1" applyProtection="1">
      <alignment horizontal="center" vertical="center" wrapText="1"/>
      <protection locked="0"/>
    </xf>
    <xf numFmtId="0" fontId="53" fillId="9" borderId="72" xfId="21" applyFont="1" applyFill="1" applyBorder="1" applyAlignment="1" applyProtection="1">
      <alignment horizontal="center" vertical="center" wrapText="1"/>
      <protection locked="0"/>
    </xf>
    <xf numFmtId="3" fontId="53" fillId="9" borderId="71" xfId="21" applyNumberFormat="1" applyFont="1" applyFill="1" applyBorder="1" applyAlignment="1" applyProtection="1">
      <alignment horizontal="center" vertical="center" wrapText="1"/>
      <protection locked="0"/>
    </xf>
    <xf numFmtId="9" fontId="53" fillId="9" borderId="45" xfId="21" applyNumberFormat="1" applyFont="1" applyFill="1" applyBorder="1" applyAlignment="1" applyProtection="1">
      <alignment horizontal="center" vertical="center" wrapText="1"/>
      <protection locked="0"/>
    </xf>
    <xf numFmtId="9" fontId="53" fillId="9" borderId="64" xfId="21" applyNumberFormat="1" applyFont="1" applyFill="1" applyBorder="1" applyAlignment="1" applyProtection="1">
      <alignment horizontal="center" vertical="center" wrapText="1"/>
      <protection locked="0"/>
    </xf>
    <xf numFmtId="9" fontId="53" fillId="9" borderId="73" xfId="21" applyNumberFormat="1" applyFont="1" applyFill="1" applyBorder="1" applyAlignment="1" applyProtection="1">
      <alignment horizontal="center" vertical="center" wrapText="1"/>
      <protection locked="0"/>
    </xf>
    <xf numFmtId="9" fontId="53" fillId="9" borderId="46" xfId="21" applyNumberFormat="1" applyFont="1" applyFill="1" applyBorder="1" applyAlignment="1" applyProtection="1">
      <alignment horizontal="center" vertical="center" wrapText="1"/>
      <protection locked="0"/>
    </xf>
    <xf numFmtId="0" fontId="53" fillId="9" borderId="74" xfId="21" applyFont="1" applyFill="1" applyBorder="1" applyAlignment="1" applyProtection="1">
      <alignment horizontal="center" vertical="center" wrapText="1"/>
      <protection locked="0"/>
    </xf>
    <xf numFmtId="0" fontId="59" fillId="9" borderId="75" xfId="21" applyFont="1" applyFill="1" applyBorder="1" applyAlignment="1" applyProtection="1">
      <alignment horizontal="left" vertical="center" wrapText="1"/>
      <protection locked="0"/>
    </xf>
    <xf numFmtId="0" fontId="53" fillId="9" borderId="76" xfId="21" applyFont="1" applyFill="1" applyBorder="1" applyAlignment="1" applyProtection="1">
      <alignment horizontal="center" vertical="center" wrapText="1"/>
      <protection locked="0"/>
    </xf>
    <xf numFmtId="0" fontId="59" fillId="9" borderId="76" xfId="21" applyFont="1" applyFill="1" applyBorder="1" applyAlignment="1" applyProtection="1">
      <alignment horizontal="center" vertical="center" wrapText="1"/>
      <protection locked="0"/>
    </xf>
    <xf numFmtId="14" fontId="53" fillId="9" borderId="75" xfId="21" applyNumberFormat="1" applyFont="1" applyFill="1" applyBorder="1" applyAlignment="1" applyProtection="1">
      <alignment horizontal="center" vertical="center" wrapText="1"/>
      <protection locked="0"/>
    </xf>
    <xf numFmtId="14" fontId="53" fillId="9" borderId="76" xfId="21" applyNumberFormat="1" applyFont="1" applyFill="1" applyBorder="1" applyAlignment="1" applyProtection="1">
      <alignment horizontal="center" vertical="center" wrapText="1"/>
      <protection locked="0"/>
    </xf>
    <xf numFmtId="0" fontId="53" fillId="9" borderId="78" xfId="21" applyFont="1" applyFill="1" applyBorder="1" applyAlignment="1" applyProtection="1">
      <alignment horizontal="center" vertical="center" wrapText="1"/>
      <protection locked="0"/>
    </xf>
    <xf numFmtId="0" fontId="53" fillId="9" borderId="77" xfId="21" applyFont="1" applyFill="1" applyBorder="1" applyAlignment="1" applyProtection="1">
      <alignment horizontal="center" vertical="center" wrapText="1"/>
      <protection locked="0"/>
    </xf>
    <xf numFmtId="3" fontId="53" fillId="9" borderId="75" xfId="21" applyNumberFormat="1" applyFont="1" applyFill="1" applyBorder="1" applyAlignment="1" applyProtection="1">
      <alignment horizontal="center" vertical="center" wrapText="1"/>
      <protection locked="0"/>
    </xf>
    <xf numFmtId="9" fontId="53" fillId="9" borderId="76" xfId="21" applyNumberFormat="1" applyFont="1" applyFill="1" applyBorder="1" applyAlignment="1" applyProtection="1">
      <alignment horizontal="center" vertical="center" wrapText="1"/>
      <protection locked="0"/>
    </xf>
    <xf numFmtId="9" fontId="53" fillId="9" borderId="79" xfId="21" applyNumberFormat="1" applyFont="1" applyFill="1" applyBorder="1" applyAlignment="1" applyProtection="1">
      <alignment horizontal="center" vertical="center" wrapText="1"/>
      <protection locked="0"/>
    </xf>
    <xf numFmtId="9" fontId="53" fillId="9" borderId="80" xfId="21" applyNumberFormat="1" applyFont="1" applyFill="1" applyBorder="1" applyAlignment="1" applyProtection="1">
      <alignment horizontal="center" vertical="center" wrapText="1"/>
      <protection locked="0"/>
    </xf>
    <xf numFmtId="3" fontId="53" fillId="9" borderId="80" xfId="21" applyNumberFormat="1" applyFont="1" applyFill="1" applyBorder="1" applyAlignment="1" applyProtection="1">
      <alignment horizontal="center" vertical="center" wrapText="1"/>
      <protection locked="0"/>
    </xf>
    <xf numFmtId="9" fontId="53" fillId="9" borderId="78" xfId="21" applyNumberFormat="1" applyFont="1" applyFill="1" applyBorder="1" applyAlignment="1" applyProtection="1">
      <alignment horizontal="center" vertical="center" wrapText="1"/>
      <protection locked="0"/>
    </xf>
    <xf numFmtId="0" fontId="53" fillId="9" borderId="82" xfId="21" applyFont="1" applyFill="1" applyBorder="1" applyAlignment="1" applyProtection="1">
      <alignment horizontal="center" vertical="center" wrapText="1"/>
      <protection locked="0"/>
    </xf>
    <xf numFmtId="0" fontId="53" fillId="2" borderId="0" xfId="21" applyFont="1" applyFill="1" applyBorder="1" applyAlignment="1" applyProtection="1">
      <alignment horizontal="center" vertical="center" wrapText="1"/>
      <protection locked="0"/>
    </xf>
    <xf numFmtId="3" fontId="53" fillId="2" borderId="0" xfId="21" applyNumberFormat="1" applyFont="1" applyFill="1" applyBorder="1" applyAlignment="1" applyProtection="1">
      <alignment horizontal="center" vertical="center" wrapText="1"/>
      <protection locked="0"/>
    </xf>
    <xf numFmtId="3" fontId="53" fillId="2" borderId="44" xfId="21" applyNumberFormat="1" applyFont="1" applyFill="1" applyBorder="1" applyAlignment="1" applyProtection="1">
      <alignment horizontal="center" vertical="center" wrapText="1"/>
      <protection locked="0"/>
    </xf>
    <xf numFmtId="3" fontId="53" fillId="2" borderId="46" xfId="21" applyNumberFormat="1" applyFont="1" applyFill="1" applyBorder="1" applyAlignment="1" applyProtection="1">
      <alignment horizontal="center" vertical="center" wrapText="1"/>
      <protection locked="0"/>
    </xf>
    <xf numFmtId="0" fontId="53" fillId="2" borderId="0" xfId="21" applyFont="1" applyFill="1" applyBorder="1"/>
    <xf numFmtId="9" fontId="53" fillId="2" borderId="0" xfId="23" applyFont="1" applyFill="1" applyBorder="1" applyAlignment="1" applyProtection="1">
      <alignment horizontal="center" vertical="center" wrapText="1"/>
      <protection locked="0"/>
    </xf>
    <xf numFmtId="0" fontId="53" fillId="2" borderId="0" xfId="21" applyFont="1" applyFill="1" applyBorder="1" applyAlignment="1" applyProtection="1">
      <alignment horizontal="left" vertical="center"/>
      <protection locked="0"/>
    </xf>
    <xf numFmtId="0" fontId="61" fillId="2" borderId="0" xfId="21" applyFont="1" applyFill="1" applyBorder="1" applyAlignment="1" applyProtection="1">
      <alignment horizontal="center" vertical="center" wrapText="1"/>
      <protection locked="0"/>
    </xf>
    <xf numFmtId="3" fontId="61" fillId="2" borderId="0" xfId="21" applyNumberFormat="1" applyFont="1" applyFill="1" applyBorder="1" applyAlignment="1" applyProtection="1">
      <alignment horizontal="center" vertical="center" wrapText="1"/>
      <protection locked="0"/>
    </xf>
    <xf numFmtId="3" fontId="61" fillId="2" borderId="44" xfId="21" applyNumberFormat="1" applyFont="1" applyFill="1" applyBorder="1" applyAlignment="1" applyProtection="1">
      <alignment horizontal="center" vertical="center" wrapText="1"/>
      <protection locked="0"/>
    </xf>
    <xf numFmtId="3" fontId="61" fillId="2" borderId="46" xfId="21" applyNumberFormat="1" applyFont="1" applyFill="1" applyBorder="1" applyAlignment="1" applyProtection="1">
      <alignment horizontal="center" vertical="center" wrapText="1"/>
      <protection locked="0"/>
    </xf>
    <xf numFmtId="0" fontId="53" fillId="2" borderId="0" xfId="21" applyFont="1" applyFill="1" applyBorder="1" applyProtection="1">
      <protection locked="0"/>
    </xf>
    <xf numFmtId="3" fontId="53" fillId="2" borderId="0" xfId="21" applyNumberFormat="1" applyFont="1" applyFill="1" applyBorder="1" applyProtection="1">
      <protection locked="0"/>
    </xf>
    <xf numFmtId="3" fontId="58" fillId="4" borderId="51" xfId="21" applyNumberFormat="1" applyFont="1" applyFill="1" applyBorder="1" applyAlignment="1">
      <alignment horizontal="center" vertical="center" wrapText="1"/>
    </xf>
    <xf numFmtId="3" fontId="53" fillId="9" borderId="76" xfId="21" applyNumberFormat="1" applyFont="1" applyFill="1" applyBorder="1" applyAlignment="1" applyProtection="1">
      <alignment horizontal="center" vertical="center" wrapText="1"/>
      <protection locked="0"/>
    </xf>
    <xf numFmtId="3" fontId="53" fillId="9" borderId="79" xfId="21" applyNumberFormat="1" applyFont="1" applyFill="1" applyBorder="1" applyAlignment="1" applyProtection="1">
      <alignment horizontal="center" vertical="center" wrapText="1"/>
      <protection locked="0"/>
    </xf>
    <xf numFmtId="0" fontId="6" fillId="2" borderId="0" xfId="20" applyFill="1"/>
    <xf numFmtId="0" fontId="0" fillId="0" borderId="35" xfId="0" applyBorder="1"/>
    <xf numFmtId="0" fontId="0" fillId="0" borderId="36" xfId="0" applyBorder="1" applyAlignment="1">
      <alignment horizontal="center" vertical="center"/>
    </xf>
    <xf numFmtId="0" fontId="6" fillId="0" borderId="0" xfId="20"/>
    <xf numFmtId="0" fontId="0" fillId="0" borderId="36" xfId="0" applyBorder="1"/>
    <xf numFmtId="0" fontId="0" fillId="0" borderId="30" xfId="0" applyBorder="1"/>
    <xf numFmtId="3" fontId="0" fillId="0" borderId="36" xfId="0" applyNumberFormat="1" applyBorder="1" applyAlignment="1">
      <alignment horizontal="right" vertical="center"/>
    </xf>
    <xf numFmtId="0" fontId="0" fillId="0" borderId="34" xfId="0" applyBorder="1"/>
    <xf numFmtId="3" fontId="0" fillId="0" borderId="37" xfId="0" applyNumberFormat="1" applyBorder="1" applyAlignment="1">
      <alignment horizontal="right" vertical="center"/>
    </xf>
    <xf numFmtId="0" fontId="0" fillId="0" borderId="38" xfId="0" applyBorder="1" applyAlignment="1">
      <alignment wrapText="1"/>
    </xf>
    <xf numFmtId="3" fontId="0" fillId="0" borderId="35" xfId="0" applyNumberFormat="1" applyBorder="1" applyAlignment="1">
      <alignment horizontal="right" vertical="center"/>
    </xf>
    <xf numFmtId="0" fontId="0" fillId="0" borderId="35" xfId="0" pivotButton="1" applyBorder="1"/>
    <xf numFmtId="0" fontId="0" fillId="0" borderId="30" xfId="0" pivotButton="1" applyBorder="1" applyAlignment="1">
      <alignment wrapText="1"/>
    </xf>
    <xf numFmtId="0" fontId="0" fillId="0" borderId="0" xfId="0" applyBorder="1" applyAlignment="1">
      <alignment wrapText="1"/>
    </xf>
    <xf numFmtId="3" fontId="0" fillId="0" borderId="0" xfId="0" applyNumberFormat="1" applyBorder="1" applyAlignment="1">
      <alignment horizontal="right" vertical="center"/>
    </xf>
    <xf numFmtId="9" fontId="66" fillId="2" borderId="91" xfId="4" applyNumberFormat="1" applyFont="1" applyFill="1" applyBorder="1" applyAlignment="1">
      <alignment horizontal="center" vertical="center"/>
    </xf>
    <xf numFmtId="165" fontId="66" fillId="2" borderId="91" xfId="4" applyFont="1" applyFill="1" applyBorder="1" applyAlignment="1">
      <alignment horizontal="center" vertical="center"/>
    </xf>
    <xf numFmtId="0" fontId="28" fillId="5" borderId="27" xfId="0" applyFont="1" applyFill="1" applyBorder="1" applyAlignment="1">
      <alignment horizontal="left" vertical="center"/>
    </xf>
    <xf numFmtId="9"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right"/>
    </xf>
    <xf numFmtId="0" fontId="23" fillId="3" borderId="102" xfId="0" applyFont="1" applyFill="1" applyBorder="1" applyAlignment="1" applyProtection="1">
      <alignment vertical="center"/>
      <protection locked="0"/>
    </xf>
    <xf numFmtId="1" fontId="0" fillId="0" borderId="0" xfId="0" applyNumberFormat="1" applyAlignment="1">
      <alignment horizontal="center"/>
    </xf>
    <xf numFmtId="0" fontId="0" fillId="0" borderId="0" xfId="0" pivotButton="1" applyAlignment="1">
      <alignment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center" wrapText="1"/>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wrapText="1"/>
    </xf>
    <xf numFmtId="0" fontId="0" fillId="2" borderId="0" xfId="0" applyFill="1" applyBorder="1"/>
    <xf numFmtId="0" fontId="28" fillId="5" borderId="21" xfId="0" applyFont="1" applyFill="1" applyBorder="1" applyAlignment="1">
      <alignment horizontal="left" vertical="center"/>
    </xf>
    <xf numFmtId="0" fontId="67" fillId="2" borderId="0" xfId="0" applyFont="1" applyFill="1" applyAlignment="1">
      <alignment vertical="center" wrapText="1"/>
    </xf>
    <xf numFmtId="0" fontId="28" fillId="2" borderId="0" xfId="0" applyFont="1" applyFill="1" applyBorder="1" applyAlignment="1">
      <alignment horizontal="left" vertical="center"/>
    </xf>
    <xf numFmtId="0" fontId="31" fillId="2" borderId="0" xfId="0" applyFont="1" applyFill="1" applyBorder="1" applyAlignment="1">
      <alignment horizontal="left" vertical="center"/>
    </xf>
    <xf numFmtId="0" fontId="0" fillId="2" borderId="0" xfId="0" applyFill="1" applyAlignment="1">
      <alignment vertical="center"/>
    </xf>
    <xf numFmtId="0" fontId="43" fillId="11" borderId="0" xfId="0" applyFont="1" applyFill="1" applyAlignment="1">
      <alignment vertical="center"/>
    </xf>
    <xf numFmtId="0" fontId="44" fillId="11" borderId="0" xfId="0" applyFont="1" applyFill="1" applyAlignment="1">
      <alignment vertical="center"/>
    </xf>
    <xf numFmtId="0" fontId="44" fillId="2" borderId="0" xfId="0" applyFont="1" applyFill="1" applyAlignment="1">
      <alignment vertical="center"/>
    </xf>
    <xf numFmtId="0" fontId="18" fillId="8" borderId="98" xfId="0" applyFont="1" applyFill="1" applyBorder="1" applyAlignment="1">
      <alignment vertical="center"/>
    </xf>
    <xf numFmtId="0" fontId="0" fillId="2" borderId="0" xfId="0" applyNumberFormat="1" applyFill="1" applyAlignment="1">
      <alignment vertical="center"/>
    </xf>
    <xf numFmtId="0" fontId="68" fillId="2" borderId="108" xfId="0" applyFont="1" applyFill="1" applyBorder="1" applyAlignment="1">
      <alignment horizontal="center" vertical="center"/>
    </xf>
    <xf numFmtId="0" fontId="0" fillId="2" borderId="109" xfId="0" applyFill="1" applyBorder="1" applyAlignment="1">
      <alignment vertical="center"/>
    </xf>
    <xf numFmtId="9" fontId="0" fillId="2" borderId="110" xfId="0" applyNumberFormat="1" applyFill="1" applyBorder="1" applyAlignment="1">
      <alignment vertical="center"/>
    </xf>
    <xf numFmtId="9" fontId="68" fillId="2" borderId="111" xfId="0" applyNumberFormat="1" applyFont="1" applyFill="1" applyBorder="1" applyAlignment="1">
      <alignment vertical="center"/>
    </xf>
    <xf numFmtId="0" fontId="0" fillId="2" borderId="112" xfId="0" applyFill="1" applyBorder="1" applyAlignment="1">
      <alignment vertical="center"/>
    </xf>
    <xf numFmtId="9" fontId="0" fillId="2" borderId="113" xfId="0" applyNumberFormat="1" applyFill="1" applyBorder="1" applyAlignment="1">
      <alignment vertical="center"/>
    </xf>
    <xf numFmtId="9" fontId="68" fillId="2" borderId="114" xfId="0" applyNumberFormat="1" applyFont="1" applyFill="1" applyBorder="1" applyAlignment="1">
      <alignment vertical="center"/>
    </xf>
    <xf numFmtId="0" fontId="0" fillId="2" borderId="115" xfId="0" applyFill="1" applyBorder="1" applyAlignment="1">
      <alignment vertical="center"/>
    </xf>
    <xf numFmtId="9" fontId="0" fillId="2" borderId="116" xfId="0" applyNumberFormat="1" applyFill="1" applyBorder="1" applyAlignment="1">
      <alignment vertical="center"/>
    </xf>
    <xf numFmtId="9" fontId="68" fillId="2" borderId="117" xfId="0" applyNumberFormat="1" applyFont="1" applyFill="1" applyBorder="1" applyAlignment="1">
      <alignment vertical="center"/>
    </xf>
    <xf numFmtId="9" fontId="0" fillId="2" borderId="109" xfId="0" applyNumberFormat="1" applyFill="1" applyBorder="1" applyAlignment="1">
      <alignment vertical="center"/>
    </xf>
    <xf numFmtId="9" fontId="0" fillId="2" borderId="112" xfId="0" applyNumberFormat="1" applyFill="1" applyBorder="1" applyAlignment="1">
      <alignment vertical="center"/>
    </xf>
    <xf numFmtId="9" fontId="0" fillId="2" borderId="115" xfId="0" applyNumberFormat="1" applyFill="1" applyBorder="1" applyAlignment="1">
      <alignment vertical="center"/>
    </xf>
    <xf numFmtId="165" fontId="65" fillId="2" borderId="0" xfId="4" applyFont="1" applyFill="1" applyAlignment="1">
      <alignment horizontal="center" vertical="center"/>
    </xf>
    <xf numFmtId="165" fontId="65" fillId="2" borderId="119" xfId="4" applyFont="1" applyFill="1" applyBorder="1" applyAlignment="1">
      <alignment horizontal="center" vertical="center"/>
    </xf>
    <xf numFmtId="165" fontId="65" fillId="2" borderId="120" xfId="4" applyFont="1" applyFill="1" applyBorder="1" applyAlignment="1">
      <alignment horizontal="center" vertical="center"/>
    </xf>
    <xf numFmtId="3" fontId="65" fillId="2" borderId="121" xfId="4" applyNumberFormat="1" applyFont="1" applyFill="1" applyBorder="1" applyAlignment="1">
      <alignment horizontal="center" vertical="center"/>
    </xf>
    <xf numFmtId="165" fontId="65" fillId="2" borderId="118" xfId="4" applyFont="1" applyFill="1" applyBorder="1" applyAlignment="1">
      <alignment horizontal="center" vertical="center"/>
    </xf>
    <xf numFmtId="9" fontId="53" fillId="12" borderId="57" xfId="21" applyNumberFormat="1" applyFont="1" applyFill="1" applyBorder="1" applyAlignment="1" applyProtection="1">
      <alignment horizontal="center" vertical="center" wrapText="1"/>
      <protection locked="0"/>
    </xf>
    <xf numFmtId="9" fontId="53" fillId="12" borderId="59" xfId="21" applyNumberFormat="1" applyFont="1" applyFill="1" applyBorder="1" applyAlignment="1" applyProtection="1">
      <alignment horizontal="center" vertical="center" wrapText="1"/>
      <protection locked="0"/>
    </xf>
    <xf numFmtId="0" fontId="53" fillId="2" borderId="66" xfId="21" applyFont="1" applyFill="1" applyBorder="1" applyAlignment="1" applyProtection="1">
      <alignment horizontal="center" vertical="center" wrapText="1"/>
      <protection locked="0"/>
    </xf>
    <xf numFmtId="9" fontId="53" fillId="2" borderId="62" xfId="21" applyNumberFormat="1" applyFont="1" applyFill="1" applyBorder="1" applyAlignment="1" applyProtection="1">
      <alignment horizontal="center" vertical="center" wrapText="1"/>
      <protection locked="0"/>
    </xf>
    <xf numFmtId="0" fontId="0" fillId="0" borderId="0" xfId="0" applyAlignment="1">
      <alignment horizontal="left" indent="1"/>
    </xf>
    <xf numFmtId="0" fontId="0" fillId="0" borderId="0" xfId="0" applyAlignment="1">
      <alignment horizontal="left" indent="2"/>
    </xf>
    <xf numFmtId="169" fontId="56" fillId="2" borderId="0" xfId="21" applyNumberFormat="1" applyFont="1" applyFill="1" applyProtection="1">
      <protection locked="0"/>
    </xf>
    <xf numFmtId="169" fontId="53" fillId="2" borderId="0" xfId="21" applyNumberFormat="1" applyFont="1" applyFill="1" applyProtection="1">
      <protection locked="0"/>
    </xf>
    <xf numFmtId="0" fontId="18" fillId="0" borderId="0" xfId="0" pivotButton="1" applyFont="1" applyAlignment="1">
      <alignment horizontal="center" vertical="center" wrapText="1"/>
    </xf>
    <xf numFmtId="0" fontId="18" fillId="2" borderId="0" xfId="0" applyFont="1" applyFill="1" applyAlignment="1">
      <alignment horizontal="center" vertical="center" wrapText="1"/>
    </xf>
    <xf numFmtId="0" fontId="69" fillId="0" borderId="0" xfId="0" applyFont="1" applyAlignment="1">
      <alignment horizontal="center" vertical="center" wrapText="1"/>
    </xf>
    <xf numFmtId="0" fontId="22" fillId="2" borderId="0" xfId="0" applyFont="1" applyFill="1" applyBorder="1" applyAlignment="1" applyProtection="1">
      <alignment horizontal="center" vertical="center"/>
      <protection locked="0"/>
    </xf>
    <xf numFmtId="164" fontId="21" fillId="2" borderId="0" xfId="1" applyNumberFormat="1" applyFont="1" applyFill="1" applyBorder="1" applyAlignment="1" applyProtection="1">
      <alignment horizontal="center" vertical="center"/>
      <protection locked="0"/>
    </xf>
    <xf numFmtId="0" fontId="0" fillId="2" borderId="0" xfId="0" applyFill="1" applyAlignment="1">
      <alignment horizontal="left"/>
    </xf>
    <xf numFmtId="0" fontId="70" fillId="2" borderId="0" xfId="0" applyFont="1" applyFill="1" applyBorder="1" applyAlignment="1" applyProtection="1">
      <alignment horizontal="left"/>
      <protection locked="0"/>
    </xf>
    <xf numFmtId="164" fontId="72" fillId="5" borderId="29" xfId="1" applyNumberFormat="1" applyFont="1" applyFill="1" applyBorder="1" applyAlignment="1" applyProtection="1">
      <alignment horizontal="center" vertical="center"/>
      <protection locked="0"/>
    </xf>
    <xf numFmtId="164" fontId="72" fillId="5" borderId="26" xfId="1" applyNumberFormat="1"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9" fontId="19" fillId="2" borderId="0" xfId="0" applyNumberFormat="1" applyFont="1" applyFill="1" applyBorder="1" applyAlignment="1" applyProtection="1">
      <alignment horizontal="center"/>
      <protection locked="0"/>
    </xf>
    <xf numFmtId="0" fontId="19" fillId="2" borderId="0" xfId="0" applyFont="1" applyFill="1" applyBorder="1" applyAlignment="1" applyProtection="1">
      <alignment horizontal="left" wrapText="1"/>
      <protection locked="0"/>
    </xf>
    <xf numFmtId="0" fontId="23" fillId="3" borderId="6" xfId="0" applyFont="1" applyFill="1" applyBorder="1" applyAlignment="1" applyProtection="1">
      <alignment vertical="center" wrapText="1"/>
      <protection locked="0"/>
    </xf>
    <xf numFmtId="0" fontId="19" fillId="2" borderId="0" xfId="0" applyFont="1" applyFill="1" applyBorder="1" applyAlignment="1" applyProtection="1">
      <alignment horizontal="center" wrapText="1"/>
      <protection locked="0"/>
    </xf>
    <xf numFmtId="0" fontId="20" fillId="6" borderId="99" xfId="0" applyFont="1" applyFill="1" applyBorder="1" applyAlignment="1" applyProtection="1">
      <alignment vertical="center" wrapText="1"/>
      <protection locked="0"/>
    </xf>
    <xf numFmtId="0" fontId="21" fillId="3" borderId="99" xfId="0" applyFont="1" applyFill="1" applyBorder="1" applyAlignment="1" applyProtection="1">
      <alignment vertical="center" wrapText="1"/>
    </xf>
    <xf numFmtId="0" fontId="26" fillId="5" borderId="123" xfId="0" applyFont="1" applyFill="1" applyBorder="1" applyAlignment="1" applyProtection="1">
      <alignment horizontal="center" vertical="center" wrapText="1"/>
    </xf>
    <xf numFmtId="9" fontId="37" fillId="4" borderId="123" xfId="3" applyFont="1" applyFill="1" applyBorder="1" applyAlignment="1" applyProtection="1">
      <alignment horizontal="center" vertical="center" wrapText="1"/>
    </xf>
    <xf numFmtId="1" fontId="26" fillId="13" borderId="123" xfId="3" applyNumberFormat="1" applyFont="1" applyFill="1" applyBorder="1" applyAlignment="1" applyProtection="1">
      <alignment horizontal="center" vertical="center" wrapText="1"/>
    </xf>
    <xf numFmtId="9" fontId="37" fillId="4" borderId="123" xfId="0" applyNumberFormat="1" applyFont="1" applyFill="1" applyBorder="1" applyAlignment="1" applyProtection="1">
      <alignment horizontal="center" vertical="center" wrapText="1"/>
    </xf>
    <xf numFmtId="1" fontId="26" fillId="13" borderId="123" xfId="0" applyNumberFormat="1" applyFont="1" applyFill="1" applyBorder="1" applyAlignment="1" applyProtection="1">
      <alignment horizontal="center" vertical="center" wrapText="1"/>
    </xf>
    <xf numFmtId="0" fontId="37" fillId="4" borderId="123" xfId="0" applyFont="1" applyFill="1" applyBorder="1" applyAlignment="1" applyProtection="1">
      <alignment horizontal="center" vertical="center" wrapText="1"/>
    </xf>
    <xf numFmtId="1" fontId="37" fillId="13" borderId="123" xfId="3" applyNumberFormat="1" applyFont="1" applyFill="1" applyBorder="1" applyAlignment="1" applyProtection="1">
      <alignment horizontal="center" vertical="center" wrapText="1"/>
    </xf>
    <xf numFmtId="9" fontId="26" fillId="6" borderId="123" xfId="0" applyNumberFormat="1" applyFont="1" applyFill="1" applyBorder="1" applyAlignment="1" applyProtection="1">
      <alignment horizontal="center" vertical="center" wrapText="1"/>
    </xf>
    <xf numFmtId="1" fontId="26" fillId="13" borderId="123" xfId="0" applyNumberFormat="1" applyFont="1" applyFill="1" applyBorder="1" applyAlignment="1" applyProtection="1">
      <alignment horizontal="center" vertical="center" wrapText="1"/>
      <protection locked="0"/>
    </xf>
    <xf numFmtId="1" fontId="26" fillId="6" borderId="123" xfId="0" applyNumberFormat="1" applyFont="1" applyFill="1" applyBorder="1" applyAlignment="1" applyProtection="1">
      <alignment horizontal="center" vertical="center" wrapText="1"/>
    </xf>
    <xf numFmtId="169" fontId="26" fillId="3" borderId="123" xfId="0" applyNumberFormat="1" applyFont="1" applyFill="1" applyBorder="1" applyAlignment="1" applyProtection="1">
      <alignment horizontal="center" vertical="center" wrapText="1"/>
      <protection locked="0"/>
    </xf>
    <xf numFmtId="3" fontId="26" fillId="3" borderId="123" xfId="0" applyNumberFormat="1" applyFont="1" applyFill="1" applyBorder="1" applyAlignment="1" applyProtection="1">
      <alignment horizontal="center" vertical="center" wrapText="1"/>
    </xf>
    <xf numFmtId="9" fontId="26" fillId="3" borderId="123" xfId="0" applyNumberFormat="1" applyFont="1" applyFill="1" applyBorder="1" applyAlignment="1" applyProtection="1">
      <alignment horizontal="center" vertical="center" wrapText="1"/>
    </xf>
    <xf numFmtId="0" fontId="26" fillId="3" borderId="123" xfId="0" applyFont="1" applyFill="1" applyBorder="1" applyAlignment="1" applyProtection="1">
      <alignment horizontal="center" vertical="center" wrapText="1"/>
    </xf>
    <xf numFmtId="0" fontId="26" fillId="5" borderId="84" xfId="0" applyFont="1" applyFill="1" applyBorder="1" applyAlignment="1" applyProtection="1">
      <alignment horizontal="center" vertical="center" wrapText="1"/>
    </xf>
    <xf numFmtId="9" fontId="37" fillId="4" borderId="84" xfId="3" applyFont="1" applyFill="1" applyBorder="1" applyAlignment="1" applyProtection="1">
      <alignment horizontal="center" vertical="center" wrapText="1"/>
    </xf>
    <xf numFmtId="1" fontId="26" fillId="13" borderId="84" xfId="3" applyNumberFormat="1" applyFont="1" applyFill="1" applyBorder="1" applyAlignment="1" applyProtection="1">
      <alignment horizontal="center" vertical="center" wrapText="1"/>
    </xf>
    <xf numFmtId="9" fontId="37" fillId="4" borderId="84" xfId="0" applyNumberFormat="1" applyFont="1" applyFill="1" applyBorder="1" applyAlignment="1" applyProtection="1">
      <alignment horizontal="center" vertical="center" wrapText="1"/>
    </xf>
    <xf numFmtId="1" fontId="26" fillId="13" borderId="84" xfId="0" applyNumberFormat="1" applyFont="1" applyFill="1" applyBorder="1" applyAlignment="1" applyProtection="1">
      <alignment horizontal="center" vertical="center" wrapText="1"/>
    </xf>
    <xf numFmtId="0" fontId="37" fillId="4" borderId="84" xfId="0" applyFont="1" applyFill="1" applyBorder="1" applyAlignment="1" applyProtection="1">
      <alignment horizontal="center" vertical="center" wrapText="1"/>
    </xf>
    <xf numFmtId="1" fontId="37" fillId="13" borderId="84" xfId="3" applyNumberFormat="1" applyFont="1" applyFill="1" applyBorder="1" applyAlignment="1" applyProtection="1">
      <alignment horizontal="center" vertical="center" wrapText="1"/>
    </xf>
    <xf numFmtId="9" fontId="26" fillId="6" borderId="84" xfId="0" applyNumberFormat="1" applyFont="1" applyFill="1" applyBorder="1" applyAlignment="1" applyProtection="1">
      <alignment horizontal="center" vertical="center" wrapText="1"/>
    </xf>
    <xf numFmtId="1" fontId="26" fillId="13" borderId="84" xfId="0" applyNumberFormat="1" applyFont="1" applyFill="1" applyBorder="1" applyAlignment="1" applyProtection="1">
      <alignment horizontal="center" vertical="center" wrapText="1"/>
      <protection locked="0"/>
    </xf>
    <xf numFmtId="1" fontId="26" fillId="6" borderId="84" xfId="0" applyNumberFormat="1" applyFont="1" applyFill="1" applyBorder="1" applyAlignment="1" applyProtection="1">
      <alignment horizontal="center" vertical="center" wrapText="1"/>
    </xf>
    <xf numFmtId="169" fontId="26" fillId="3" borderId="84" xfId="0" applyNumberFormat="1" applyFont="1" applyFill="1" applyBorder="1" applyAlignment="1" applyProtection="1">
      <alignment horizontal="center" vertical="center" wrapText="1"/>
      <protection locked="0"/>
    </xf>
    <xf numFmtId="3" fontId="26" fillId="3" borderId="84" xfId="0" applyNumberFormat="1" applyFont="1" applyFill="1" applyBorder="1" applyAlignment="1" applyProtection="1">
      <alignment horizontal="center" vertical="center" wrapText="1"/>
    </xf>
    <xf numFmtId="9" fontId="26" fillId="3" borderId="84" xfId="0" applyNumberFormat="1" applyFont="1" applyFill="1" applyBorder="1" applyAlignment="1" applyProtection="1">
      <alignment horizontal="center" vertical="center" wrapText="1"/>
    </xf>
    <xf numFmtId="0" fontId="26" fillId="3" borderId="84" xfId="0" applyFont="1" applyFill="1" applyBorder="1" applyAlignment="1" applyProtection="1">
      <alignment horizontal="center" vertical="center" wrapText="1"/>
    </xf>
    <xf numFmtId="3" fontId="26" fillId="3" borderId="84" xfId="0" applyNumberFormat="1" applyFont="1" applyFill="1" applyBorder="1" applyAlignment="1" applyProtection="1">
      <alignment horizontal="center" vertical="center" wrapText="1"/>
      <protection locked="0"/>
    </xf>
    <xf numFmtId="9" fontId="26" fillId="3" borderId="84" xfId="0" applyNumberFormat="1" applyFont="1" applyFill="1" applyBorder="1" applyAlignment="1" applyProtection="1">
      <alignment horizontal="center" vertical="center" wrapText="1"/>
      <protection locked="0"/>
    </xf>
    <xf numFmtId="0" fontId="35" fillId="5" borderId="104" xfId="0" applyFont="1" applyFill="1" applyBorder="1" applyAlignment="1" applyProtection="1">
      <alignment horizontal="center" vertical="center"/>
      <protection locked="0"/>
    </xf>
    <xf numFmtId="15" fontId="26" fillId="13" borderId="127" xfId="0" applyNumberFormat="1" applyFont="1" applyFill="1" applyBorder="1" applyAlignment="1" applyProtection="1">
      <alignment horizontal="center" vertical="center" wrapText="1"/>
      <protection locked="0"/>
    </xf>
    <xf numFmtId="15" fontId="26" fillId="13" borderId="21" xfId="0" applyNumberFormat="1" applyFont="1" applyFill="1" applyBorder="1" applyAlignment="1" applyProtection="1">
      <alignment horizontal="center" vertical="center" wrapText="1"/>
      <protection locked="0"/>
    </xf>
    <xf numFmtId="15" fontId="26" fillId="13" borderId="128" xfId="0" applyNumberFormat="1" applyFont="1" applyFill="1" applyBorder="1" applyAlignment="1" applyProtection="1">
      <alignment horizontal="center" vertical="center" wrapText="1"/>
      <protection locked="0"/>
    </xf>
    <xf numFmtId="0" fontId="26" fillId="13" borderId="84" xfId="0" applyFont="1" applyFill="1" applyBorder="1" applyAlignment="1" applyProtection="1">
      <alignment horizontal="center" vertical="center" wrapText="1"/>
      <protection locked="0"/>
    </xf>
    <xf numFmtId="0" fontId="26" fillId="13" borderId="123" xfId="0" applyFont="1" applyFill="1" applyBorder="1" applyAlignment="1" applyProtection="1">
      <alignment horizontal="center" vertical="center" wrapText="1"/>
      <protection locked="0"/>
    </xf>
    <xf numFmtId="9" fontId="37" fillId="4" borderId="125" xfId="3" applyFont="1" applyFill="1" applyBorder="1" applyAlignment="1" applyProtection="1">
      <alignment horizontal="center" vertical="center" wrapText="1"/>
    </xf>
    <xf numFmtId="9" fontId="37" fillId="4" borderId="126" xfId="3" applyFont="1" applyFill="1" applyBorder="1" applyAlignment="1" applyProtection="1">
      <alignment horizontal="center" vertical="center" wrapText="1"/>
    </xf>
    <xf numFmtId="3" fontId="26" fillId="3" borderId="124" xfId="0" applyNumberFormat="1" applyFont="1" applyFill="1" applyBorder="1" applyAlignment="1" applyProtection="1">
      <alignment horizontal="center" vertical="center" wrapText="1"/>
    </xf>
    <xf numFmtId="3" fontId="26" fillId="3" borderId="122" xfId="0" applyNumberFormat="1" applyFont="1" applyFill="1" applyBorder="1" applyAlignment="1" applyProtection="1">
      <alignment horizontal="center" vertical="center" wrapText="1"/>
    </xf>
    <xf numFmtId="3" fontId="26" fillId="13" borderId="127" xfId="0" applyNumberFormat="1" applyFont="1" applyFill="1" applyBorder="1" applyAlignment="1" applyProtection="1">
      <alignment horizontal="center" vertical="center" wrapText="1"/>
      <protection locked="0"/>
    </xf>
    <xf numFmtId="3" fontId="26" fillId="13" borderId="21" xfId="0" applyNumberFormat="1" applyFont="1" applyFill="1" applyBorder="1" applyAlignment="1" applyProtection="1">
      <alignment horizontal="center" vertical="center" wrapText="1"/>
      <protection locked="0"/>
    </xf>
    <xf numFmtId="0" fontId="53" fillId="2" borderId="68" xfId="32" applyFont="1" applyFill="1" applyBorder="1" applyAlignment="1" applyProtection="1">
      <alignment horizontal="center" vertical="center" wrapText="1"/>
      <protection locked="0"/>
    </xf>
    <xf numFmtId="0" fontId="53" fillId="2" borderId="67" xfId="32" applyFont="1" applyFill="1" applyBorder="1" applyAlignment="1" applyProtection="1">
      <alignment horizontal="center" vertical="center" wrapText="1"/>
      <protection locked="0"/>
    </xf>
    <xf numFmtId="0" fontId="53" fillId="2" borderId="87" xfId="32" applyFont="1" applyFill="1" applyBorder="1" applyAlignment="1" applyProtection="1">
      <alignment horizontal="center" vertical="center" wrapText="1"/>
      <protection locked="0"/>
    </xf>
    <xf numFmtId="0" fontId="53" fillId="6" borderId="57" xfId="32" applyFont="1" applyFill="1" applyBorder="1" applyAlignment="1" applyProtection="1">
      <alignment horizontal="center" vertical="center" wrapText="1"/>
      <protection locked="0"/>
    </xf>
    <xf numFmtId="0" fontId="59" fillId="6" borderId="57" xfId="32" applyFont="1" applyFill="1" applyBorder="1" applyAlignment="1" applyProtection="1">
      <alignment horizontal="center" vertical="center" wrapText="1"/>
      <protection locked="0"/>
    </xf>
    <xf numFmtId="0" fontId="53" fillId="2" borderId="58" xfId="32" applyFont="1" applyFill="1" applyBorder="1" applyAlignment="1" applyProtection="1">
      <alignment horizontal="left" vertical="center" wrapText="1"/>
      <protection locked="0"/>
    </xf>
    <xf numFmtId="14" fontId="60" fillId="2" borderId="56" xfId="32" applyNumberFormat="1" applyFont="1" applyFill="1" applyBorder="1" applyAlignment="1" applyProtection="1">
      <alignment horizontal="center" vertical="center" wrapText="1"/>
      <protection locked="0"/>
    </xf>
    <xf numFmtId="14" fontId="60" fillId="2" borderId="57" xfId="32" applyNumberFormat="1" applyFont="1" applyFill="1" applyBorder="1" applyAlignment="1" applyProtection="1">
      <alignment horizontal="center" vertical="center" wrapText="1"/>
      <protection locked="0"/>
    </xf>
    <xf numFmtId="0" fontId="60" fillId="2" borderId="59" xfId="32" applyFont="1" applyFill="1" applyBorder="1" applyAlignment="1" applyProtection="1">
      <alignment horizontal="center" vertical="center" wrapText="1"/>
      <protection locked="0"/>
    </xf>
    <xf numFmtId="0" fontId="53" fillId="6" borderId="68" xfId="32" applyFont="1" applyFill="1" applyBorder="1" applyAlignment="1" applyProtection="1">
      <alignment horizontal="center" vertical="center" wrapText="1"/>
      <protection locked="0"/>
    </xf>
    <xf numFmtId="0" fontId="53" fillId="2" borderId="58" xfId="32" applyFont="1" applyFill="1" applyBorder="1" applyAlignment="1" applyProtection="1">
      <alignment horizontal="left" vertical="center" wrapText="1"/>
      <protection locked="0"/>
    </xf>
    <xf numFmtId="0" fontId="53" fillId="2" borderId="61" xfId="32" applyFont="1" applyFill="1" applyBorder="1" applyAlignment="1" applyProtection="1">
      <alignment horizontal="center" vertical="center" wrapText="1"/>
      <protection locked="0"/>
    </xf>
    <xf numFmtId="0" fontId="53" fillId="2" borderId="57" xfId="32" applyFont="1" applyFill="1" applyBorder="1" applyAlignment="1" applyProtection="1">
      <alignment horizontal="center" vertical="center" wrapText="1"/>
      <protection locked="0"/>
    </xf>
    <xf numFmtId="0" fontId="53" fillId="2" borderId="60" xfId="32" applyFont="1" applyFill="1" applyBorder="1" applyAlignment="1" applyProtection="1">
      <alignment horizontal="center" vertical="center" wrapText="1"/>
      <protection locked="0"/>
    </xf>
    <xf numFmtId="14" fontId="60" fillId="2" borderId="67" xfId="32" applyNumberFormat="1" applyFont="1" applyFill="1" applyBorder="1" applyAlignment="1" applyProtection="1">
      <alignment horizontal="center" vertical="center" wrapText="1"/>
      <protection locked="0"/>
    </xf>
    <xf numFmtId="14" fontId="60" fillId="2" borderId="68" xfId="32" applyNumberFormat="1" applyFont="1" applyFill="1" applyBorder="1" applyAlignment="1" applyProtection="1">
      <alignment horizontal="center" vertical="center" wrapText="1"/>
      <protection locked="0"/>
    </xf>
    <xf numFmtId="0" fontId="60" fillId="2" borderId="69" xfId="32" applyFont="1" applyFill="1" applyBorder="1" applyAlignment="1" applyProtection="1">
      <alignment horizontal="center" vertical="center" wrapText="1"/>
      <protection locked="0"/>
    </xf>
    <xf numFmtId="0" fontId="53" fillId="6" borderId="68" xfId="32" applyFont="1" applyFill="1" applyBorder="1" applyAlignment="1" applyProtection="1">
      <alignment horizontal="center" vertical="center" wrapText="1"/>
      <protection locked="0"/>
    </xf>
    <xf numFmtId="0" fontId="59" fillId="6" borderId="68" xfId="32" applyFont="1" applyFill="1" applyBorder="1" applyAlignment="1" applyProtection="1">
      <alignment horizontal="center" vertical="center" wrapText="1"/>
      <protection locked="0"/>
    </xf>
    <xf numFmtId="0" fontId="53" fillId="2" borderId="69" xfId="32" applyFont="1" applyFill="1" applyBorder="1" applyAlignment="1" applyProtection="1">
      <alignment horizontal="center" vertical="center" wrapText="1"/>
      <protection locked="0"/>
    </xf>
    <xf numFmtId="9" fontId="53" fillId="2" borderId="68" xfId="32" applyNumberFormat="1" applyFont="1" applyFill="1" applyBorder="1" applyAlignment="1" applyProtection="1">
      <alignment horizontal="center" vertical="center" wrapText="1"/>
      <protection locked="0"/>
    </xf>
    <xf numFmtId="9" fontId="53" fillId="2" borderId="85" xfId="32" applyNumberFormat="1" applyFont="1" applyFill="1" applyBorder="1" applyAlignment="1" applyProtection="1">
      <alignment horizontal="center" vertical="center" wrapText="1"/>
      <protection locked="0"/>
    </xf>
    <xf numFmtId="9" fontId="53" fillId="2" borderId="86" xfId="32" applyNumberFormat="1" applyFont="1" applyFill="1" applyBorder="1" applyAlignment="1" applyProtection="1">
      <alignment horizontal="center" vertical="center" wrapText="1"/>
      <protection locked="0"/>
    </xf>
    <xf numFmtId="9" fontId="53" fillId="2" borderId="69" xfId="32" applyNumberFormat="1" applyFont="1" applyFill="1" applyBorder="1" applyAlignment="1" applyProtection="1">
      <alignment horizontal="center" vertical="center" wrapText="1"/>
      <protection locked="0"/>
    </xf>
    <xf numFmtId="0" fontId="59" fillId="6" borderId="56" xfId="37" applyFont="1" applyFill="1" applyBorder="1" applyAlignment="1" applyProtection="1">
      <alignment horizontal="left" vertical="center" wrapText="1"/>
      <protection locked="0"/>
    </xf>
    <xf numFmtId="3" fontId="53" fillId="14" borderId="56" xfId="21" applyNumberFormat="1" applyFont="1" applyFill="1" applyBorder="1" applyAlignment="1" applyProtection="1">
      <alignment horizontal="center" vertical="center" wrapText="1"/>
      <protection locked="0"/>
    </xf>
    <xf numFmtId="0" fontId="53" fillId="2" borderId="56" xfId="37" applyFont="1" applyFill="1" applyBorder="1" applyAlignment="1" applyProtection="1">
      <alignment horizontal="center" vertical="center" wrapText="1"/>
      <protection locked="0"/>
    </xf>
    <xf numFmtId="9" fontId="53" fillId="2" borderId="61" xfId="37" applyNumberFormat="1" applyFont="1" applyFill="1" applyBorder="1" applyAlignment="1" applyProtection="1">
      <alignment horizontal="center" vertical="center" wrapText="1"/>
      <protection locked="0"/>
    </xf>
    <xf numFmtId="9" fontId="53" fillId="2" borderId="59" xfId="37" applyNumberFormat="1"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0" fontId="53" fillId="2" borderId="57" xfId="37" applyFont="1" applyFill="1" applyBorder="1" applyAlignment="1" applyProtection="1">
      <alignment horizontal="center" vertical="center" wrapText="1"/>
      <protection locked="0"/>
    </xf>
    <xf numFmtId="0" fontId="53" fillId="2" borderId="60" xfId="37" applyFont="1" applyFill="1" applyBorder="1" applyAlignment="1" applyProtection="1">
      <alignment horizontal="center" vertical="center" wrapText="1"/>
      <protection locked="0"/>
    </xf>
    <xf numFmtId="9" fontId="53" fillId="2" borderId="57" xfId="37" applyNumberFormat="1" applyFont="1" applyFill="1" applyBorder="1" applyAlignment="1" applyProtection="1">
      <alignment horizontal="center" vertical="center" wrapText="1"/>
      <protection locked="0"/>
    </xf>
    <xf numFmtId="9" fontId="53" fillId="2" borderId="60" xfId="37" applyNumberFormat="1" applyFont="1" applyFill="1" applyBorder="1" applyAlignment="1" applyProtection="1">
      <alignment horizontal="center" vertical="center" wrapText="1"/>
      <protection locked="0"/>
    </xf>
    <xf numFmtId="0" fontId="53" fillId="2" borderId="67" xfId="37" applyFont="1" applyFill="1" applyBorder="1" applyAlignment="1" applyProtection="1">
      <alignment horizontal="center" vertical="center" wrapText="1"/>
      <protection locked="0"/>
    </xf>
    <xf numFmtId="0" fontId="53" fillId="2" borderId="87" xfId="37" applyFont="1" applyFill="1" applyBorder="1" applyAlignment="1" applyProtection="1">
      <alignment horizontal="center" vertical="center" wrapText="1"/>
      <protection locked="0"/>
    </xf>
    <xf numFmtId="0" fontId="53" fillId="2" borderId="68" xfId="37"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0" fontId="53" fillId="2" borderId="57" xfId="37" applyFont="1" applyFill="1" applyBorder="1" applyAlignment="1" applyProtection="1">
      <alignment horizontal="center" vertical="center" wrapText="1"/>
      <protection locked="0"/>
    </xf>
    <xf numFmtId="0" fontId="53" fillId="2" borderId="60" xfId="37" applyFont="1" applyFill="1" applyBorder="1" applyAlignment="1" applyProtection="1">
      <alignment horizontal="center" vertical="center" wrapText="1"/>
      <protection locked="0"/>
    </xf>
    <xf numFmtId="0" fontId="53" fillId="2" borderId="69" xfId="37" applyFont="1" applyFill="1" applyBorder="1" applyAlignment="1" applyProtection="1">
      <alignment horizontal="center" vertical="center" wrapText="1"/>
      <protection locked="0"/>
    </xf>
    <xf numFmtId="9" fontId="53" fillId="2" borderId="68" xfId="37" applyNumberFormat="1" applyFont="1" applyFill="1" applyBorder="1" applyAlignment="1" applyProtection="1">
      <alignment horizontal="center" vertical="center" wrapText="1"/>
      <protection locked="0"/>
    </xf>
    <xf numFmtId="9" fontId="53" fillId="2" borderId="85" xfId="37" applyNumberFormat="1" applyFont="1" applyFill="1" applyBorder="1" applyAlignment="1" applyProtection="1">
      <alignment horizontal="center" vertical="center" wrapText="1"/>
      <protection locked="0"/>
    </xf>
    <xf numFmtId="9" fontId="53" fillId="2" borderId="86" xfId="37" applyNumberFormat="1" applyFont="1" applyFill="1" applyBorder="1" applyAlignment="1" applyProtection="1">
      <alignment horizontal="center" vertical="center" wrapText="1"/>
      <protection locked="0"/>
    </xf>
    <xf numFmtId="9" fontId="53" fillId="2" borderId="69" xfId="37" applyNumberFormat="1" applyFont="1" applyFill="1" applyBorder="1" applyAlignment="1" applyProtection="1">
      <alignment horizontal="center" vertical="center" wrapText="1"/>
      <protection locked="0"/>
    </xf>
    <xf numFmtId="9" fontId="53" fillId="14" borderId="57" xfId="21" applyNumberFormat="1" applyFont="1" applyFill="1" applyBorder="1" applyAlignment="1" applyProtection="1">
      <alignment horizontal="center" vertical="center" wrapText="1"/>
      <protection locked="0"/>
    </xf>
    <xf numFmtId="9" fontId="53" fillId="14" borderId="60" xfId="21" applyNumberFormat="1" applyFont="1" applyFill="1" applyBorder="1" applyAlignment="1" applyProtection="1">
      <alignment horizontal="center" vertical="center" wrapText="1"/>
      <protection locked="0"/>
    </xf>
    <xf numFmtId="9" fontId="53" fillId="14" borderId="61" xfId="21" applyNumberFormat="1" applyFont="1" applyFill="1" applyBorder="1" applyAlignment="1" applyProtection="1">
      <alignment horizontal="center" vertical="center" wrapText="1"/>
      <protection locked="0"/>
    </xf>
    <xf numFmtId="9" fontId="53" fillId="14" borderId="59" xfId="21" applyNumberFormat="1" applyFont="1" applyFill="1" applyBorder="1" applyAlignment="1" applyProtection="1">
      <alignment horizontal="center" vertical="center" wrapText="1"/>
      <protection locked="0"/>
    </xf>
    <xf numFmtId="3" fontId="53" fillId="14" borderId="61" xfId="21" applyNumberFormat="1" applyFont="1" applyFill="1" applyBorder="1" applyAlignment="1" applyProtection="1">
      <alignment horizontal="center" vertical="center" wrapText="1"/>
      <protection locked="0"/>
    </xf>
    <xf numFmtId="3" fontId="53" fillId="14" borderId="57" xfId="21" applyNumberFormat="1" applyFont="1" applyFill="1" applyBorder="1" applyAlignment="1" applyProtection="1">
      <alignment horizontal="center" vertical="center" wrapText="1"/>
      <protection locked="0"/>
    </xf>
    <xf numFmtId="0" fontId="53" fillId="14" borderId="57" xfId="21" applyFont="1" applyFill="1" applyBorder="1" applyAlignment="1" applyProtection="1">
      <alignment horizontal="center" vertical="center" wrapText="1"/>
      <protection locked="0"/>
    </xf>
    <xf numFmtId="0" fontId="53" fillId="14" borderId="59" xfId="21" applyFont="1" applyFill="1" applyBorder="1" applyAlignment="1" applyProtection="1">
      <alignment horizontal="center" vertical="center" wrapText="1"/>
      <protection locked="0"/>
    </xf>
    <xf numFmtId="0" fontId="53" fillId="14" borderId="58" xfId="21" applyFont="1" applyFill="1" applyBorder="1" applyAlignment="1" applyProtection="1">
      <alignment horizontal="left" vertical="center" wrapText="1"/>
      <protection locked="0"/>
    </xf>
    <xf numFmtId="0" fontId="74" fillId="5" borderId="125" xfId="0" applyFont="1" applyFill="1" applyBorder="1" applyAlignment="1" applyProtection="1">
      <alignment horizontal="left" vertical="center" wrapText="1"/>
      <protection locked="0"/>
    </xf>
    <xf numFmtId="0" fontId="74" fillId="5" borderId="123" xfId="0" applyFont="1" applyFill="1" applyBorder="1" applyAlignment="1" applyProtection="1">
      <alignment horizontal="left" vertical="center" wrapText="1"/>
      <protection locked="0"/>
    </xf>
    <xf numFmtId="0" fontId="74" fillId="5" borderId="123" xfId="0" applyFont="1" applyFill="1" applyBorder="1" applyAlignment="1" applyProtection="1">
      <alignment horizontal="center" vertical="center" wrapText="1"/>
      <protection locked="0"/>
    </xf>
    <xf numFmtId="0" fontId="48" fillId="0" borderId="123" xfId="0" applyFont="1" applyFill="1" applyBorder="1" applyAlignment="1">
      <alignment horizontal="center" vertical="center"/>
    </xf>
    <xf numFmtId="0" fontId="48" fillId="5" borderId="124" xfId="0" applyFont="1" applyFill="1" applyBorder="1" applyAlignment="1">
      <alignment horizontal="center" vertical="center"/>
    </xf>
    <xf numFmtId="0" fontId="74" fillId="5" borderId="126" xfId="0" applyFont="1" applyFill="1" applyBorder="1" applyAlignment="1" applyProtection="1">
      <alignment horizontal="left" vertical="center" wrapText="1"/>
      <protection locked="0"/>
    </xf>
    <xf numFmtId="0" fontId="74" fillId="5" borderId="84" xfId="0" applyFont="1" applyFill="1" applyBorder="1" applyAlignment="1" applyProtection="1">
      <alignment horizontal="left" vertical="center" wrapText="1"/>
      <protection locked="0"/>
    </xf>
    <xf numFmtId="0" fontId="74" fillId="5" borderId="84" xfId="0" applyFont="1" applyFill="1" applyBorder="1" applyAlignment="1" applyProtection="1">
      <alignment horizontal="center" vertical="center" wrapText="1"/>
      <protection locked="0"/>
    </xf>
    <xf numFmtId="0" fontId="48" fillId="0" borderId="84" xfId="0" applyFont="1" applyFill="1" applyBorder="1" applyAlignment="1">
      <alignment horizontal="center" vertical="center"/>
    </xf>
    <xf numFmtId="0" fontId="48" fillId="5" borderId="122" xfId="0" applyFont="1" applyFill="1" applyBorder="1" applyAlignment="1">
      <alignment horizontal="center" vertical="center"/>
    </xf>
    <xf numFmtId="0" fontId="48" fillId="5" borderId="84" xfId="0" applyFont="1" applyFill="1" applyBorder="1" applyAlignment="1">
      <alignment horizontal="left" vertical="center"/>
    </xf>
    <xf numFmtId="0" fontId="74" fillId="0" borderId="84" xfId="0" applyFont="1" applyFill="1" applyBorder="1" applyAlignment="1" applyProtection="1">
      <alignment horizontal="center" vertical="center" wrapText="1"/>
      <protection locked="0"/>
    </xf>
    <xf numFmtId="0" fontId="74" fillId="5" borderId="122" xfId="0" applyFont="1" applyFill="1" applyBorder="1" applyAlignment="1" applyProtection="1">
      <alignment horizontal="center" vertical="center" wrapText="1"/>
      <protection locked="0"/>
    </xf>
    <xf numFmtId="0" fontId="74" fillId="0" borderId="84" xfId="0" applyFont="1" applyFill="1" applyBorder="1" applyAlignment="1">
      <alignment horizontal="center" vertical="center"/>
    </xf>
    <xf numFmtId="0" fontId="74" fillId="5" borderId="84" xfId="0" applyFont="1" applyFill="1" applyBorder="1" applyAlignment="1" applyProtection="1">
      <alignment horizontal="left" vertical="top" wrapText="1"/>
      <protection locked="0"/>
    </xf>
    <xf numFmtId="0" fontId="48" fillId="5" borderId="125" xfId="0" applyFont="1" applyFill="1" applyBorder="1" applyAlignment="1">
      <alignment horizontal="center" vertical="center"/>
    </xf>
    <xf numFmtId="169" fontId="48" fillId="5" borderId="123" xfId="0" applyNumberFormat="1" applyFont="1" applyFill="1" applyBorder="1" applyAlignment="1">
      <alignment horizontal="center" vertical="center"/>
    </xf>
    <xf numFmtId="0" fontId="48" fillId="5" borderId="126" xfId="0" applyFont="1" applyFill="1" applyBorder="1" applyAlignment="1">
      <alignment horizontal="center" vertical="center"/>
    </xf>
    <xf numFmtId="169" fontId="48" fillId="5" borderId="84" xfId="0" applyNumberFormat="1" applyFont="1" applyFill="1" applyBorder="1" applyAlignment="1">
      <alignment horizontal="center" vertical="center"/>
    </xf>
    <xf numFmtId="0" fontId="74" fillId="5" borderId="126" xfId="0" applyFont="1" applyFill="1" applyBorder="1" applyAlignment="1" applyProtection="1">
      <alignment horizontal="center" vertical="center" wrapText="1"/>
      <protection locked="0"/>
    </xf>
    <xf numFmtId="15" fontId="74" fillId="5" borderId="84" xfId="0" applyNumberFormat="1" applyFont="1" applyFill="1" applyBorder="1" applyAlignment="1" applyProtection="1">
      <alignment horizontal="center" vertical="center" wrapText="1"/>
      <protection locked="0"/>
    </xf>
    <xf numFmtId="15" fontId="74" fillId="5" borderId="122" xfId="0" applyNumberFormat="1" applyFont="1" applyFill="1" applyBorder="1" applyAlignment="1" applyProtection="1">
      <alignment horizontal="center" vertical="center" wrapText="1"/>
      <protection locked="0"/>
    </xf>
    <xf numFmtId="0" fontId="48" fillId="0" borderId="125" xfId="0" applyFont="1" applyBorder="1" applyAlignment="1">
      <alignment horizontal="center" vertical="center"/>
    </xf>
    <xf numFmtId="0" fontId="48" fillId="0" borderId="124" xfId="0" applyFont="1" applyFill="1" applyBorder="1" applyAlignment="1">
      <alignment horizontal="center" vertical="center"/>
    </xf>
    <xf numFmtId="0" fontId="48" fillId="0" borderId="126" xfId="0" applyFont="1" applyBorder="1" applyAlignment="1">
      <alignment horizontal="center" vertical="center"/>
    </xf>
    <xf numFmtId="0" fontId="48" fillId="0" borderId="122" xfId="0" applyFont="1" applyFill="1" applyBorder="1" applyAlignment="1">
      <alignment horizontal="center" vertical="center"/>
    </xf>
    <xf numFmtId="0" fontId="74" fillId="0" borderId="126"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48" fillId="0" borderId="123" xfId="0" applyFont="1" applyBorder="1" applyAlignment="1">
      <alignment horizontal="center" vertical="center"/>
    </xf>
    <xf numFmtId="0" fontId="48" fillId="0" borderId="124" xfId="0" applyFont="1" applyBorder="1" applyAlignment="1">
      <alignment horizontal="center" vertical="center"/>
    </xf>
    <xf numFmtId="0" fontId="48" fillId="0" borderId="84" xfId="0" applyFont="1" applyBorder="1" applyAlignment="1">
      <alignment horizontal="center" vertical="center"/>
    </xf>
    <xf numFmtId="0" fontId="48" fillId="0" borderId="122" xfId="0" applyFont="1" applyBorder="1" applyAlignment="1">
      <alignment horizontal="center" vertical="center"/>
    </xf>
    <xf numFmtId="0" fontId="48" fillId="0" borderId="126" xfId="0" applyFont="1" applyFill="1" applyBorder="1" applyAlignment="1">
      <alignment horizontal="center" vertical="center"/>
    </xf>
    <xf numFmtId="9" fontId="48" fillId="0" borderId="124" xfId="0" applyNumberFormat="1" applyFont="1" applyBorder="1" applyAlignment="1">
      <alignment horizontal="center" vertical="center"/>
    </xf>
    <xf numFmtId="9" fontId="48" fillId="0" borderId="122" xfId="0" applyNumberFormat="1" applyFont="1" applyBorder="1" applyAlignment="1">
      <alignment horizontal="center" vertical="center"/>
    </xf>
    <xf numFmtId="9" fontId="74" fillId="0" borderId="126" xfId="3" applyFont="1" applyFill="1" applyBorder="1" applyAlignment="1" applyProtection="1">
      <alignment horizontal="center" vertical="center" wrapText="1"/>
      <protection locked="0"/>
    </xf>
    <xf numFmtId="9" fontId="74" fillId="0" borderId="122" xfId="0" applyNumberFormat="1" applyFont="1" applyFill="1" applyBorder="1" applyAlignment="1" applyProtection="1">
      <alignment horizontal="center" vertical="center" wrapText="1"/>
      <protection locked="0"/>
    </xf>
    <xf numFmtId="9" fontId="48" fillId="0" borderId="126" xfId="0" applyNumberFormat="1" applyFont="1" applyFill="1" applyBorder="1" applyAlignment="1">
      <alignment horizontal="center" vertical="center"/>
    </xf>
    <xf numFmtId="9" fontId="48" fillId="0" borderId="122" xfId="0" applyNumberFormat="1" applyFont="1" applyFill="1" applyBorder="1" applyAlignment="1">
      <alignment horizontal="center" vertical="center"/>
    </xf>
    <xf numFmtId="9" fontId="48" fillId="0" borderId="123" xfId="0" applyNumberFormat="1" applyFont="1" applyBorder="1" applyAlignment="1">
      <alignment horizontal="center" vertical="center"/>
    </xf>
    <xf numFmtId="0" fontId="26" fillId="13" borderId="123" xfId="0" applyNumberFormat="1" applyFont="1" applyFill="1" applyBorder="1" applyAlignment="1" applyProtection="1">
      <alignment horizontal="center" vertical="center" wrapText="1"/>
    </xf>
    <xf numFmtId="9" fontId="48" fillId="0" borderId="84" xfId="0" applyNumberFormat="1" applyFont="1" applyBorder="1" applyAlignment="1">
      <alignment horizontal="center" vertical="center"/>
    </xf>
    <xf numFmtId="0" fontId="26" fillId="13" borderId="84" xfId="0" applyNumberFormat="1" applyFont="1" applyFill="1" applyBorder="1" applyAlignment="1" applyProtection="1">
      <alignment horizontal="center" vertical="center" wrapText="1"/>
    </xf>
    <xf numFmtId="0" fontId="48" fillId="0" borderId="122" xfId="0" applyFont="1" applyBorder="1" applyAlignment="1">
      <alignment horizontal="center" vertical="center" wrapText="1"/>
    </xf>
    <xf numFmtId="9" fontId="74" fillId="0" borderId="84" xfId="0" applyNumberFormat="1" applyFont="1" applyFill="1" applyBorder="1" applyAlignment="1" applyProtection="1">
      <alignment horizontal="center" vertical="center" wrapText="1"/>
      <protection locked="0"/>
    </xf>
    <xf numFmtId="0" fontId="48" fillId="0" borderId="122" xfId="0" applyFont="1" applyBorder="1" applyAlignment="1">
      <alignment horizontal="left" vertical="center" wrapText="1"/>
    </xf>
    <xf numFmtId="9" fontId="48" fillId="0" borderId="84" xfId="0" applyNumberFormat="1" applyFont="1" applyFill="1" applyBorder="1" applyAlignment="1">
      <alignment horizontal="center" vertical="center"/>
    </xf>
    <xf numFmtId="0" fontId="19" fillId="2" borderId="122" xfId="0" applyFont="1" applyFill="1" applyBorder="1" applyAlignment="1" applyProtection="1">
      <alignment horizontal="center"/>
      <protection locked="0"/>
    </xf>
    <xf numFmtId="9" fontId="48" fillId="0" borderId="123" xfId="0" applyNumberFormat="1" applyFont="1" applyFill="1" applyBorder="1" applyAlignment="1">
      <alignment horizontal="center" vertical="center"/>
    </xf>
    <xf numFmtId="1" fontId="74" fillId="0" borderId="84" xfId="0" applyNumberFormat="1" applyFont="1" applyFill="1" applyBorder="1" applyAlignment="1" applyProtection="1">
      <alignment horizontal="center" vertical="center" wrapText="1"/>
      <protection locked="0"/>
    </xf>
    <xf numFmtId="9" fontId="74" fillId="0" borderId="84" xfId="3" applyFont="1" applyFill="1" applyBorder="1" applyAlignment="1" applyProtection="1">
      <alignment horizontal="center" vertical="center" wrapText="1"/>
      <protection locked="0"/>
    </xf>
    <xf numFmtId="9" fontId="74" fillId="2" borderId="122" xfId="3" applyFont="1" applyFill="1" applyBorder="1" applyAlignment="1" applyProtection="1">
      <alignment horizontal="center" vertical="center" wrapText="1"/>
    </xf>
    <xf numFmtId="1" fontId="74" fillId="2" borderId="84" xfId="0" applyNumberFormat="1" applyFont="1" applyFill="1" applyBorder="1" applyAlignment="1" applyProtection="1">
      <alignment horizontal="center" vertical="center" wrapText="1"/>
    </xf>
    <xf numFmtId="1" fontId="74" fillId="0" borderId="84" xfId="0" applyNumberFormat="1" applyFont="1" applyFill="1" applyBorder="1" applyAlignment="1" applyProtection="1">
      <alignment horizontal="center" vertical="center" wrapText="1"/>
    </xf>
    <xf numFmtId="9" fontId="74" fillId="2" borderId="84" xfId="3" applyFont="1" applyFill="1" applyBorder="1" applyAlignment="1" applyProtection="1">
      <alignment horizontal="center" vertical="center" wrapText="1"/>
    </xf>
    <xf numFmtId="0" fontId="48" fillId="0" borderId="129" xfId="0" applyFont="1" applyBorder="1" applyAlignment="1">
      <alignment horizontal="center" vertical="center" wrapText="1"/>
    </xf>
    <xf numFmtId="0" fontId="48" fillId="0" borderId="130" xfId="0" applyFont="1" applyBorder="1" applyAlignment="1">
      <alignment horizontal="center" vertical="center" wrapText="1"/>
    </xf>
    <xf numFmtId="9" fontId="74" fillId="0" borderId="130" xfId="0" applyNumberFormat="1" applyFont="1" applyFill="1" applyBorder="1" applyAlignment="1" applyProtection="1">
      <alignment horizontal="center" vertical="center" wrapText="1"/>
      <protection locked="0"/>
    </xf>
    <xf numFmtId="169" fontId="48" fillId="0" borderId="126" xfId="0" applyNumberFormat="1" applyFont="1" applyFill="1" applyBorder="1" applyAlignment="1">
      <alignment horizontal="center" vertical="center"/>
    </xf>
    <xf numFmtId="169" fontId="74" fillId="0" borderId="126" xfId="0" applyNumberFormat="1" applyFont="1" applyFill="1" applyBorder="1" applyAlignment="1" applyProtection="1">
      <alignment horizontal="center" vertical="center" wrapText="1"/>
      <protection locked="0"/>
    </xf>
    <xf numFmtId="0" fontId="75" fillId="2" borderId="126" xfId="0" applyFont="1" applyFill="1" applyBorder="1" applyAlignment="1" applyProtection="1">
      <alignment horizontal="center"/>
      <protection locked="0"/>
    </xf>
    <xf numFmtId="1" fontId="74" fillId="0" borderId="126" xfId="0" applyNumberFormat="1" applyFont="1" applyFill="1" applyBorder="1" applyAlignment="1" applyProtection="1">
      <alignment horizontal="center" vertical="center" wrapText="1"/>
      <protection locked="0"/>
    </xf>
    <xf numFmtId="0" fontId="48" fillId="0" borderId="126" xfId="0" applyFont="1" applyFill="1" applyBorder="1" applyAlignment="1">
      <alignment horizontal="center" vertical="center" wrapText="1"/>
    </xf>
    <xf numFmtId="0" fontId="48" fillId="0" borderId="126" xfId="0" applyFont="1" applyBorder="1" applyAlignment="1">
      <alignment horizontal="center" vertical="center" wrapText="1"/>
    </xf>
    <xf numFmtId="0" fontId="48" fillId="0" borderId="131" xfId="0" applyFont="1" applyBorder="1" applyAlignment="1">
      <alignment horizontal="center" vertical="center" wrapText="1"/>
    </xf>
    <xf numFmtId="0" fontId="48" fillId="0" borderId="132" xfId="0" applyFont="1" applyBorder="1" applyAlignment="1">
      <alignment horizontal="center" vertical="center" wrapText="1"/>
    </xf>
    <xf numFmtId="0" fontId="76" fillId="2" borderId="132" xfId="0" applyFont="1" applyFill="1" applyBorder="1" applyAlignment="1" applyProtection="1">
      <alignment horizontal="left"/>
      <protection locked="0"/>
    </xf>
    <xf numFmtId="0" fontId="74" fillId="0" borderId="132" xfId="0" applyFont="1" applyFill="1" applyBorder="1" applyAlignment="1" applyProtection="1">
      <alignment horizontal="center" vertical="center" wrapText="1"/>
      <protection locked="0"/>
    </xf>
    <xf numFmtId="0" fontId="74" fillId="0" borderId="132" xfId="0" applyFont="1" applyFill="1" applyBorder="1" applyAlignment="1" applyProtection="1">
      <alignment horizontal="left" wrapText="1"/>
      <protection locked="0"/>
    </xf>
    <xf numFmtId="1" fontId="74" fillId="0" borderId="122" xfId="0" applyNumberFormat="1" applyFont="1" applyFill="1" applyBorder="1" applyAlignment="1" applyProtection="1">
      <alignment horizontal="center" vertical="center" wrapText="1"/>
      <protection locked="0"/>
    </xf>
    <xf numFmtId="0" fontId="53" fillId="14" borderId="60" xfId="21" applyFont="1" applyFill="1" applyBorder="1" applyAlignment="1" applyProtection="1">
      <alignment horizontal="center" vertical="center" wrapText="1"/>
      <protection locked="0"/>
    </xf>
    <xf numFmtId="0" fontId="53" fillId="0" borderId="58" xfId="21" applyFont="1" applyFill="1" applyBorder="1" applyAlignment="1" applyProtection="1">
      <alignment horizontal="left" vertical="center" wrapText="1"/>
      <protection locked="0"/>
    </xf>
    <xf numFmtId="14" fontId="53" fillId="0" borderId="56" xfId="21" applyNumberFormat="1" applyFont="1" applyFill="1" applyBorder="1" applyAlignment="1">
      <alignment horizontal="center" vertical="center" wrapText="1"/>
    </xf>
    <xf numFmtId="14" fontId="53" fillId="0" borderId="57" xfId="21" applyNumberFormat="1" applyFont="1" applyFill="1" applyBorder="1" applyAlignment="1">
      <alignment horizontal="center" vertical="center" wrapText="1"/>
    </xf>
    <xf numFmtId="0" fontId="53" fillId="0" borderId="59" xfId="21" applyFont="1" applyFill="1" applyBorder="1" applyAlignment="1" applyProtection="1">
      <alignment horizontal="center" vertical="center" wrapText="1"/>
      <protection locked="0"/>
    </xf>
    <xf numFmtId="0" fontId="53" fillId="0" borderId="58" xfId="21" applyFont="1" applyFill="1" applyBorder="1" applyAlignment="1" applyProtection="1">
      <alignment horizontal="center" vertical="center" wrapText="1"/>
      <protection locked="0"/>
    </xf>
    <xf numFmtId="3" fontId="53" fillId="6" borderId="76" xfId="21" applyNumberFormat="1" applyFont="1" applyFill="1" applyBorder="1" applyAlignment="1" applyProtection="1">
      <alignment horizontal="center" vertical="center" wrapText="1"/>
      <protection locked="0"/>
    </xf>
    <xf numFmtId="3" fontId="53" fillId="6" borderId="75" xfId="21" applyNumberFormat="1" applyFont="1" applyFill="1" applyBorder="1" applyAlignment="1" applyProtection="1">
      <alignment horizontal="center" vertical="center" wrapText="1"/>
      <protection locked="0"/>
    </xf>
    <xf numFmtId="14" fontId="53" fillId="14" borderId="90" xfId="21" applyNumberFormat="1" applyFont="1" applyFill="1" applyBorder="1" applyAlignment="1" applyProtection="1">
      <alignment horizontal="center" vertical="center" wrapText="1"/>
      <protection locked="0"/>
    </xf>
    <xf numFmtId="14" fontId="53" fillId="14" borderId="91" xfId="21" applyNumberFormat="1" applyFont="1" applyFill="1" applyBorder="1" applyAlignment="1" applyProtection="1">
      <alignment horizontal="center" vertical="center" wrapText="1"/>
      <protection locked="0"/>
    </xf>
    <xf numFmtId="0" fontId="53" fillId="14" borderId="93" xfId="21" applyFont="1" applyFill="1" applyBorder="1" applyAlignment="1" applyProtection="1">
      <alignment horizontal="center" vertical="center" wrapText="1"/>
      <protection locked="0"/>
    </xf>
    <xf numFmtId="0" fontId="53" fillId="14" borderId="92" xfId="21" applyFont="1" applyFill="1" applyBorder="1" applyAlignment="1" applyProtection="1">
      <alignment horizontal="center" vertical="center" wrapText="1"/>
      <protection locked="0"/>
    </xf>
    <xf numFmtId="0" fontId="53" fillId="14" borderId="90" xfId="21" applyFont="1" applyFill="1" applyBorder="1" applyAlignment="1" applyProtection="1">
      <alignment horizontal="center" vertical="center" wrapText="1"/>
      <protection locked="0"/>
    </xf>
    <xf numFmtId="9" fontId="53" fillId="14" borderId="91" xfId="21" applyNumberFormat="1" applyFont="1" applyFill="1" applyBorder="1" applyAlignment="1" applyProtection="1">
      <alignment horizontal="center" vertical="center" wrapText="1"/>
      <protection locked="0"/>
    </xf>
    <xf numFmtId="9" fontId="53" fillId="14" borderId="94" xfId="21" applyNumberFormat="1" applyFont="1" applyFill="1" applyBorder="1" applyAlignment="1" applyProtection="1">
      <alignment horizontal="center" vertical="center" wrapText="1"/>
      <protection locked="0"/>
    </xf>
    <xf numFmtId="9" fontId="53" fillId="14" borderId="95" xfId="21" applyNumberFormat="1" applyFont="1" applyFill="1" applyBorder="1" applyAlignment="1" applyProtection="1">
      <alignment horizontal="center" vertical="center" wrapText="1"/>
      <protection locked="0"/>
    </xf>
    <xf numFmtId="9" fontId="53" fillId="14" borderId="93" xfId="21" applyNumberFormat="1" applyFont="1" applyFill="1" applyBorder="1" applyAlignment="1" applyProtection="1">
      <alignment horizontal="center" vertical="center" wrapText="1"/>
      <protection locked="0"/>
    </xf>
    <xf numFmtId="0" fontId="53" fillId="14" borderId="96" xfId="21" applyFont="1" applyFill="1" applyBorder="1" applyAlignment="1" applyProtection="1">
      <alignment horizontal="center" vertical="center" wrapText="1"/>
      <protection locked="0"/>
    </xf>
    <xf numFmtId="0" fontId="53" fillId="14" borderId="91" xfId="21" applyFont="1" applyFill="1" applyBorder="1" applyAlignment="1" applyProtection="1">
      <alignment horizontal="center" vertical="center" wrapText="1"/>
      <protection locked="0"/>
    </xf>
    <xf numFmtId="3" fontId="53" fillId="14" borderId="53" xfId="21" applyNumberFormat="1" applyFont="1" applyFill="1" applyBorder="1" applyAlignment="1" applyProtection="1">
      <alignment horizontal="center" vertical="center" wrapText="1"/>
      <protection locked="0"/>
    </xf>
    <xf numFmtId="3" fontId="53" fillId="14" borderId="49" xfId="21" applyNumberFormat="1" applyFont="1" applyFill="1" applyBorder="1" applyAlignment="1" applyProtection="1">
      <alignment horizontal="center" vertical="center" wrapText="1"/>
      <protection locked="0"/>
    </xf>
    <xf numFmtId="3" fontId="53" fillId="14" borderId="52" xfId="21" applyNumberFormat="1" applyFont="1" applyFill="1" applyBorder="1" applyAlignment="1" applyProtection="1">
      <alignment horizontal="center" vertical="center" wrapText="1"/>
      <protection locked="0"/>
    </xf>
    <xf numFmtId="3" fontId="53" fillId="14" borderId="54" xfId="21" applyNumberFormat="1" applyFont="1" applyFill="1" applyBorder="1" applyAlignment="1" applyProtection="1">
      <alignment horizontal="center" vertical="center" wrapText="1"/>
      <protection locked="0"/>
    </xf>
    <xf numFmtId="3" fontId="53" fillId="14" borderId="51" xfId="21" applyNumberFormat="1" applyFont="1" applyFill="1" applyBorder="1" applyAlignment="1" applyProtection="1">
      <alignment horizontal="center" vertical="center" wrapText="1"/>
      <protection locked="0"/>
    </xf>
    <xf numFmtId="3" fontId="53" fillId="14" borderId="86" xfId="21" applyNumberFormat="1" applyFont="1" applyFill="1" applyBorder="1" applyAlignment="1" applyProtection="1">
      <alignment horizontal="center" vertical="center" wrapText="1"/>
      <protection locked="0"/>
    </xf>
    <xf numFmtId="3" fontId="53" fillId="14" borderId="68" xfId="21" applyNumberFormat="1" applyFont="1" applyFill="1" applyBorder="1" applyAlignment="1" applyProtection="1">
      <alignment horizontal="center" vertical="center" wrapText="1"/>
      <protection locked="0"/>
    </xf>
    <xf numFmtId="3" fontId="53" fillId="14" borderId="85" xfId="21" applyNumberFormat="1" applyFont="1" applyFill="1" applyBorder="1" applyAlignment="1" applyProtection="1">
      <alignment horizontal="center" vertical="center" wrapText="1"/>
      <protection locked="0"/>
    </xf>
    <xf numFmtId="3" fontId="53" fillId="14" borderId="62" xfId="21" applyNumberFormat="1" applyFont="1" applyFill="1" applyBorder="1" applyAlignment="1" applyProtection="1">
      <alignment horizontal="center" vertical="center" wrapText="1"/>
      <protection locked="0"/>
    </xf>
    <xf numFmtId="3" fontId="53" fillId="14" borderId="59" xfId="21" applyNumberFormat="1" applyFont="1" applyFill="1" applyBorder="1" applyAlignment="1" applyProtection="1">
      <alignment horizontal="center" vertical="center" wrapText="1"/>
      <protection locked="0"/>
    </xf>
    <xf numFmtId="0" fontId="53" fillId="14" borderId="62" xfId="21" applyFont="1" applyFill="1" applyBorder="1" applyAlignment="1" applyProtection="1">
      <alignment horizontal="center" vertical="center" wrapText="1"/>
      <protection locked="0"/>
    </xf>
    <xf numFmtId="0" fontId="53" fillId="14" borderId="56" xfId="21" applyFont="1" applyFill="1" applyBorder="1" applyAlignment="1" applyProtection="1">
      <alignment horizontal="center" vertical="center" wrapText="1"/>
      <protection locked="0"/>
    </xf>
    <xf numFmtId="0" fontId="53" fillId="14" borderId="44" xfId="21" applyFont="1" applyFill="1" applyBorder="1" applyAlignment="1" applyProtection="1">
      <alignment horizontal="center" vertical="center" wrapText="1"/>
      <protection locked="0"/>
    </xf>
    <xf numFmtId="0" fontId="53" fillId="14" borderId="45" xfId="21" applyFont="1" applyFill="1" applyBorder="1" applyAlignment="1" applyProtection="1">
      <alignment horizontal="center" vertical="center" wrapText="1"/>
      <protection locked="0"/>
    </xf>
    <xf numFmtId="0" fontId="53" fillId="14" borderId="46" xfId="21" applyFont="1" applyFill="1" applyBorder="1" applyAlignment="1" applyProtection="1">
      <alignment horizontal="center" vertical="center" wrapText="1"/>
      <protection locked="0"/>
    </xf>
    <xf numFmtId="0" fontId="53" fillId="14" borderId="81" xfId="21" applyFont="1" applyFill="1" applyBorder="1" applyAlignment="1" applyProtection="1">
      <alignment horizontal="center" vertical="center" wrapText="1"/>
      <protection locked="0"/>
    </xf>
    <xf numFmtId="0" fontId="53" fillId="14" borderId="76" xfId="21" applyFont="1" applyFill="1" applyBorder="1" applyAlignment="1" applyProtection="1">
      <alignment horizontal="center" vertical="center" wrapText="1"/>
      <protection locked="0"/>
    </xf>
    <xf numFmtId="0" fontId="53" fillId="14" borderId="78" xfId="21" applyFont="1" applyFill="1" applyBorder="1" applyAlignment="1" applyProtection="1">
      <alignment horizontal="center" vertical="center" wrapText="1"/>
      <protection locked="0"/>
    </xf>
    <xf numFmtId="0" fontId="53" fillId="14" borderId="92" xfId="21" applyFont="1" applyFill="1" applyBorder="1" applyAlignment="1" applyProtection="1">
      <alignment horizontal="left" vertical="center" wrapText="1"/>
      <protection locked="0"/>
    </xf>
    <xf numFmtId="0" fontId="53" fillId="14" borderId="72" xfId="21" applyFont="1" applyFill="1" applyBorder="1" applyAlignment="1" applyProtection="1">
      <alignment horizontal="left" vertical="center" wrapText="1"/>
      <protection locked="0"/>
    </xf>
    <xf numFmtId="0" fontId="53" fillId="14" borderId="77" xfId="21" applyFont="1" applyFill="1" applyBorder="1" applyAlignment="1" applyProtection="1">
      <alignment horizontal="left"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3" fontId="53" fillId="6" borderId="56"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7" xfId="46" applyFont="1" applyFill="1" applyBorder="1" applyAlignment="1" applyProtection="1">
      <alignment horizontal="center"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3" fontId="53" fillId="6" borderId="56"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14" fontId="53" fillId="2" borderId="56" xfId="46" applyNumberFormat="1" applyFont="1" applyFill="1" applyBorder="1" applyAlignment="1" applyProtection="1">
      <alignment horizontal="center" vertical="center" wrapText="1"/>
      <protection locked="0"/>
    </xf>
    <xf numFmtId="14" fontId="53" fillId="2" borderId="57" xfId="46" applyNumberFormat="1" applyFont="1" applyFill="1" applyBorder="1" applyAlignment="1" applyProtection="1">
      <alignment horizontal="center" vertical="center" wrapText="1"/>
      <protection locked="0"/>
    </xf>
    <xf numFmtId="3" fontId="53" fillId="2" borderId="56"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8" xfId="46" applyFont="1" applyFill="1" applyBorder="1" applyAlignment="1" applyProtection="1">
      <alignment horizontal="left" vertical="center" wrapText="1"/>
      <protection locked="0"/>
    </xf>
    <xf numFmtId="0" fontId="53" fillId="2" borderId="57" xfId="46" applyFont="1" applyFill="1" applyBorder="1" applyAlignment="1" applyProtection="1">
      <alignment horizontal="center" vertical="center" wrapText="1"/>
      <protection locked="0"/>
    </xf>
    <xf numFmtId="14" fontId="53" fillId="2" borderId="56" xfId="46" applyNumberFormat="1" applyFont="1" applyFill="1" applyBorder="1" applyAlignment="1" applyProtection="1">
      <alignment horizontal="center" vertical="center" wrapText="1"/>
      <protection locked="0"/>
    </xf>
    <xf numFmtId="0" fontId="53" fillId="2" borderId="59" xfId="46"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9" fontId="53" fillId="2" borderId="59" xfId="46" applyNumberFormat="1" applyFont="1" applyFill="1" applyBorder="1" applyAlignment="1" applyProtection="1">
      <alignment horizontal="center" vertical="center" wrapText="1"/>
      <protection locked="0"/>
    </xf>
    <xf numFmtId="9" fontId="53" fillId="2" borderId="57" xfId="46" applyNumberFormat="1" applyFont="1" applyFill="1" applyBorder="1" applyAlignment="1" applyProtection="1">
      <alignment horizontal="center" vertical="center" wrapText="1"/>
      <protection locked="0"/>
    </xf>
    <xf numFmtId="3" fontId="53" fillId="2" borderId="56"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3" fontId="53" fillId="2" borderId="60" xfId="46" applyNumberFormat="1" applyFont="1" applyFill="1" applyBorder="1" applyAlignment="1" applyProtection="1">
      <alignment horizontal="center" vertical="center" wrapText="1"/>
      <protection locked="0"/>
    </xf>
    <xf numFmtId="1" fontId="53" fillId="2" borderId="62" xfId="46" applyNumberFormat="1" applyFont="1" applyFill="1" applyBorder="1" applyAlignment="1" applyProtection="1">
      <alignment horizontal="center" vertical="center" wrapText="1"/>
      <protection locked="0"/>
    </xf>
    <xf numFmtId="0" fontId="53" fillId="2" borderId="57" xfId="46" applyFont="1" applyFill="1" applyBorder="1" applyAlignment="1" applyProtection="1">
      <alignment horizontal="center" vertical="center" wrapText="1"/>
      <protection locked="0"/>
    </xf>
    <xf numFmtId="0" fontId="53" fillId="2" borderId="93" xfId="21" applyFont="1" applyFill="1" applyBorder="1" applyAlignment="1" applyProtection="1">
      <alignment horizontal="center" vertical="center" wrapText="1"/>
      <protection locked="0"/>
    </xf>
    <xf numFmtId="165" fontId="18" fillId="5" borderId="51" xfId="4" applyFont="1" applyFill="1" applyBorder="1" applyAlignment="1">
      <alignment horizontal="center" vertical="center"/>
    </xf>
    <xf numFmtId="165" fontId="18" fillId="5" borderId="50" xfId="4" applyFont="1" applyFill="1" applyBorder="1" applyAlignment="1">
      <alignment horizontal="center" vertical="center"/>
    </xf>
    <xf numFmtId="165" fontId="0" fillId="2" borderId="56" xfId="4" applyFont="1" applyFill="1" applyBorder="1" applyAlignment="1">
      <alignment vertical="center"/>
    </xf>
    <xf numFmtId="9" fontId="17" fillId="2" borderId="58" xfId="4" applyNumberFormat="1" applyFill="1" applyBorder="1" applyAlignment="1">
      <alignment horizontal="left" vertical="center"/>
    </xf>
    <xf numFmtId="9" fontId="0" fillId="2" borderId="58" xfId="4" applyNumberFormat="1" applyFont="1" applyFill="1" applyBorder="1" applyAlignment="1">
      <alignment horizontal="left" vertical="center"/>
    </xf>
    <xf numFmtId="9" fontId="17" fillId="2" borderId="58" xfId="4" applyNumberFormat="1" applyFill="1" applyBorder="1" applyAlignment="1">
      <alignment horizontal="left" vertical="center" wrapText="1"/>
    </xf>
    <xf numFmtId="9" fontId="17" fillId="5" borderId="77" xfId="4" applyNumberFormat="1" applyFill="1" applyBorder="1" applyAlignment="1">
      <alignment horizontal="left" vertical="center" wrapText="1"/>
    </xf>
    <xf numFmtId="165" fontId="0" fillId="2" borderId="90" xfId="4" applyFont="1" applyFill="1" applyBorder="1" applyAlignment="1">
      <alignment vertical="center"/>
    </xf>
    <xf numFmtId="3" fontId="17" fillId="2" borderId="91" xfId="4" applyNumberFormat="1" applyFill="1" applyBorder="1" applyAlignment="1">
      <alignment horizontal="center" vertical="center"/>
    </xf>
    <xf numFmtId="9" fontId="17" fillId="2" borderId="93" xfId="4" applyNumberFormat="1" applyFill="1" applyBorder="1" applyAlignment="1">
      <alignment horizontal="center" vertical="center"/>
    </xf>
    <xf numFmtId="9" fontId="17" fillId="2" borderId="92" xfId="4" applyNumberFormat="1" applyFill="1" applyBorder="1" applyAlignment="1">
      <alignment horizontal="left" vertical="center"/>
    </xf>
    <xf numFmtId="165" fontId="18" fillId="5" borderId="123" xfId="4" applyFont="1" applyFill="1" applyBorder="1" applyAlignment="1">
      <alignment horizontal="center" vertical="center"/>
    </xf>
    <xf numFmtId="165" fontId="18" fillId="5" borderId="133" xfId="4" applyFont="1" applyFill="1" applyBorder="1" applyAlignment="1">
      <alignment horizontal="center" vertical="center"/>
    </xf>
    <xf numFmtId="165" fontId="18" fillId="5" borderId="124" xfId="4" applyFont="1" applyFill="1" applyBorder="1" applyAlignment="1">
      <alignment horizontal="center" vertical="center"/>
    </xf>
    <xf numFmtId="165" fontId="18" fillId="5" borderId="49" xfId="4" applyFont="1" applyFill="1" applyBorder="1" applyAlignment="1">
      <alignment horizontal="center" vertical="center" wrapText="1"/>
    </xf>
    <xf numFmtId="165" fontId="65" fillId="2" borderId="92" xfId="4" applyFont="1" applyFill="1" applyBorder="1" applyAlignment="1">
      <alignment vertical="center" wrapText="1"/>
    </xf>
    <xf numFmtId="9" fontId="66" fillId="2" borderId="76" xfId="4" applyNumberFormat="1" applyFont="1" applyFill="1" applyBorder="1" applyAlignment="1">
      <alignment horizontal="center" vertical="center"/>
    </xf>
    <xf numFmtId="165" fontId="66" fillId="2" borderId="76" xfId="4" applyFont="1" applyFill="1" applyBorder="1" applyAlignment="1">
      <alignment horizontal="center" vertical="center"/>
    </xf>
    <xf numFmtId="165" fontId="38" fillId="5" borderId="125" xfId="4" applyFont="1" applyFill="1" applyBorder="1" applyAlignment="1">
      <alignment horizontal="center" vertical="center"/>
    </xf>
    <xf numFmtId="3" fontId="18" fillId="5" borderId="123" xfId="4" applyNumberFormat="1" applyFont="1" applyFill="1" applyBorder="1" applyAlignment="1">
      <alignment horizontal="center" vertical="center"/>
    </xf>
    <xf numFmtId="165" fontId="18" fillId="5" borderId="123" xfId="4" applyFont="1" applyFill="1" applyBorder="1" applyAlignment="1">
      <alignment horizontal="center" vertical="center" wrapText="1"/>
    </xf>
    <xf numFmtId="0" fontId="9" fillId="2" borderId="135" xfId="0" applyFont="1" applyFill="1" applyBorder="1" applyAlignment="1">
      <alignment vertical="center" wrapText="1"/>
    </xf>
    <xf numFmtId="9" fontId="17" fillId="2" borderId="84" xfId="4" applyNumberFormat="1" applyFill="1" applyBorder="1" applyAlignment="1">
      <alignment horizontal="center" vertical="center"/>
    </xf>
    <xf numFmtId="165" fontId="17" fillId="2" borderId="84" xfId="4" applyFill="1" applyBorder="1" applyAlignment="1">
      <alignment horizontal="center" vertical="center"/>
    </xf>
    <xf numFmtId="165" fontId="17" fillId="2" borderId="122" xfId="4" applyFill="1" applyBorder="1" applyAlignment="1">
      <alignment vertical="center" wrapText="1"/>
    </xf>
    <xf numFmtId="165" fontId="66" fillId="2" borderId="90" xfId="4" applyFont="1" applyFill="1" applyBorder="1" applyAlignment="1">
      <alignment horizontal="right" vertical="center" wrapText="1"/>
    </xf>
    <xf numFmtId="165" fontId="66" fillId="2" borderId="75" xfId="4" applyFont="1" applyFill="1" applyBorder="1" applyAlignment="1">
      <alignment horizontal="right" vertical="center" wrapText="1"/>
    </xf>
    <xf numFmtId="165" fontId="38" fillId="5" borderId="138" xfId="4" applyFont="1" applyFill="1" applyBorder="1" applyAlignment="1">
      <alignment horizontal="center" vertical="center"/>
    </xf>
    <xf numFmtId="3" fontId="18" fillId="5" borderId="139" xfId="4" applyNumberFormat="1" applyFont="1" applyFill="1" applyBorder="1" applyAlignment="1">
      <alignment horizontal="center" vertical="center"/>
    </xf>
    <xf numFmtId="165" fontId="18" fillId="5" borderId="139" xfId="4" applyFont="1" applyFill="1" applyBorder="1" applyAlignment="1">
      <alignment horizontal="center" vertical="center"/>
    </xf>
    <xf numFmtId="165" fontId="18" fillId="5" borderId="139" xfId="4" applyFont="1" applyFill="1" applyBorder="1" applyAlignment="1">
      <alignment horizontal="center" vertical="center" wrapText="1"/>
    </xf>
    <xf numFmtId="165" fontId="18" fillId="5" borderId="140" xfId="4" applyFont="1" applyFill="1" applyBorder="1" applyAlignment="1">
      <alignment horizontal="center" vertical="center"/>
    </xf>
    <xf numFmtId="3" fontId="17" fillId="2" borderId="84" xfId="4" applyNumberFormat="1" applyFill="1" applyBorder="1" applyAlignment="1">
      <alignment horizontal="center" vertical="center"/>
    </xf>
    <xf numFmtId="3" fontId="66" fillId="2" borderId="91" xfId="4" applyNumberFormat="1" applyFont="1" applyFill="1" applyBorder="1" applyAlignment="1">
      <alignment horizontal="center" vertical="center"/>
    </xf>
    <xf numFmtId="3" fontId="66" fillId="2" borderId="76" xfId="4" applyNumberFormat="1" applyFont="1" applyFill="1" applyBorder="1" applyAlignment="1">
      <alignment horizontal="center" vertical="center"/>
    </xf>
    <xf numFmtId="165" fontId="66" fillId="2" borderId="141" xfId="4" applyFont="1" applyFill="1" applyBorder="1" applyAlignment="1">
      <alignment horizontal="right" vertical="center" wrapText="1"/>
    </xf>
    <xf numFmtId="3" fontId="66" fillId="2" borderId="136" xfId="4" applyNumberFormat="1" applyFont="1" applyFill="1" applyBorder="1" applyAlignment="1">
      <alignment horizontal="center" vertical="center"/>
    </xf>
    <xf numFmtId="9" fontId="66" fillId="2" borderId="136" xfId="4" applyNumberFormat="1" applyFont="1" applyFill="1" applyBorder="1" applyAlignment="1">
      <alignment horizontal="center" vertical="center"/>
    </xf>
    <xf numFmtId="165" fontId="66" fillId="2" borderId="136" xfId="4" applyFont="1" applyFill="1" applyBorder="1" applyAlignment="1">
      <alignment horizontal="center" vertical="center"/>
    </xf>
    <xf numFmtId="165" fontId="65" fillId="2" borderId="137" xfId="4" applyFont="1" applyFill="1" applyBorder="1" applyAlignment="1">
      <alignment vertical="center" wrapText="1"/>
    </xf>
    <xf numFmtId="165" fontId="66" fillId="2" borderId="56" xfId="4" applyFont="1" applyFill="1" applyBorder="1" applyAlignment="1">
      <alignment horizontal="right" vertical="center" wrapText="1"/>
    </xf>
    <xf numFmtId="3" fontId="66" fillId="2" borderId="57" xfId="4" applyNumberFormat="1" applyFont="1" applyFill="1" applyBorder="1" applyAlignment="1">
      <alignment horizontal="center" vertical="center"/>
    </xf>
    <xf numFmtId="9" fontId="66" fillId="2" borderId="57" xfId="4" applyNumberFormat="1" applyFont="1" applyFill="1" applyBorder="1" applyAlignment="1">
      <alignment horizontal="center" vertical="center"/>
    </xf>
    <xf numFmtId="165" fontId="66" fillId="2" borderId="57" xfId="4" applyFont="1" applyFill="1" applyBorder="1" applyAlignment="1">
      <alignment horizontal="center" vertical="center"/>
    </xf>
    <xf numFmtId="165" fontId="65" fillId="2" borderId="58" xfId="4" applyFont="1" applyFill="1" applyBorder="1" applyAlignment="1">
      <alignment vertical="center" wrapText="1"/>
    </xf>
    <xf numFmtId="165" fontId="18" fillId="5" borderId="75" xfId="4" applyFont="1" applyFill="1" applyBorder="1" applyAlignment="1">
      <alignment vertical="center"/>
    </xf>
    <xf numFmtId="3" fontId="18" fillId="5" borderId="76" xfId="4" applyNumberFormat="1" applyFont="1" applyFill="1" applyBorder="1" applyAlignment="1">
      <alignment horizontal="center" vertical="center"/>
    </xf>
    <xf numFmtId="3" fontId="77" fillId="5" borderId="76" xfId="4" applyNumberFormat="1" applyFont="1" applyFill="1" applyBorder="1" applyAlignment="1">
      <alignment horizontal="center" vertical="center"/>
    </xf>
    <xf numFmtId="9" fontId="18" fillId="5" borderId="76" xfId="4" applyNumberFormat="1" applyFont="1" applyFill="1" applyBorder="1" applyAlignment="1">
      <alignment horizontal="center" vertical="center"/>
    </xf>
    <xf numFmtId="3" fontId="0" fillId="2" borderId="57" xfId="4" applyNumberFormat="1" applyFont="1" applyFill="1" applyBorder="1" applyAlignment="1">
      <alignment horizontal="center" vertical="center"/>
    </xf>
    <xf numFmtId="3" fontId="17" fillId="2" borderId="59" xfId="4" applyNumberFormat="1" applyFill="1" applyBorder="1" applyAlignment="1">
      <alignment horizontal="center" vertical="center"/>
    </xf>
    <xf numFmtId="3" fontId="45" fillId="2" borderId="59" xfId="4" applyNumberFormat="1" applyFont="1" applyFill="1" applyBorder="1" applyAlignment="1">
      <alignment horizontal="center" vertical="center"/>
    </xf>
    <xf numFmtId="3" fontId="46" fillId="2" borderId="59" xfId="4" applyNumberFormat="1" applyFont="1" applyFill="1" applyBorder="1" applyAlignment="1">
      <alignment horizontal="center" vertical="center"/>
    </xf>
    <xf numFmtId="9" fontId="0" fillId="2" borderId="59" xfId="4" applyNumberFormat="1" applyFont="1" applyFill="1" applyBorder="1" applyAlignment="1">
      <alignment horizontal="center" vertical="center"/>
    </xf>
    <xf numFmtId="165" fontId="17" fillId="2" borderId="63" xfId="4" applyFill="1" applyBorder="1" applyAlignment="1">
      <alignment vertical="center"/>
    </xf>
    <xf numFmtId="3" fontId="66" fillId="2" borderId="83" xfId="4" applyNumberFormat="1" applyFont="1" applyFill="1" applyBorder="1" applyAlignment="1">
      <alignment horizontal="center" vertical="center"/>
    </xf>
    <xf numFmtId="9" fontId="66" fillId="2" borderId="83" xfId="4" applyNumberFormat="1" applyFont="1" applyFill="1" applyBorder="1" applyAlignment="1">
      <alignment horizontal="center" vertical="center"/>
    </xf>
    <xf numFmtId="165" fontId="66" fillId="2" borderId="83" xfId="4" applyFont="1" applyFill="1" applyBorder="1" applyAlignment="1">
      <alignment horizontal="center" vertical="center"/>
    </xf>
    <xf numFmtId="165" fontId="17" fillId="2" borderId="143" xfId="4" applyFill="1" applyBorder="1" applyAlignment="1">
      <alignment vertical="center"/>
    </xf>
    <xf numFmtId="165" fontId="17" fillId="2" borderId="144" xfId="4" applyFill="1" applyBorder="1" applyAlignment="1">
      <alignment vertical="center"/>
    </xf>
    <xf numFmtId="165" fontId="66" fillId="2" borderId="145" xfId="4" applyFont="1" applyFill="1" applyBorder="1" applyAlignment="1">
      <alignment horizontal="right" vertical="center" wrapText="1"/>
    </xf>
    <xf numFmtId="165" fontId="17" fillId="2" borderId="142" xfId="4" applyFill="1" applyBorder="1" applyAlignment="1">
      <alignment vertical="center"/>
    </xf>
    <xf numFmtId="165" fontId="17" fillId="2" borderId="58" xfId="4" applyFill="1" applyBorder="1" applyAlignment="1">
      <alignment vertical="center"/>
    </xf>
    <xf numFmtId="165" fontId="17" fillId="2" borderId="77" xfId="4" applyFill="1" applyBorder="1" applyAlignment="1">
      <alignment vertical="center"/>
    </xf>
    <xf numFmtId="165" fontId="18" fillId="5" borderId="51" xfId="4" applyFont="1" applyFill="1" applyBorder="1" applyAlignment="1">
      <alignment horizontal="center" vertical="center" wrapText="1"/>
    </xf>
    <xf numFmtId="9" fontId="18" fillId="5" borderId="77" xfId="4" applyNumberFormat="1" applyFont="1" applyFill="1" applyBorder="1" applyAlignment="1">
      <alignment horizontal="left" vertical="center" wrapText="1"/>
    </xf>
    <xf numFmtId="0" fontId="53" fillId="2" borderId="67" xfId="21" applyFont="1" applyFill="1" applyBorder="1" applyAlignment="1" applyProtection="1">
      <alignment horizontal="center" vertical="center" wrapText="1"/>
      <protection locked="0"/>
    </xf>
    <xf numFmtId="0" fontId="53" fillId="2" borderId="86" xfId="21" applyFont="1" applyFill="1" applyBorder="1" applyAlignment="1" applyProtection="1">
      <alignment horizontal="center" vertical="center" wrapText="1"/>
      <protection locked="0"/>
    </xf>
    <xf numFmtId="0" fontId="53" fillId="2" borderId="68" xfId="21" applyFont="1" applyFill="1" applyBorder="1" applyAlignment="1" applyProtection="1">
      <alignment horizontal="center" vertical="center" wrapText="1"/>
      <protection locked="0"/>
    </xf>
    <xf numFmtId="0" fontId="53" fillId="2" borderId="85" xfId="21" applyFont="1" applyFill="1" applyBorder="1" applyAlignment="1" applyProtection="1">
      <alignment horizontal="center" vertical="center" wrapText="1"/>
      <protection locked="0"/>
    </xf>
    <xf numFmtId="0" fontId="53" fillId="2" borderId="87" xfId="21" applyFont="1" applyFill="1" applyBorder="1" applyAlignment="1" applyProtection="1">
      <alignment horizontal="center" vertical="center" wrapText="1"/>
      <protection locked="0"/>
    </xf>
    <xf numFmtId="9" fontId="53" fillId="2" borderId="59" xfId="23" applyNumberFormat="1" applyFont="1" applyFill="1" applyBorder="1" applyAlignment="1" applyProtection="1">
      <alignment horizontal="center" vertical="center" wrapText="1"/>
      <protection locked="0"/>
    </xf>
    <xf numFmtId="0" fontId="0" fillId="0" borderId="0" xfId="0" applyNumberFormat="1"/>
    <xf numFmtId="0" fontId="53" fillId="2" borderId="59" xfId="49" applyFont="1" applyFill="1" applyBorder="1" applyAlignment="1" applyProtection="1">
      <alignment horizontal="center" vertical="center" wrapText="1"/>
      <protection locked="0"/>
    </xf>
    <xf numFmtId="0" fontId="53" fillId="2" borderId="56" xfId="49" applyFont="1" applyFill="1" applyBorder="1" applyAlignment="1" applyProtection="1">
      <alignment horizontal="center" vertical="center" wrapText="1"/>
      <protection locked="0"/>
    </xf>
    <xf numFmtId="9" fontId="53" fillId="2" borderId="61" xfId="49" applyNumberFormat="1" applyFont="1" applyFill="1" applyBorder="1" applyAlignment="1" applyProtection="1">
      <alignment horizontal="center" vertical="center" wrapText="1"/>
      <protection locked="0"/>
    </xf>
    <xf numFmtId="9" fontId="53" fillId="2" borderId="59" xfId="49" applyNumberFormat="1" applyFont="1" applyFill="1" applyBorder="1" applyAlignment="1" applyProtection="1">
      <alignment horizontal="center" vertical="center" wrapText="1"/>
      <protection locked="0"/>
    </xf>
    <xf numFmtId="0" fontId="53" fillId="2" borderId="61" xfId="49" applyFont="1" applyFill="1" applyBorder="1" applyAlignment="1" applyProtection="1">
      <alignment horizontal="center" vertical="center" wrapText="1"/>
      <protection locked="0"/>
    </xf>
    <xf numFmtId="0" fontId="53" fillId="2" borderId="57" xfId="49" applyFont="1" applyFill="1" applyBorder="1" applyAlignment="1" applyProtection="1">
      <alignment horizontal="center" vertical="center" wrapText="1"/>
      <protection locked="0"/>
    </xf>
    <xf numFmtId="0" fontId="53" fillId="2" borderId="60" xfId="49" applyFont="1" applyFill="1" applyBorder="1" applyAlignment="1" applyProtection="1">
      <alignment horizontal="center" vertical="center" wrapText="1"/>
      <protection locked="0"/>
    </xf>
    <xf numFmtId="0" fontId="53" fillId="2" borderId="62" xfId="49" applyFont="1" applyFill="1" applyBorder="1" applyAlignment="1" applyProtection="1">
      <alignment horizontal="center" vertical="center" wrapText="1"/>
      <protection locked="0"/>
    </xf>
    <xf numFmtId="3" fontId="53" fillId="6" borderId="56" xfId="49" applyNumberFormat="1" applyFont="1" applyFill="1" applyBorder="1" applyAlignment="1" applyProtection="1">
      <alignment horizontal="center" vertical="center" wrapText="1"/>
      <protection locked="0"/>
    </xf>
    <xf numFmtId="9" fontId="53" fillId="2" borderId="57" xfId="49" applyNumberFormat="1" applyFont="1" applyFill="1" applyBorder="1" applyAlignment="1" applyProtection="1">
      <alignment horizontal="center" vertical="center" wrapText="1"/>
      <protection locked="0"/>
    </xf>
    <xf numFmtId="9" fontId="53" fillId="2" borderId="60" xfId="49" applyNumberFormat="1" applyFont="1" applyFill="1" applyBorder="1" applyAlignment="1" applyProtection="1">
      <alignment horizontal="center" vertical="center" wrapText="1"/>
      <protection locked="0"/>
    </xf>
    <xf numFmtId="14" fontId="53" fillId="2" borderId="67" xfId="49" applyNumberFormat="1" applyFont="1" applyFill="1" applyBorder="1" applyAlignment="1" applyProtection="1">
      <alignment horizontal="center" vertical="center" wrapText="1"/>
      <protection locked="0"/>
    </xf>
    <xf numFmtId="14" fontId="53" fillId="2" borderId="68" xfId="49" applyNumberFormat="1" applyFont="1" applyFill="1" applyBorder="1" applyAlignment="1" applyProtection="1">
      <alignment horizontal="center" vertical="center" wrapText="1"/>
      <protection locked="0"/>
    </xf>
    <xf numFmtId="0" fontId="53" fillId="2" borderId="69" xfId="49" applyFont="1" applyFill="1" applyBorder="1" applyAlignment="1" applyProtection="1">
      <alignment horizontal="center" vertical="center" wrapText="1"/>
      <protection locked="0"/>
    </xf>
    <xf numFmtId="0" fontId="53" fillId="2" borderId="59" xfId="49" applyFont="1" applyFill="1" applyBorder="1" applyAlignment="1" applyProtection="1">
      <alignment horizontal="left" vertical="center" wrapText="1"/>
      <protection locked="0"/>
    </xf>
    <xf numFmtId="9" fontId="53" fillId="2" borderId="57" xfId="52" applyNumberFormat="1" applyFont="1" applyFill="1" applyBorder="1" applyAlignment="1" applyProtection="1">
      <alignment horizontal="center" vertical="center" wrapText="1"/>
      <protection locked="0"/>
    </xf>
    <xf numFmtId="9" fontId="53" fillId="2" borderId="59" xfId="52" applyNumberFormat="1" applyFont="1" applyFill="1" applyBorder="1" applyAlignment="1" applyProtection="1">
      <alignment horizontal="center" vertical="center" wrapText="1"/>
      <protection locked="0"/>
    </xf>
    <xf numFmtId="0" fontId="59" fillId="6" borderId="56" xfId="52" applyFont="1" applyFill="1" applyBorder="1" applyAlignment="1" applyProtection="1">
      <alignment horizontal="left" vertical="center" wrapText="1"/>
      <protection locked="0"/>
    </xf>
    <xf numFmtId="0" fontId="53" fillId="2" borderId="62" xfId="52" applyFont="1" applyFill="1" applyBorder="1" applyAlignment="1" applyProtection="1">
      <alignment horizontal="center" vertical="center" wrapText="1"/>
      <protection locked="0"/>
    </xf>
    <xf numFmtId="0" fontId="53" fillId="2" borderId="63" xfId="52" applyFont="1" applyFill="1" applyBorder="1" applyAlignment="1" applyProtection="1">
      <alignment horizontal="center" vertical="center" wrapText="1"/>
      <protection locked="0"/>
    </xf>
    <xf numFmtId="9" fontId="53" fillId="2" borderId="57" xfId="52" applyNumberFormat="1" applyFont="1" applyFill="1" applyBorder="1" applyAlignment="1" applyProtection="1">
      <alignment horizontal="center" vertical="center" wrapText="1"/>
      <protection locked="0"/>
    </xf>
    <xf numFmtId="9" fontId="53" fillId="2" borderId="60" xfId="52" applyNumberFormat="1" applyFont="1" applyFill="1" applyBorder="1" applyAlignment="1" applyProtection="1">
      <alignment horizontal="center" vertical="center" wrapText="1"/>
      <protection locked="0"/>
    </xf>
    <xf numFmtId="9" fontId="53" fillId="2" borderId="61" xfId="52" applyNumberFormat="1" applyFont="1" applyFill="1" applyBorder="1" applyAlignment="1" applyProtection="1">
      <alignment horizontal="center" vertical="center" wrapText="1"/>
      <protection locked="0"/>
    </xf>
    <xf numFmtId="9" fontId="53" fillId="2" borderId="59" xfId="52" applyNumberFormat="1" applyFont="1" applyFill="1" applyBorder="1" applyAlignment="1" applyProtection="1">
      <alignment horizontal="center" vertical="center" wrapText="1"/>
      <protection locked="0"/>
    </xf>
    <xf numFmtId="0" fontId="53" fillId="2" borderId="57" xfId="52" applyFont="1" applyFill="1" applyBorder="1" applyAlignment="1" applyProtection="1">
      <alignment horizontal="center" vertical="center" wrapText="1"/>
      <protection locked="0"/>
    </xf>
    <xf numFmtId="0" fontId="53" fillId="2" borderId="59" xfId="52" applyFont="1" applyFill="1" applyBorder="1" applyAlignment="1" applyProtection="1">
      <alignment horizontal="center" vertical="center" wrapText="1"/>
      <protection locked="0"/>
    </xf>
    <xf numFmtId="3" fontId="53" fillId="6" borderId="56" xfId="52" applyNumberFormat="1" applyFont="1" applyFill="1" applyBorder="1" applyAlignment="1" applyProtection="1">
      <alignment horizontal="center" vertical="center" wrapText="1"/>
      <protection locked="0"/>
    </xf>
    <xf numFmtId="0" fontId="53" fillId="6" borderId="57" xfId="52" applyFont="1" applyFill="1" applyBorder="1" applyAlignment="1" applyProtection="1">
      <alignment horizontal="center" vertical="center" wrapText="1"/>
      <protection locked="0"/>
    </xf>
    <xf numFmtId="0" fontId="59" fillId="6" borderId="57" xfId="52" applyFont="1" applyFill="1" applyBorder="1" applyAlignment="1" applyProtection="1">
      <alignment horizontal="center" vertical="center" wrapText="1"/>
      <protection locked="0"/>
    </xf>
    <xf numFmtId="0" fontId="53" fillId="2" borderId="61" xfId="52" applyFont="1" applyFill="1" applyBorder="1" applyAlignment="1" applyProtection="1">
      <alignment horizontal="center" vertical="center" wrapText="1"/>
      <protection locked="0"/>
    </xf>
    <xf numFmtId="0" fontId="53" fillId="2" borderId="60" xfId="52" applyFont="1" applyFill="1" applyBorder="1" applyAlignment="1" applyProtection="1">
      <alignment horizontal="center" vertical="center" wrapText="1"/>
      <protection locked="0"/>
    </xf>
    <xf numFmtId="14" fontId="53" fillId="2" borderId="67" xfId="52" applyNumberFormat="1" applyFont="1" applyFill="1" applyBorder="1" applyAlignment="1" applyProtection="1">
      <alignment horizontal="center" vertical="center" wrapText="1"/>
      <protection locked="0"/>
    </xf>
    <xf numFmtId="14" fontId="53" fillId="2" borderId="68" xfId="52" applyNumberFormat="1" applyFont="1" applyFill="1" applyBorder="1" applyAlignment="1" applyProtection="1">
      <alignment horizontal="center" vertical="center" wrapText="1"/>
      <protection locked="0"/>
    </xf>
    <xf numFmtId="0" fontId="53" fillId="2" borderId="59" xfId="52" applyFont="1" applyFill="1" applyBorder="1" applyAlignment="1" applyProtection="1">
      <alignment horizontal="left" vertical="center" wrapText="1"/>
      <protection locked="0"/>
    </xf>
    <xf numFmtId="0" fontId="74" fillId="0" borderId="133" xfId="0" applyFont="1" applyFill="1" applyBorder="1" applyAlignment="1" applyProtection="1">
      <alignment horizontal="center" vertical="center" wrapText="1"/>
    </xf>
    <xf numFmtId="0" fontId="74" fillId="0" borderId="134" xfId="0" applyFont="1" applyFill="1" applyBorder="1" applyAlignment="1" applyProtection="1">
      <alignment horizontal="center" vertical="center" wrapText="1"/>
    </xf>
    <xf numFmtId="0" fontId="74" fillId="0" borderId="84" xfId="0" applyFont="1" applyFill="1" applyBorder="1" applyAlignment="1" applyProtection="1">
      <alignment horizontal="center" vertical="center" wrapText="1"/>
    </xf>
    <xf numFmtId="0" fontId="48" fillId="0" borderId="84" xfId="0" applyFont="1" applyFill="1" applyBorder="1" applyAlignment="1" applyProtection="1">
      <alignment horizontal="center" vertical="center" wrapText="1"/>
      <protection locked="0"/>
    </xf>
    <xf numFmtId="0" fontId="48" fillId="0" borderId="122" xfId="0" applyFont="1" applyFill="1" applyBorder="1" applyAlignment="1">
      <alignment horizontal="center" vertical="center" wrapText="1"/>
    </xf>
    <xf numFmtId="0" fontId="74" fillId="0" borderId="130" xfId="0" applyFont="1" applyFill="1" applyBorder="1" applyAlignment="1" applyProtection="1">
      <alignment horizontal="center" vertical="center" wrapText="1"/>
      <protection locked="0"/>
    </xf>
    <xf numFmtId="3" fontId="26" fillId="13" borderId="132" xfId="0" applyNumberFormat="1" applyFont="1" applyFill="1" applyBorder="1" applyAlignment="1" applyProtection="1">
      <alignment horizontal="center" vertical="center" wrapText="1"/>
      <protection locked="0"/>
    </xf>
    <xf numFmtId="3" fontId="26" fillId="3" borderId="134" xfId="0" applyNumberFormat="1" applyFont="1" applyFill="1" applyBorder="1" applyAlignment="1" applyProtection="1">
      <alignment horizontal="center" vertical="center" wrapText="1"/>
    </xf>
    <xf numFmtId="3" fontId="26" fillId="3" borderId="134" xfId="0" applyNumberFormat="1" applyFont="1" applyFill="1" applyBorder="1" applyAlignment="1" applyProtection="1">
      <alignment horizontal="center" vertical="center" wrapText="1"/>
      <protection locked="0"/>
    </xf>
    <xf numFmtId="0" fontId="26" fillId="5" borderId="84" xfId="0" applyFont="1" applyFill="1" applyBorder="1" applyAlignment="1" applyProtection="1">
      <alignment horizontal="center" vertical="center" wrapText="1"/>
      <protection locked="0"/>
    </xf>
    <xf numFmtId="9" fontId="48" fillId="0" borderId="125" xfId="0" applyNumberFormat="1" applyFont="1" applyFill="1" applyBorder="1" applyAlignment="1">
      <alignment horizontal="center" vertical="center"/>
    </xf>
    <xf numFmtId="9" fontId="48" fillId="0" borderId="124" xfId="0" applyNumberFormat="1" applyFont="1" applyFill="1" applyBorder="1" applyAlignment="1">
      <alignment horizontal="center" vertical="center"/>
    </xf>
    <xf numFmtId="169" fontId="48" fillId="0" borderId="125" xfId="0" applyNumberFormat="1" applyFont="1" applyFill="1" applyBorder="1" applyAlignment="1">
      <alignment horizontal="center" vertical="center"/>
    </xf>
    <xf numFmtId="14" fontId="60" fillId="0" borderId="68" xfId="21" applyNumberFormat="1" applyFont="1" applyFill="1" applyBorder="1" applyAlignment="1" applyProtection="1">
      <alignment horizontal="center" vertical="center" wrapText="1"/>
      <protection locked="0"/>
    </xf>
    <xf numFmtId="0" fontId="60" fillId="0" borderId="69" xfId="21" applyFont="1" applyFill="1" applyBorder="1" applyAlignment="1" applyProtection="1">
      <alignment horizontal="center" vertical="center" wrapText="1"/>
      <protection locked="0"/>
    </xf>
    <xf numFmtId="14" fontId="60" fillId="0" borderId="67" xfId="21" applyNumberFormat="1" applyFont="1" applyFill="1" applyBorder="1" applyAlignment="1" applyProtection="1">
      <alignment horizontal="center" vertical="center" wrapText="1"/>
      <protection locked="0"/>
    </xf>
    <xf numFmtId="14" fontId="53" fillId="0" borderId="57" xfId="21" applyNumberFormat="1" applyFont="1" applyFill="1" applyBorder="1" applyAlignment="1" applyProtection="1">
      <alignment horizontal="center" vertical="center" wrapText="1"/>
      <protection locked="0"/>
    </xf>
    <xf numFmtId="9" fontId="53" fillId="0" borderId="57" xfId="21" applyNumberFormat="1" applyFont="1" applyFill="1" applyBorder="1" applyAlignment="1" applyProtection="1">
      <alignment horizontal="center" vertical="center" wrapText="1"/>
      <protection locked="0"/>
    </xf>
    <xf numFmtId="9" fontId="53" fillId="0" borderId="59" xfId="21" applyNumberFormat="1" applyFont="1" applyFill="1" applyBorder="1" applyAlignment="1" applyProtection="1">
      <alignment horizontal="center" vertical="center" wrapText="1"/>
      <protection locked="0"/>
    </xf>
    <xf numFmtId="0" fontId="53" fillId="0" borderId="57" xfId="21" applyFont="1" applyFill="1" applyBorder="1" applyAlignment="1" applyProtection="1">
      <alignment horizontal="center" vertical="center" wrapText="1"/>
      <protection locked="0"/>
    </xf>
    <xf numFmtId="0" fontId="53" fillId="0" borderId="91" xfId="21" applyFont="1" applyFill="1" applyBorder="1" applyAlignment="1" applyProtection="1">
      <alignment horizontal="center" vertical="center" wrapText="1"/>
      <protection locked="0"/>
    </xf>
    <xf numFmtId="9" fontId="53" fillId="0" borderId="91" xfId="21" applyNumberFormat="1" applyFont="1" applyFill="1" applyBorder="1" applyAlignment="1" applyProtection="1">
      <alignment horizontal="center" vertical="center" wrapText="1"/>
      <protection locked="0"/>
    </xf>
    <xf numFmtId="9" fontId="53" fillId="0" borderId="93" xfId="21" applyNumberFormat="1" applyFont="1" applyFill="1" applyBorder="1" applyAlignment="1" applyProtection="1">
      <alignment horizontal="center" vertical="center" wrapText="1"/>
      <protection locked="0"/>
    </xf>
    <xf numFmtId="0" fontId="53" fillId="0" borderId="45" xfId="21" applyFont="1" applyFill="1" applyBorder="1" applyAlignment="1" applyProtection="1">
      <alignment horizontal="center" vertical="center" wrapText="1"/>
      <protection locked="0"/>
    </xf>
    <xf numFmtId="9" fontId="53" fillId="0" borderId="45" xfId="21" applyNumberFormat="1" applyFont="1" applyFill="1" applyBorder="1" applyAlignment="1" applyProtection="1">
      <alignment horizontal="center" vertical="center" wrapText="1"/>
      <protection locked="0"/>
    </xf>
    <xf numFmtId="9" fontId="53" fillId="0" borderId="46" xfId="21" applyNumberFormat="1" applyFont="1" applyFill="1" applyBorder="1" applyAlignment="1" applyProtection="1">
      <alignment horizontal="center" vertical="center" wrapText="1"/>
      <protection locked="0"/>
    </xf>
    <xf numFmtId="0" fontId="53" fillId="0" borderId="76" xfId="21" applyFont="1" applyFill="1" applyBorder="1" applyAlignment="1" applyProtection="1">
      <alignment horizontal="center" vertical="center" wrapText="1"/>
      <protection locked="0"/>
    </xf>
    <xf numFmtId="9" fontId="53" fillId="0" borderId="76" xfId="21" applyNumberFormat="1" applyFont="1" applyFill="1" applyBorder="1" applyAlignment="1" applyProtection="1">
      <alignment horizontal="center" vertical="center" wrapText="1"/>
      <protection locked="0"/>
    </xf>
    <xf numFmtId="9" fontId="53" fillId="0" borderId="78" xfId="21"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0" fontId="19" fillId="14" borderId="0" xfId="0" applyFont="1" applyFill="1" applyBorder="1" applyAlignment="1" applyProtection="1">
      <alignment horizontal="center"/>
      <protection locked="0"/>
    </xf>
    <xf numFmtId="0" fontId="48" fillId="14" borderId="125" xfId="0" applyFont="1" applyFill="1" applyBorder="1" applyAlignment="1">
      <alignment horizontal="center" vertical="center"/>
    </xf>
    <xf numFmtId="0" fontId="48" fillId="14" borderId="126" xfId="0" applyFont="1" applyFill="1" applyBorder="1" applyAlignment="1">
      <alignment horizontal="center" vertical="center"/>
    </xf>
    <xf numFmtId="0" fontId="74" fillId="14" borderId="126" xfId="0" applyFont="1" applyFill="1" applyBorder="1" applyAlignment="1" applyProtection="1">
      <alignment horizontal="center" vertical="center" wrapText="1"/>
      <protection locked="0"/>
    </xf>
    <xf numFmtId="0" fontId="80" fillId="0" borderId="35" xfId="0" pivotButton="1" applyFont="1" applyBorder="1" applyAlignment="1">
      <alignment wrapText="1"/>
    </xf>
    <xf numFmtId="0" fontId="80" fillId="0" borderId="35" xfId="0" applyFont="1" applyBorder="1" applyAlignment="1">
      <alignment horizontal="center" vertical="center"/>
    </xf>
    <xf numFmtId="0" fontId="80" fillId="0" borderId="30" xfId="0" applyFont="1" applyBorder="1"/>
    <xf numFmtId="0" fontId="80" fillId="0" borderId="30" xfId="0" pivotButton="1" applyFont="1" applyBorder="1"/>
    <xf numFmtId="0" fontId="80" fillId="0" borderId="31" xfId="0" applyFont="1" applyBorder="1"/>
    <xf numFmtId="0" fontId="80" fillId="0" borderId="32" xfId="0" applyFont="1" applyBorder="1"/>
    <xf numFmtId="0" fontId="80" fillId="0" borderId="30" xfId="0" pivotButton="1" applyFont="1" applyBorder="1" applyAlignment="1">
      <alignment wrapText="1"/>
    </xf>
    <xf numFmtId="0" fontId="80" fillId="0" borderId="33" xfId="0" applyFont="1" applyBorder="1"/>
    <xf numFmtId="0" fontId="80" fillId="0" borderId="36" xfId="0" applyFont="1" applyBorder="1"/>
    <xf numFmtId="1" fontId="80" fillId="0" borderId="30" xfId="0" applyNumberFormat="1" applyFont="1" applyBorder="1" applyAlignment="1">
      <alignment horizontal="center" vertical="center"/>
    </xf>
    <xf numFmtId="1" fontId="80" fillId="0" borderId="33" xfId="0" applyNumberFormat="1" applyFont="1" applyBorder="1" applyAlignment="1">
      <alignment horizontal="center" vertical="center"/>
    </xf>
    <xf numFmtId="1" fontId="80" fillId="0" borderId="36" xfId="0" applyNumberFormat="1" applyFont="1" applyBorder="1" applyAlignment="1">
      <alignment horizontal="center" vertical="center"/>
    </xf>
    <xf numFmtId="0" fontId="80" fillId="0" borderId="34" xfId="0" applyFont="1" applyBorder="1"/>
    <xf numFmtId="1" fontId="80" fillId="0" borderId="34" xfId="0" applyNumberFormat="1" applyFont="1" applyBorder="1" applyAlignment="1">
      <alignment horizontal="center" vertical="center"/>
    </xf>
    <xf numFmtId="1" fontId="80" fillId="0" borderId="0" xfId="0" applyNumberFormat="1" applyFont="1" applyAlignment="1">
      <alignment horizontal="center" vertical="center"/>
    </xf>
    <xf numFmtId="1" fontId="80" fillId="0" borderId="37" xfId="0" applyNumberFormat="1" applyFont="1" applyBorder="1" applyAlignment="1">
      <alignment horizontal="center" vertical="center"/>
    </xf>
    <xf numFmtId="0" fontId="80" fillId="0" borderId="41" xfId="0" applyFont="1" applyBorder="1"/>
    <xf numFmtId="1" fontId="80" fillId="0" borderId="41" xfId="0" applyNumberFormat="1" applyFont="1" applyBorder="1" applyAlignment="1">
      <alignment horizontal="center" vertical="center"/>
    </xf>
    <xf numFmtId="1" fontId="80" fillId="0" borderId="43" xfId="0" applyNumberFormat="1" applyFont="1" applyBorder="1" applyAlignment="1">
      <alignment horizontal="center" vertical="center"/>
    </xf>
    <xf numFmtId="1" fontId="80" fillId="0" borderId="42" xfId="0" applyNumberFormat="1" applyFont="1" applyBorder="1" applyAlignment="1">
      <alignment horizontal="center" vertical="center"/>
    </xf>
    <xf numFmtId="0" fontId="80" fillId="0" borderId="35" xfId="0" pivotButton="1" applyFont="1" applyBorder="1"/>
    <xf numFmtId="0" fontId="80" fillId="0" borderId="35" xfId="0" applyFont="1" applyBorder="1"/>
    <xf numFmtId="0" fontId="80" fillId="0" borderId="30" xfId="0" applyFont="1" applyBorder="1" applyAlignment="1">
      <alignment wrapText="1"/>
    </xf>
    <xf numFmtId="9" fontId="80" fillId="0" borderId="36" xfId="0" applyNumberFormat="1" applyFont="1" applyBorder="1" applyAlignment="1">
      <alignment horizontal="center" vertical="center"/>
    </xf>
    <xf numFmtId="0" fontId="80" fillId="0" borderId="41" xfId="0" applyFont="1" applyBorder="1" applyAlignment="1">
      <alignment wrapText="1"/>
    </xf>
    <xf numFmtId="9" fontId="80" fillId="0" borderId="42" xfId="0" applyNumberFormat="1" applyFont="1" applyBorder="1" applyAlignment="1">
      <alignment horizontal="center" vertical="center"/>
    </xf>
    <xf numFmtId="0" fontId="80" fillId="0" borderId="31" xfId="0" applyFont="1" applyBorder="1" applyAlignment="1">
      <alignment horizontal="center" vertical="center"/>
    </xf>
    <xf numFmtId="0" fontId="80" fillId="0" borderId="32" xfId="0" applyFont="1" applyBorder="1" applyAlignment="1">
      <alignment horizontal="center" vertical="center"/>
    </xf>
    <xf numFmtId="3" fontId="80" fillId="0" borderId="30" xfId="0" applyNumberFormat="1" applyFont="1" applyBorder="1" applyAlignment="1">
      <alignment horizontal="center" vertical="center"/>
    </xf>
    <xf numFmtId="3" fontId="80" fillId="0" borderId="33" xfId="0" applyNumberFormat="1" applyFont="1" applyBorder="1" applyAlignment="1">
      <alignment horizontal="center" vertical="center"/>
    </xf>
    <xf numFmtId="3" fontId="80" fillId="0" borderId="36" xfId="0" applyNumberFormat="1" applyFont="1" applyBorder="1" applyAlignment="1">
      <alignment horizontal="center" vertical="center"/>
    </xf>
    <xf numFmtId="3" fontId="80" fillId="0" borderId="34" xfId="0" applyNumberFormat="1" applyFont="1" applyBorder="1" applyAlignment="1">
      <alignment horizontal="center" vertical="center"/>
    </xf>
    <xf numFmtId="3" fontId="80" fillId="0" borderId="0" xfId="0" applyNumberFormat="1" applyFont="1" applyAlignment="1">
      <alignment horizontal="center" vertical="center"/>
    </xf>
    <xf numFmtId="3" fontId="80" fillId="0" borderId="37" xfId="0" applyNumberFormat="1" applyFont="1" applyBorder="1" applyAlignment="1">
      <alignment horizontal="center" vertical="center"/>
    </xf>
    <xf numFmtId="3" fontId="80" fillId="0" borderId="41" xfId="0" applyNumberFormat="1" applyFont="1" applyBorder="1" applyAlignment="1">
      <alignment horizontal="center" vertical="center"/>
    </xf>
    <xf numFmtId="3" fontId="80" fillId="0" borderId="43" xfId="0" applyNumberFormat="1" applyFont="1" applyBorder="1" applyAlignment="1">
      <alignment horizontal="center" vertical="center"/>
    </xf>
    <xf numFmtId="3" fontId="80" fillId="0" borderId="42" xfId="0" applyNumberFormat="1" applyFont="1" applyBorder="1" applyAlignment="1">
      <alignment horizontal="center" vertical="center"/>
    </xf>
    <xf numFmtId="9" fontId="80" fillId="0" borderId="37" xfId="0" applyNumberFormat="1" applyFont="1" applyBorder="1" applyAlignment="1">
      <alignment horizontal="center" vertical="center"/>
    </xf>
    <xf numFmtId="0" fontId="80" fillId="0" borderId="36" xfId="0" applyFont="1" applyBorder="1" applyAlignment="1">
      <alignment horizontal="center" vertical="center"/>
    </xf>
    <xf numFmtId="0" fontId="80" fillId="0" borderId="38" xfId="0" applyFont="1" applyBorder="1" applyAlignment="1">
      <alignment wrapText="1"/>
    </xf>
    <xf numFmtId="3" fontId="80" fillId="0" borderId="35" xfId="0" applyNumberFormat="1" applyFont="1" applyBorder="1" applyAlignment="1">
      <alignment horizontal="center" vertical="center"/>
    </xf>
    <xf numFmtId="0" fontId="80" fillId="0" borderId="34" xfId="0" applyFont="1" applyBorder="1" applyAlignment="1">
      <alignment wrapText="1"/>
    </xf>
    <xf numFmtId="0" fontId="21" fillId="7" borderId="147" xfId="0" applyFont="1" applyFill="1" applyBorder="1" applyAlignment="1" applyProtection="1">
      <alignment horizontal="center" vertical="center" wrapText="1"/>
    </xf>
    <xf numFmtId="0" fontId="21" fillId="7" borderId="148" xfId="0" applyFont="1" applyFill="1" applyBorder="1" applyAlignment="1" applyProtection="1">
      <alignment horizontal="center" vertical="center" wrapText="1"/>
    </xf>
    <xf numFmtId="0" fontId="37" fillId="7" borderId="148" xfId="0" applyFont="1" applyFill="1" applyBorder="1" applyAlignment="1" applyProtection="1">
      <alignment horizontal="center" vertical="center" wrapText="1"/>
    </xf>
    <xf numFmtId="0" fontId="21" fillId="13" borderId="148" xfId="0" applyFont="1" applyFill="1" applyBorder="1" applyAlignment="1" applyProtection="1">
      <alignment horizontal="center" vertical="center" wrapText="1"/>
    </xf>
    <xf numFmtId="0" fontId="29" fillId="4" borderId="148" xfId="0" applyFont="1" applyFill="1" applyBorder="1" applyAlignment="1" applyProtection="1">
      <alignment horizontal="center" vertical="center" wrapText="1"/>
    </xf>
    <xf numFmtId="0" fontId="21" fillId="4" borderId="148" xfId="0" applyFont="1" applyFill="1" applyBorder="1" applyAlignment="1" applyProtection="1">
      <alignment horizontal="center" vertical="center" wrapText="1"/>
    </xf>
    <xf numFmtId="9" fontId="29" fillId="4" borderId="148" xfId="0" applyNumberFormat="1" applyFont="1" applyFill="1" applyBorder="1" applyAlignment="1" applyProtection="1">
      <alignment horizontal="center" vertical="center" wrapText="1"/>
    </xf>
    <xf numFmtId="0" fontId="37" fillId="13" borderId="148" xfId="0" applyFont="1" applyFill="1" applyBorder="1" applyAlignment="1" applyProtection="1">
      <alignment horizontal="center" vertical="center" wrapText="1"/>
    </xf>
    <xf numFmtId="0" fontId="29" fillId="13" borderId="148" xfId="0" applyFont="1" applyFill="1" applyBorder="1" applyAlignment="1" applyProtection="1">
      <alignment horizontal="center" vertical="center" wrapText="1"/>
    </xf>
    <xf numFmtId="0" fontId="29" fillId="6" borderId="148" xfId="0" applyFont="1" applyFill="1" applyBorder="1" applyAlignment="1" applyProtection="1">
      <alignment horizontal="center" vertical="center" wrapText="1"/>
    </xf>
    <xf numFmtId="0" fontId="21" fillId="6" borderId="148" xfId="0" applyFont="1" applyFill="1" applyBorder="1" applyAlignment="1" applyProtection="1">
      <alignment horizontal="center" vertical="center" wrapText="1"/>
    </xf>
    <xf numFmtId="0" fontId="29" fillId="3" borderId="148" xfId="0" applyFont="1" applyFill="1" applyBorder="1" applyAlignment="1" applyProtection="1">
      <alignment horizontal="center" vertical="center" wrapText="1"/>
    </xf>
    <xf numFmtId="0" fontId="21" fillId="3" borderId="148" xfId="0" applyFont="1" applyFill="1" applyBorder="1" applyAlignment="1" applyProtection="1">
      <alignment horizontal="center" vertical="center" wrapText="1"/>
    </xf>
    <xf numFmtId="0" fontId="37" fillId="3" borderId="148" xfId="0" applyFont="1" applyFill="1" applyBorder="1" applyAlignment="1" applyProtection="1">
      <alignment horizontal="center" vertical="center" wrapText="1"/>
    </xf>
    <xf numFmtId="0" fontId="21" fillId="3" borderId="149" xfId="0" applyFont="1" applyFill="1" applyBorder="1" applyAlignment="1" applyProtection="1">
      <alignment horizontal="center" vertical="center" wrapText="1"/>
    </xf>
    <xf numFmtId="0" fontId="21" fillId="7" borderId="150" xfId="0" applyFont="1" applyFill="1" applyBorder="1" applyAlignment="1" applyProtection="1">
      <alignment horizontal="center" vertical="center" wrapText="1"/>
    </xf>
    <xf numFmtId="0" fontId="21" fillId="7" borderId="149" xfId="0" applyFont="1" applyFill="1" applyBorder="1" applyAlignment="1" applyProtection="1">
      <alignment horizontal="center" vertical="center" wrapText="1"/>
    </xf>
    <xf numFmtId="0" fontId="21" fillId="13" borderId="150" xfId="0" applyFont="1" applyFill="1" applyBorder="1" applyAlignment="1" applyProtection="1">
      <alignment horizontal="center" vertical="center" wrapText="1"/>
    </xf>
    <xf numFmtId="0" fontId="29" fillId="4" borderId="150" xfId="0" applyFont="1" applyFill="1" applyBorder="1" applyAlignment="1" applyProtection="1">
      <alignment horizontal="center" vertical="center" wrapText="1"/>
    </xf>
    <xf numFmtId="0" fontId="21" fillId="4" borderId="149" xfId="0" applyFont="1" applyFill="1" applyBorder="1" applyAlignment="1" applyProtection="1">
      <alignment horizontal="center" vertical="center" wrapText="1"/>
    </xf>
    <xf numFmtId="9" fontId="29" fillId="4" borderId="150" xfId="0" applyNumberFormat="1" applyFont="1" applyFill="1" applyBorder="1" applyAlignment="1" applyProtection="1">
      <alignment horizontal="center" vertical="center" wrapText="1"/>
    </xf>
    <xf numFmtId="0" fontId="14" fillId="4" borderId="149" xfId="0" applyFont="1" applyFill="1" applyBorder="1" applyAlignment="1" applyProtection="1">
      <alignment horizontal="center" vertical="center" wrapText="1"/>
    </xf>
    <xf numFmtId="0" fontId="21" fillId="4" borderId="150" xfId="0" applyFont="1" applyFill="1" applyBorder="1" applyAlignment="1" applyProtection="1">
      <alignment horizontal="center" vertical="center" wrapText="1"/>
    </xf>
    <xf numFmtId="9" fontId="21" fillId="4" borderId="149" xfId="0" applyNumberFormat="1" applyFont="1" applyFill="1" applyBorder="1" applyAlignment="1" applyProtection="1">
      <alignment horizontal="center" vertical="center" wrapText="1"/>
    </xf>
    <xf numFmtId="0" fontId="29" fillId="14" borderId="150" xfId="0" applyFont="1" applyFill="1" applyBorder="1" applyAlignment="1" applyProtection="1">
      <alignment horizontal="center" vertical="center" wrapText="1"/>
    </xf>
    <xf numFmtId="0" fontId="21" fillId="6" borderId="149" xfId="0" applyFont="1" applyFill="1" applyBorder="1" applyAlignment="1" applyProtection="1">
      <alignment horizontal="center" vertical="center" wrapText="1"/>
    </xf>
    <xf numFmtId="0" fontId="29" fillId="3" borderId="150" xfId="0" applyFont="1" applyFill="1" applyBorder="1" applyAlignment="1" applyProtection="1">
      <alignment horizontal="center" vertical="center" wrapText="1"/>
    </xf>
    <xf numFmtId="0" fontId="21" fillId="3" borderId="150" xfId="0" applyFont="1" applyFill="1" applyBorder="1" applyAlignment="1" applyProtection="1">
      <alignment horizontal="center" vertical="center" wrapText="1"/>
    </xf>
    <xf numFmtId="0" fontId="21" fillId="3" borderId="103" xfId="0" applyFont="1" applyFill="1" applyBorder="1" applyAlignment="1" applyProtection="1">
      <alignment horizontal="center" vertical="center" wrapText="1"/>
    </xf>
    <xf numFmtId="0" fontId="27" fillId="6" borderId="18" xfId="0" applyFont="1" applyFill="1" applyBorder="1" applyAlignment="1">
      <alignment horizontal="center" vertical="center"/>
    </xf>
    <xf numFmtId="0" fontId="27" fillId="6" borderId="19" xfId="0" applyFont="1" applyFill="1" applyBorder="1" applyAlignment="1">
      <alignment horizontal="center" vertical="center"/>
    </xf>
    <xf numFmtId="0" fontId="27" fillId="6" borderId="20" xfId="0" applyFont="1" applyFill="1" applyBorder="1" applyAlignment="1">
      <alignment horizontal="center" vertical="center"/>
    </xf>
    <xf numFmtId="0" fontId="30" fillId="6" borderId="2"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1" fillId="5" borderId="27" xfId="0" applyFont="1" applyFill="1" applyBorder="1" applyAlignment="1">
      <alignment horizontal="left" vertical="center"/>
    </xf>
    <xf numFmtId="0" fontId="31" fillId="5" borderId="21" xfId="0" applyFont="1" applyFill="1" applyBorder="1" applyAlignment="1">
      <alignment horizontal="left" vertical="center"/>
    </xf>
    <xf numFmtId="0" fontId="31" fillId="5" borderId="22" xfId="0" applyFont="1" applyFill="1" applyBorder="1" applyAlignment="1">
      <alignment horizontal="left" vertical="center"/>
    </xf>
    <xf numFmtId="0" fontId="20" fillId="3" borderId="39" xfId="5" applyFont="1" applyFill="1" applyBorder="1" applyAlignment="1">
      <alignment horizontal="center" wrapText="1"/>
    </xf>
    <xf numFmtId="0" fontId="20" fillId="3" borderId="40" xfId="5" applyFont="1" applyFill="1" applyBorder="1" applyAlignment="1">
      <alignment horizontal="center" wrapText="1"/>
    </xf>
    <xf numFmtId="0" fontId="27" fillId="6" borderId="27" xfId="5" applyFont="1" applyFill="1" applyBorder="1" applyAlignment="1">
      <alignment horizontal="center" vertical="center"/>
    </xf>
    <xf numFmtId="0" fontId="27" fillId="6" borderId="21" xfId="5" applyFont="1" applyFill="1" applyBorder="1" applyAlignment="1">
      <alignment horizontal="center" vertical="center"/>
    </xf>
    <xf numFmtId="0" fontId="27" fillId="6" borderId="28" xfId="5" applyFont="1" applyFill="1" applyBorder="1" applyAlignment="1">
      <alignment horizontal="center" vertical="center"/>
    </xf>
    <xf numFmtId="0" fontId="50" fillId="2" borderId="0" xfId="5" applyFont="1" applyFill="1" applyAlignment="1">
      <alignment horizontal="left" vertical="center" wrapText="1"/>
    </xf>
    <xf numFmtId="0" fontId="20" fillId="3" borderId="39" xfId="20" applyFont="1" applyFill="1" applyBorder="1" applyAlignment="1">
      <alignment horizontal="center" wrapText="1"/>
    </xf>
    <xf numFmtId="0" fontId="20" fillId="3" borderId="40" xfId="20" applyFont="1" applyFill="1" applyBorder="1" applyAlignment="1">
      <alignment horizontal="center" wrapText="1"/>
    </xf>
    <xf numFmtId="165" fontId="42" fillId="10" borderId="0" xfId="4" applyFont="1" applyFill="1" applyAlignment="1">
      <alignment horizontal="center" vertical="center"/>
    </xf>
    <xf numFmtId="165" fontId="18" fillId="5" borderId="125" xfId="4" applyFont="1" applyFill="1" applyBorder="1" applyAlignment="1">
      <alignment horizontal="center" vertical="center"/>
    </xf>
    <xf numFmtId="165" fontId="18" fillId="5" borderId="123" xfId="4" applyFont="1" applyFill="1" applyBorder="1" applyAlignment="1">
      <alignment horizontal="center" vertical="center"/>
    </xf>
    <xf numFmtId="165" fontId="43" fillId="2" borderId="0" xfId="4" applyFont="1" applyFill="1" applyAlignment="1">
      <alignment horizontal="left" vertical="center"/>
    </xf>
    <xf numFmtId="165" fontId="44" fillId="2" borderId="0" xfId="4" applyFont="1" applyFill="1" applyAlignment="1">
      <alignment horizontal="left" vertical="center"/>
    </xf>
    <xf numFmtId="165" fontId="38" fillId="5" borderId="146" xfId="4" applyFont="1" applyFill="1" applyBorder="1" applyAlignment="1">
      <alignment horizontal="center" vertical="center"/>
    </xf>
    <xf numFmtId="165" fontId="38" fillId="5" borderId="54" xfId="4" applyFont="1" applyFill="1" applyBorder="1" applyAlignment="1">
      <alignment horizontal="center" vertical="center"/>
    </xf>
    <xf numFmtId="0" fontId="20" fillId="3" borderId="104"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0" fillId="3" borderId="6" xfId="0" applyFont="1" applyFill="1" applyBorder="1" applyAlignment="1" applyProtection="1">
      <alignment horizontal="center" vertical="center" wrapText="1"/>
      <protection locked="0"/>
    </xf>
    <xf numFmtId="0" fontId="20" fillId="3" borderId="24" xfId="0" applyFont="1" applyFill="1" applyBorder="1" applyAlignment="1" applyProtection="1">
      <alignment horizontal="center" vertical="center" wrapText="1"/>
      <protection locked="0"/>
    </xf>
    <xf numFmtId="2" fontId="28" fillId="6" borderId="23" xfId="0" applyNumberFormat="1" applyFont="1" applyFill="1" applyBorder="1" applyAlignment="1" applyProtection="1">
      <alignment horizontal="center" vertical="center"/>
      <protection locked="0"/>
    </xf>
    <xf numFmtId="2" fontId="28" fillId="6" borderId="10" xfId="0" applyNumberFormat="1" applyFont="1" applyFill="1" applyBorder="1" applyAlignment="1" applyProtection="1">
      <alignment horizontal="center" vertical="center"/>
      <protection locked="0"/>
    </xf>
    <xf numFmtId="2" fontId="71" fillId="6" borderId="10" xfId="0" applyNumberFormat="1" applyFont="1" applyFill="1" applyBorder="1" applyAlignment="1" applyProtection="1">
      <alignment horizontal="center" vertical="center"/>
      <protection locked="0"/>
    </xf>
    <xf numFmtId="2" fontId="71" fillId="6" borderId="11" xfId="0" applyNumberFormat="1" applyFont="1" applyFill="1" applyBorder="1" applyAlignment="1" applyProtection="1">
      <alignment horizontal="center" vertical="center"/>
      <protection locked="0"/>
    </xf>
    <xf numFmtId="0" fontId="24" fillId="5" borderId="4" xfId="0" applyFont="1" applyFill="1" applyBorder="1" applyAlignment="1" applyProtection="1">
      <alignment horizontal="center" vertical="center"/>
      <protection locked="0"/>
    </xf>
    <xf numFmtId="0" fontId="24" fillId="5" borderId="8" xfId="0" applyFont="1" applyFill="1" applyBorder="1" applyAlignment="1" applyProtection="1">
      <alignment horizontal="center" vertical="center"/>
      <protection locked="0"/>
    </xf>
    <xf numFmtId="0" fontId="24" fillId="5" borderId="3" xfId="0" applyFont="1" applyFill="1" applyBorder="1" applyAlignment="1" applyProtection="1">
      <alignment horizontal="center" vertical="center"/>
      <protection locked="0"/>
    </xf>
    <xf numFmtId="0" fontId="35" fillId="5" borderId="24" xfId="0" applyFont="1" applyFill="1" applyBorder="1" applyAlignment="1" applyProtection="1">
      <alignment horizontal="center" vertical="center"/>
      <protection locked="0"/>
    </xf>
    <xf numFmtId="0" fontId="35" fillId="5" borderId="8" xfId="0" applyFont="1" applyFill="1" applyBorder="1" applyAlignment="1" applyProtection="1">
      <alignment horizontal="center" vertical="center"/>
      <protection locked="0"/>
    </xf>
    <xf numFmtId="0" fontId="35" fillId="5" borderId="6" xfId="0" applyFont="1" applyFill="1" applyBorder="1" applyAlignment="1" applyProtection="1">
      <alignment horizontal="center" vertical="center"/>
      <protection locked="0"/>
    </xf>
    <xf numFmtId="0" fontId="20" fillId="4" borderId="24" xfId="0" applyFont="1" applyFill="1" applyBorder="1" applyAlignment="1" applyProtection="1">
      <alignment horizontal="center" vertical="center" wrapText="1"/>
      <protection locked="0"/>
    </xf>
    <xf numFmtId="0" fontId="20" fillId="4" borderId="104" xfId="0" applyFont="1" applyFill="1" applyBorder="1" applyAlignment="1" applyProtection="1">
      <alignment horizontal="center" vertical="center" wrapText="1"/>
      <protection locked="0"/>
    </xf>
    <xf numFmtId="0" fontId="20" fillId="4" borderId="6" xfId="0" applyFont="1" applyFill="1" applyBorder="1" applyAlignment="1" applyProtection="1">
      <alignment horizontal="center" vertical="center" wrapText="1"/>
      <protection locked="0"/>
    </xf>
    <xf numFmtId="9" fontId="20" fillId="4" borderId="24" xfId="0" applyNumberFormat="1" applyFont="1" applyFill="1" applyBorder="1" applyAlignment="1" applyProtection="1">
      <alignment horizontal="center" vertical="center" wrapText="1"/>
      <protection locked="0"/>
    </xf>
    <xf numFmtId="9" fontId="20" fillId="4" borderId="6"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center" vertical="center" wrapText="1"/>
      <protection locked="0"/>
    </xf>
    <xf numFmtId="0" fontId="20" fillId="6" borderId="104" xfId="0" applyFont="1" applyFill="1" applyBorder="1" applyAlignment="1" applyProtection="1">
      <alignment horizontal="center" vertical="center" wrapText="1"/>
      <protection locked="0"/>
    </xf>
    <xf numFmtId="0" fontId="23" fillId="4" borderId="101" xfId="0" applyFont="1" applyFill="1" applyBorder="1" applyAlignment="1" applyProtection="1">
      <alignment horizontal="center" vertical="center"/>
      <protection locked="0"/>
    </xf>
    <xf numFmtId="0" fontId="23" fillId="4" borderId="102" xfId="0" applyFont="1" applyFill="1" applyBorder="1" applyAlignment="1" applyProtection="1">
      <alignment horizontal="center" vertical="center"/>
      <protection locked="0"/>
    </xf>
    <xf numFmtId="0" fontId="23" fillId="4" borderId="103" xfId="0" applyFont="1" applyFill="1" applyBorder="1" applyAlignment="1" applyProtection="1">
      <alignment horizontal="center" vertical="center"/>
      <protection locked="0"/>
    </xf>
    <xf numFmtId="0" fontId="23" fillId="6" borderId="101" xfId="0" applyFont="1" applyFill="1" applyBorder="1" applyAlignment="1" applyProtection="1">
      <alignment horizontal="center" vertical="center"/>
      <protection locked="0"/>
    </xf>
    <xf numFmtId="0" fontId="23" fillId="6" borderId="102" xfId="0" applyFont="1" applyFill="1" applyBorder="1" applyAlignment="1" applyProtection="1">
      <alignment horizontal="center" vertical="center"/>
      <protection locked="0"/>
    </xf>
    <xf numFmtId="0" fontId="23" fillId="6" borderId="103" xfId="0" applyFont="1" applyFill="1" applyBorder="1" applyAlignment="1" applyProtection="1">
      <alignment horizontal="center" vertical="center"/>
      <protection locked="0"/>
    </xf>
    <xf numFmtId="3" fontId="54" fillId="8" borderId="47" xfId="21" applyNumberFormat="1" applyFont="1" applyFill="1" applyBorder="1" applyAlignment="1" applyProtection="1">
      <alignment horizontal="center" vertical="center"/>
      <protection locked="0"/>
    </xf>
    <xf numFmtId="0" fontId="53" fillId="2" borderId="99" xfId="24" applyFont="1" applyFill="1" applyBorder="1" applyAlignment="1">
      <alignment horizontal="center" vertical="center" textRotation="90" wrapText="1"/>
    </xf>
    <xf numFmtId="0" fontId="53" fillId="2" borderId="74" xfId="24" applyFont="1" applyFill="1" applyBorder="1" applyAlignment="1">
      <alignment horizontal="center" vertical="center" textRotation="90" wrapText="1"/>
    </xf>
    <xf numFmtId="0" fontId="53" fillId="2" borderId="100" xfId="24" applyFont="1" applyFill="1" applyBorder="1" applyAlignment="1">
      <alignment horizontal="center" vertical="center" textRotation="90" wrapText="1"/>
    </xf>
    <xf numFmtId="0" fontId="56" fillId="3" borderId="101" xfId="21" applyFont="1" applyFill="1" applyBorder="1" applyAlignment="1" applyProtection="1">
      <alignment horizontal="center" vertical="center"/>
      <protection locked="0"/>
    </xf>
    <xf numFmtId="0" fontId="56" fillId="3" borderId="102" xfId="21" applyFont="1" applyFill="1" applyBorder="1" applyAlignment="1" applyProtection="1">
      <alignment horizontal="center" vertical="center"/>
      <protection locked="0"/>
    </xf>
    <xf numFmtId="0" fontId="56" fillId="3" borderId="103" xfId="21" applyFont="1" applyFill="1" applyBorder="1" applyAlignment="1" applyProtection="1">
      <alignment horizontal="center" vertical="center"/>
      <protection locked="0"/>
    </xf>
    <xf numFmtId="0" fontId="54" fillId="8" borderId="101" xfId="21" applyFont="1" applyFill="1" applyBorder="1" applyAlignment="1" applyProtection="1">
      <alignment horizontal="center" vertical="center"/>
      <protection locked="0"/>
    </xf>
    <xf numFmtId="0" fontId="54" fillId="8" borderId="102" xfId="21" applyFont="1" applyFill="1" applyBorder="1" applyAlignment="1" applyProtection="1">
      <alignment horizontal="center" vertical="center"/>
      <protection locked="0"/>
    </xf>
    <xf numFmtId="0" fontId="54" fillId="8" borderId="104" xfId="21" applyFont="1" applyFill="1" applyBorder="1" applyAlignment="1" applyProtection="1">
      <alignment horizontal="center" vertical="center"/>
      <protection locked="0"/>
    </xf>
    <xf numFmtId="0" fontId="54" fillId="8" borderId="103" xfId="21" applyFont="1" applyFill="1" applyBorder="1" applyAlignment="1" applyProtection="1">
      <alignment horizontal="center" vertical="center"/>
      <protection locked="0"/>
    </xf>
    <xf numFmtId="0" fontId="54" fillId="8" borderId="105" xfId="21" applyFont="1" applyFill="1" applyBorder="1" applyAlignment="1" applyProtection="1">
      <alignment horizontal="center" vertical="center"/>
      <protection locked="0"/>
    </xf>
    <xf numFmtId="0" fontId="54" fillId="8" borderId="106" xfId="21" applyFont="1" applyFill="1" applyBorder="1" applyAlignment="1" applyProtection="1">
      <alignment horizontal="center" vertical="center"/>
      <protection locked="0"/>
    </xf>
    <xf numFmtId="0" fontId="54" fillId="8" borderId="107" xfId="21" applyFont="1" applyFill="1" applyBorder="1" applyAlignment="1" applyProtection="1">
      <alignment horizontal="center" vertical="center"/>
      <protection locked="0"/>
    </xf>
    <xf numFmtId="0" fontId="54" fillId="8" borderId="102" xfId="21" applyFont="1" applyFill="1" applyBorder="1" applyAlignment="1" applyProtection="1">
      <alignment horizontal="center" vertical="center" wrapText="1"/>
      <protection locked="0"/>
    </xf>
    <xf numFmtId="0" fontId="54" fillId="8" borderId="103" xfId="21" applyFont="1" applyFill="1" applyBorder="1" applyAlignment="1" applyProtection="1">
      <alignment horizontal="center" vertical="center" wrapText="1"/>
      <protection locked="0"/>
    </xf>
  </cellXfs>
  <cellStyles count="55">
    <cellStyle name="Comma" xfId="1" builtinId="3"/>
    <cellStyle name="Comma 2" xfId="6"/>
    <cellStyle name="Comma 2 2" xfId="9"/>
    <cellStyle name="Comma 2 2 2" xfId="22"/>
    <cellStyle name="Comma 2 2 2 2" xfId="33"/>
    <cellStyle name="Comma 2 2 2 3" xfId="38"/>
    <cellStyle name="Comma 2 2 2 4" xfId="43"/>
    <cellStyle name="Comma 2 2 2 5" xfId="50"/>
    <cellStyle name="Comma 2 2 3" xfId="29"/>
    <cellStyle name="Comma 2 3" xfId="11"/>
    <cellStyle name="Comma 2 4" xfId="26"/>
    <cellStyle name="Comma 3" xfId="12"/>
    <cellStyle name="Comma 4" xfId="13"/>
    <cellStyle name="Comma 4 10" xfId="14"/>
    <cellStyle name="Normal" xfId="0" builtinId="0"/>
    <cellStyle name="Normal 2" xfId="2"/>
    <cellStyle name="Normal 2 2" xfId="16"/>
    <cellStyle name="Normal 2 3" xfId="15"/>
    <cellStyle name="Normal 3" xfId="4"/>
    <cellStyle name="Normal 3 2" xfId="20"/>
    <cellStyle name="Normal 3 2 2" xfId="24"/>
    <cellStyle name="Normal 3 2 2 2" xfId="35"/>
    <cellStyle name="Normal 3 2 2 3" xfId="40"/>
    <cellStyle name="Normal 3 2 2 4" xfId="47"/>
    <cellStyle name="Normal 3 2 2 5" xfId="54"/>
    <cellStyle name="Normal 3 2 3" xfId="31"/>
    <cellStyle name="Normal 4" xfId="5"/>
    <cellStyle name="Normal 4 2" xfId="8"/>
    <cellStyle name="Normal 4 2 2" xfId="21"/>
    <cellStyle name="Normal 4 2 2 2" xfId="32"/>
    <cellStyle name="Normal 4 2 2 2 2" xfId="46"/>
    <cellStyle name="Normal 4 2 2 2 2 2" xfId="52"/>
    <cellStyle name="Normal 4 2 2 3" xfId="37"/>
    <cellStyle name="Normal 4 2 2 3 2" xfId="45"/>
    <cellStyle name="Normal 4 2 2 3 3" xfId="53"/>
    <cellStyle name="Normal 4 2 2 4" xfId="42"/>
    <cellStyle name="Normal 4 2 2 5" xfId="49"/>
    <cellStyle name="Normal 4 2 3" xfId="28"/>
    <cellStyle name="Normal 4 3" xfId="17"/>
    <cellStyle name="Normal 4 4" xfId="25"/>
    <cellStyle name="Normal 5" xfId="18"/>
    <cellStyle name="Normal 6" xfId="19"/>
    <cellStyle name="Normal 7" xfId="36"/>
    <cellStyle name="Normal 8" xfId="41"/>
    <cellStyle name="Normal 9" xfId="48"/>
    <cellStyle name="Percent" xfId="3" builtinId="5"/>
    <cellStyle name="Percent 2" xfId="7"/>
    <cellStyle name="Percent 2 2" xfId="10"/>
    <cellStyle name="Percent 2 2 2" xfId="23"/>
    <cellStyle name="Percent 2 2 2 2" xfId="34"/>
    <cellStyle name="Percent 2 2 2 3" xfId="39"/>
    <cellStyle name="Percent 2 2 2 4" xfId="44"/>
    <cellStyle name="Percent 2 2 2 5" xfId="51"/>
    <cellStyle name="Percent 2 2 3" xfId="30"/>
    <cellStyle name="Percent 2 3" xfId="27"/>
  </cellStyles>
  <dxfs count="284">
    <dxf>
      <font>
        <color rgb="FF9C0006"/>
      </font>
      <fill>
        <patternFill>
          <bgColor rgb="FFFFC7CE"/>
        </patternFill>
      </fill>
    </dxf>
    <dxf>
      <fill>
        <patternFill>
          <bgColor rgb="FFFFFF00"/>
        </patternFill>
      </fill>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numFmt numFmtId="3" formatCode="#,##0"/>
    </dxf>
    <dxf>
      <alignment horizontal="right" readingOrder="0"/>
    </dxf>
    <dxf>
      <numFmt numFmtId="3" formatCode="#,##0"/>
    </dxf>
    <dxf>
      <alignment horizontal="center" readingOrder="0"/>
    </dxf>
    <dxf>
      <numFmt numFmtId="13" formatCode="0%"/>
    </dxf>
    <dxf>
      <alignment horizontal="center" readingOrder="0"/>
    </dxf>
    <dxf>
      <numFmt numFmtId="13" formatCode="0%"/>
    </dxf>
    <dxf>
      <alignment wrapText="1" readingOrder="0"/>
    </dxf>
    <dxf>
      <alignment wrapText="1" readingOrder="0"/>
    </dxf>
    <dxf>
      <numFmt numFmtId="3" formatCode="#,##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horizontal="center" readingOrder="0"/>
    </dxf>
    <dxf>
      <numFmt numFmtId="1" formatCode="0"/>
    </dxf>
    <dxf>
      <numFmt numFmtId="1" formatCode="0"/>
    </dxf>
    <dxf>
      <alignment horizontal="center"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readingOrder="0"/>
    </dxf>
    <dxf>
      <numFmt numFmtId="1" formatCode="0"/>
    </dxf>
    <dxf>
      <alignment horizontal="center" readingOrder="0"/>
    </dxf>
    <dxf>
      <numFmt numFmtId="13" formatCode="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numFmt numFmtId="13" formatCode="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wrapText="1" readingOrder="0"/>
    </dxf>
    <dxf>
      <alignment wrapText="1" readingOrder="0"/>
    </dxf>
    <dxf>
      <alignment horizontal="center"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horizontal="center" readingOrder="0"/>
    </dxf>
    <dxf>
      <numFmt numFmtId="1" formatCode="0"/>
    </dxf>
    <dxf>
      <font>
        <sz val="12"/>
      </font>
    </dxf>
    <dxf>
      <font>
        <i/>
      </font>
    </dxf>
    <dxf>
      <font>
        <b/>
      </font>
    </dxf>
    <dxf>
      <alignment horizontal="center" vertical="center" readingOrder="0"/>
    </dxf>
    <dxf>
      <numFmt numFmtId="13" formatCode="0%"/>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alignment horizontal="center" readingOrder="0"/>
    </dxf>
    <dxf>
      <alignment horizontal="center" readingOrder="0"/>
    </dxf>
    <dxf>
      <numFmt numFmtId="13" formatCode="0%"/>
    </dxf>
    <dxf>
      <numFmt numFmtId="1" formatCode="0"/>
    </dxf>
    <dxf>
      <alignment horizontal="center" readingOrder="0"/>
    </dxf>
    <dxf>
      <numFmt numFmtId="13" formatCode="0%"/>
    </dxf>
    <dxf>
      <numFmt numFmtId="1" formatCode="0"/>
    </dxf>
    <dxf>
      <alignment horizontal="center" vertical="center" readingOrder="0"/>
    </dxf>
    <dxf>
      <alignment wrapText="1" readingOrder="0"/>
    </dxf>
    <dxf>
      <numFmt numFmtId="13" formatCode="0%"/>
    </dxf>
    <dxf>
      <alignment horizontal="center" readingOrder="0"/>
    </dxf>
    <dxf>
      <numFmt numFmtId="13" formatCode="0%"/>
    </dxf>
  </dxfs>
  <tableStyles count="0" defaultTableStyle="TableStyleMedium2" defaultPivotStyle="PivotStyleLight16"/>
  <colors>
    <mruColors>
      <color rgb="FFFFFFCC"/>
      <color rgb="FFCCFFCC"/>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July.xlsx]SituationAnalysis!PivotTable26</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Community management organisation in camps</a:t>
            </a:r>
          </a:p>
        </c:rich>
      </c:tx>
      <c:layout>
        <c:manualLayout>
          <c:xMode val="edge"/>
          <c:yMode val="edge"/>
          <c:x val="0.1560757998033751"/>
          <c:y val="5.8393994456986585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3"/>
          </a:solidFill>
          <a:ln w="25400">
            <a:solidFill>
              <a:schemeClr val="lt1"/>
            </a:solidFill>
          </a:ln>
          <a:effectLst/>
          <a:sp3d contourW="25400">
            <a:contourClr>
              <a:schemeClr val="lt1"/>
            </a:contourClr>
          </a:sp3d>
        </c:spPr>
      </c:pivotFmt>
      <c:pivotFmt>
        <c:idx val="17"/>
        <c:spPr>
          <a:solidFill>
            <a:schemeClr val="accent4"/>
          </a:solidFill>
          <a:ln w="25400">
            <a:solidFill>
              <a:schemeClr val="lt1"/>
            </a:solidFill>
          </a:ln>
          <a:effectLst/>
          <a:sp3d contourW="25400">
            <a:contourClr>
              <a:schemeClr val="lt1"/>
            </a:contourClr>
          </a:sp3d>
        </c:spPr>
        <c:dLbl>
          <c:idx val="0"/>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2"/>
          </a:solidFill>
          <a:ln w="25400">
            <a:solidFill>
              <a:schemeClr val="lt1"/>
            </a:solidFill>
          </a:ln>
          <a:effectLst/>
          <a:sp3d contourW="25400">
            <a:contourClr>
              <a:schemeClr val="lt1"/>
            </a:contourClr>
          </a:sp3d>
        </c:spPr>
        <c:dLbl>
          <c:idx val="0"/>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381686825229324E-2"/>
          <c:y val="0.26382541343171262"/>
          <c:w val="0.57909426270169839"/>
          <c:h val="0.63799056586458158"/>
        </c:manualLayout>
      </c:layout>
      <c:pie3DChart>
        <c:varyColors val="1"/>
        <c:ser>
          <c:idx val="0"/>
          <c:order val="0"/>
          <c:tx>
            <c:strRef>
              <c:f>SituationAnalysis!$C$445</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dPt>
          <c:dPt>
            <c:idx val="5"/>
            <c:bubble3D val="0"/>
          </c:dPt>
          <c:dPt>
            <c:idx val="6"/>
            <c:bubble3D val="0"/>
          </c:dPt>
          <c:dLbls>
            <c:dLbl>
              <c:idx val="1"/>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SituationAnalysis!$B$446:$B$450</c:f>
              <c:strCache>
                <c:ptCount val="4"/>
                <c:pt idx="0">
                  <c:v>Functional and efficient</c:v>
                </c:pt>
                <c:pt idx="1">
                  <c:v>Not yet planned</c:v>
                </c:pt>
                <c:pt idx="2">
                  <c:v>Not yet set up</c:v>
                </c:pt>
                <c:pt idx="3">
                  <c:v>Set up but low results </c:v>
                </c:pt>
              </c:strCache>
            </c:strRef>
          </c:cat>
          <c:val>
            <c:numRef>
              <c:f>SituationAnalysis!$C$446:$C$450</c:f>
              <c:numCache>
                <c:formatCode>#,##0</c:formatCode>
                <c:ptCount val="4"/>
                <c:pt idx="0">
                  <c:v>65</c:v>
                </c:pt>
                <c:pt idx="1">
                  <c:v>1</c:v>
                </c:pt>
                <c:pt idx="2">
                  <c:v>12</c:v>
                </c:pt>
                <c:pt idx="3">
                  <c:v>74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July.xlsx]SituationAnalysis!PivotTable18</c:name>
    <c:fmtId val="1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Type of latrine coverage</a:t>
            </a:r>
          </a:p>
        </c:rich>
      </c:tx>
      <c:layout>
        <c:manualLayout>
          <c:xMode val="edge"/>
          <c:yMode val="edge"/>
          <c:x val="0.30447836877533163"/>
          <c:y val="0"/>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868391451068621E-2"/>
          <c:y val="0.10326176853792557"/>
          <c:w val="0.88712553787919368"/>
          <c:h val="0.5121856530523613"/>
        </c:manualLayout>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SituationAnalysis!$C$253:$C$271</c:f>
              <c:numCache>
                <c:formatCode>0%</c:formatCode>
                <c:ptCount val="18"/>
                <c:pt idx="0">
                  <c:v>0.5403658368862605</c:v>
                </c:pt>
                <c:pt idx="1">
                  <c:v>0.37022449783379285</c:v>
                </c:pt>
                <c:pt idx="2">
                  <c:v>0.73387978142076504</c:v>
                </c:pt>
                <c:pt idx="3">
                  <c:v>0</c:v>
                </c:pt>
                <c:pt idx="4">
                  <c:v>0.14377934272300469</c:v>
                </c:pt>
                <c:pt idx="5">
                  <c:v>0.53836090085038779</c:v>
                </c:pt>
                <c:pt idx="6">
                  <c:v>0.34682080924855491</c:v>
                </c:pt>
                <c:pt idx="7">
                  <c:v>0.82828282828282829</c:v>
                </c:pt>
                <c:pt idx="8">
                  <c:v>1</c:v>
                </c:pt>
                <c:pt idx="9">
                  <c:v>0.89637223136984123</c:v>
                </c:pt>
                <c:pt idx="10">
                  <c:v>0.11857707509881422</c:v>
                </c:pt>
                <c:pt idx="11">
                  <c:v>0.82616344154805699</c:v>
                </c:pt>
                <c:pt idx="12">
                  <c:v>0.40201900237529692</c:v>
                </c:pt>
                <c:pt idx="13">
                  <c:v>0.85106382978723405</c:v>
                </c:pt>
                <c:pt idx="14">
                  <c:v>0</c:v>
                </c:pt>
                <c:pt idx="15">
                  <c:v>0.9563106796116505</c:v>
                </c:pt>
                <c:pt idx="16">
                  <c:v>0.38785476272549696</c:v>
                </c:pt>
                <c:pt idx="17">
                  <c:v>0</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SituationAnalysis!$D$253:$D$271</c:f>
              <c:numCache>
                <c:formatCode>0%</c:formatCode>
                <c:ptCount val="18"/>
                <c:pt idx="0">
                  <c:v>0.22101499106037689</c:v>
                </c:pt>
                <c:pt idx="1">
                  <c:v>0.46987002756990942</c:v>
                </c:pt>
                <c:pt idx="2">
                  <c:v>6.2295081967213117E-2</c:v>
                </c:pt>
                <c:pt idx="3">
                  <c:v>0</c:v>
                </c:pt>
                <c:pt idx="4">
                  <c:v>0.70539906103286387</c:v>
                </c:pt>
                <c:pt idx="5">
                  <c:v>0.31034482758620691</c:v>
                </c:pt>
                <c:pt idx="6">
                  <c:v>0.65317919075144504</c:v>
                </c:pt>
                <c:pt idx="7">
                  <c:v>0.17171717171717171</c:v>
                </c:pt>
                <c:pt idx="8">
                  <c:v>0</c:v>
                </c:pt>
                <c:pt idx="9">
                  <c:v>6.910288415573379E-2</c:v>
                </c:pt>
                <c:pt idx="10">
                  <c:v>0.88142292490118579</c:v>
                </c:pt>
                <c:pt idx="11">
                  <c:v>4.1100271869502637E-2</c:v>
                </c:pt>
                <c:pt idx="12">
                  <c:v>0.39192399049881232</c:v>
                </c:pt>
                <c:pt idx="13">
                  <c:v>0.14893617021276595</c:v>
                </c:pt>
                <c:pt idx="14">
                  <c:v>1</c:v>
                </c:pt>
                <c:pt idx="15">
                  <c:v>4.3689320388349488E-2</c:v>
                </c:pt>
                <c:pt idx="16">
                  <c:v>0.58451108813052965</c:v>
                </c:pt>
                <c:pt idx="17">
                  <c:v>0.20408163265306123</c:v>
                </c:pt>
              </c:numCache>
            </c:numRef>
          </c:val>
        </c:ser>
        <c:dLbls>
          <c:showLegendKey val="0"/>
          <c:showVal val="0"/>
          <c:showCatName val="0"/>
          <c:showSerName val="0"/>
          <c:showPercent val="0"/>
          <c:showBubbleSize val="0"/>
        </c:dLbls>
        <c:gapWidth val="150"/>
        <c:shape val="box"/>
        <c:axId val="102371712"/>
        <c:axId val="102373248"/>
        <c:axId val="0"/>
      </c:bar3DChart>
      <c:catAx>
        <c:axId val="102371712"/>
        <c:scaling>
          <c:orientation val="minMax"/>
        </c:scaling>
        <c:delete val="0"/>
        <c:axPos val="b"/>
        <c:numFmt formatCode="General" sourceLinked="1"/>
        <c:majorTickMark val="none"/>
        <c:minorTickMark val="none"/>
        <c:tickLblPos val="nextTo"/>
        <c:spPr>
          <a:noFill/>
          <a:ln>
            <a:noFill/>
          </a:ln>
          <a:effectLst/>
        </c:spPr>
        <c:txPr>
          <a:bodyPr rot="-34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373248"/>
        <c:crosses val="autoZero"/>
        <c:auto val="1"/>
        <c:lblAlgn val="ctr"/>
        <c:lblOffset val="100"/>
        <c:noMultiLvlLbl val="0"/>
      </c:catAx>
      <c:valAx>
        <c:axId val="102373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371712"/>
        <c:crosses val="autoZero"/>
        <c:crossBetween val="between"/>
      </c:valAx>
      <c:spPr>
        <a:noFill/>
        <a:ln>
          <a:noFill/>
        </a:ln>
        <a:effectLst/>
      </c:spPr>
    </c:plotArea>
    <c:legend>
      <c:legendPos val="b"/>
      <c:layout>
        <c:manualLayout>
          <c:xMode val="edge"/>
          <c:yMode val="edge"/>
          <c:x val="5.7601728355384151E-2"/>
          <c:y val="0.88247738816820565"/>
          <c:w val="0.88479618619101186"/>
          <c:h val="0.117522611831794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July.xlsx]SituationAnalysis!PivotTable23</c:name>
    <c:fmtId val="27"/>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Full HK coverage</a:t>
            </a:r>
          </a:p>
        </c:rich>
      </c:tx>
      <c:layout>
        <c:manualLayout>
          <c:xMode val="edge"/>
          <c:yMode val="edge"/>
          <c:x val="0.3571200028567858"/>
          <c:y val="1.9464735111010295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0193868623564911"/>
          <c:y val="0.10476931989908991"/>
          <c:w val="0.86711518203081761"/>
          <c:h val="0.5967726856123422"/>
        </c:manualLayout>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SituationAnalysis!$B$375:$B$393</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SituationAnalysis!$C$375:$C$393</c:f>
              <c:numCache>
                <c:formatCode>0%</c:formatCode>
                <c:ptCount val="18"/>
                <c:pt idx="0">
                  <c:v>0</c:v>
                </c:pt>
                <c:pt idx="1">
                  <c:v>0.80779834580543519</c:v>
                </c:pt>
                <c:pt idx="2">
                  <c:v>3.7431693989071035E-2</c:v>
                </c:pt>
                <c:pt idx="3">
                  <c:v>0</c:v>
                </c:pt>
                <c:pt idx="4">
                  <c:v>0.70611577147566884</c:v>
                </c:pt>
                <c:pt idx="5">
                  <c:v>0.80642843600101743</c:v>
                </c:pt>
                <c:pt idx="6">
                  <c:v>0.47398843930635837</c:v>
                </c:pt>
                <c:pt idx="7">
                  <c:v>0.82828282828282829</c:v>
                </c:pt>
                <c:pt idx="8">
                  <c:v>0.62222222222222223</c:v>
                </c:pt>
                <c:pt idx="9">
                  <c:v>0.23285706697827588</c:v>
                </c:pt>
                <c:pt idx="10">
                  <c:v>0.74103441627301647</c:v>
                </c:pt>
                <c:pt idx="11">
                  <c:v>0.83687829841675998</c:v>
                </c:pt>
                <c:pt idx="12">
                  <c:v>0.99712223643340037</c:v>
                </c:pt>
                <c:pt idx="13">
                  <c:v>1</c:v>
                </c:pt>
                <c:pt idx="14">
                  <c:v>1</c:v>
                </c:pt>
                <c:pt idx="15">
                  <c:v>0</c:v>
                </c:pt>
                <c:pt idx="16">
                  <c:v>0.8284499597839825</c:v>
                </c:pt>
                <c:pt idx="17">
                  <c:v>0</c:v>
                </c:pt>
              </c:numCache>
            </c:numRef>
          </c:val>
        </c:ser>
        <c:dLbls>
          <c:showLegendKey val="0"/>
          <c:showVal val="0"/>
          <c:showCatName val="0"/>
          <c:showSerName val="0"/>
          <c:showPercent val="0"/>
          <c:showBubbleSize val="0"/>
        </c:dLbls>
        <c:gapWidth val="150"/>
        <c:shape val="box"/>
        <c:axId val="102411648"/>
        <c:axId val="102413440"/>
        <c:axId val="0"/>
      </c:bar3DChart>
      <c:catAx>
        <c:axId val="102411648"/>
        <c:scaling>
          <c:orientation val="minMax"/>
        </c:scaling>
        <c:delete val="0"/>
        <c:axPos val="b"/>
        <c:numFmt formatCode="General" sourceLinked="1"/>
        <c:majorTickMark val="none"/>
        <c:minorTickMark val="none"/>
        <c:tickLblPos val="nextTo"/>
        <c:spPr>
          <a:noFill/>
          <a:ln>
            <a:noFill/>
          </a:ln>
          <a:effectLst/>
        </c:spPr>
        <c:txPr>
          <a:bodyPr rot="-28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413440"/>
        <c:crosses val="autoZero"/>
        <c:auto val="1"/>
        <c:lblAlgn val="ctr"/>
        <c:lblOffset val="100"/>
        <c:noMultiLvlLbl val="0"/>
      </c:catAx>
      <c:valAx>
        <c:axId val="10241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41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July.xlsx]SituationAnalysis!PivotTable27</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Gender consideration for latrines</a:t>
            </a:r>
          </a:p>
        </c:rich>
      </c:tx>
      <c:layout>
        <c:manualLayout>
          <c:xMode val="edge"/>
          <c:yMode val="edge"/>
          <c:x val="0.21927264228957677"/>
          <c:y val="3.2552017954277451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2"/>
          </a:solidFill>
          <a:ln w="25400">
            <a:solidFill>
              <a:schemeClr val="lt1"/>
            </a:solidFill>
          </a:ln>
          <a:effectLst/>
          <a:sp3d contourW="25400">
            <a:contourClr>
              <a:schemeClr val="lt1"/>
            </a:contourClr>
          </a:sp3d>
        </c:spPr>
      </c:pivotFmt>
      <c:pivotFmt>
        <c:idx val="33"/>
        <c:spPr>
          <a:solidFill>
            <a:schemeClr val="accent3"/>
          </a:solidFill>
          <a:ln w="25400">
            <a:solidFill>
              <a:schemeClr val="lt1"/>
            </a:solidFill>
          </a:ln>
          <a:effectLst/>
          <a:sp3d contourW="25400">
            <a:contourClr>
              <a:schemeClr val="lt1"/>
            </a:contourClr>
          </a:sp3d>
        </c:spPr>
      </c:pivotFmt>
      <c:pivotFmt>
        <c:idx val="34"/>
        <c:spPr>
          <a:solidFill>
            <a:schemeClr val="accent4"/>
          </a:solidFill>
          <a:ln w="25400">
            <a:solidFill>
              <a:schemeClr val="lt1"/>
            </a:solidFill>
          </a:ln>
          <a:effectLst/>
          <a:sp3d contourW="25400">
            <a:contourClr>
              <a:schemeClr val="lt1"/>
            </a:contourClr>
          </a:sp3d>
        </c:spPr>
      </c:pivotFmt>
      <c:pivotFmt>
        <c:idx val="35"/>
        <c:spPr>
          <a:solidFill>
            <a:schemeClr val="accent5"/>
          </a:solidFill>
          <a:ln w="25400">
            <a:solidFill>
              <a:schemeClr val="lt1"/>
            </a:solidFill>
          </a:ln>
          <a:effectLst/>
          <a:sp3d contourW="25400">
            <a:contourClr>
              <a:schemeClr val="lt1"/>
            </a:contourClr>
          </a:sp3d>
        </c:spPr>
        <c:dLbl>
          <c:idx val="0"/>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pivotFmt>
      <c:pivotFmt>
        <c:idx val="36"/>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625930320353791E-2"/>
          <c:y val="0.22364106660580471"/>
          <c:w val="0.54192535864523783"/>
          <c:h val="0.61832173152268999"/>
        </c:manualLayout>
      </c:layout>
      <c:pie3DChart>
        <c:varyColors val="1"/>
        <c:ser>
          <c:idx val="0"/>
          <c:order val="0"/>
          <c:tx>
            <c:strRef>
              <c:f>SituationAnalysis!$C$464</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dPt>
          <c:dLbls>
            <c:dLbl>
              <c:idx val="4"/>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SituationAnalysis!$B$465:$B$470</c:f>
              <c:strCache>
                <c:ptCount val="5"/>
                <c:pt idx="0">
                  <c:v>Latrine shared by families , not separated</c:v>
                </c:pt>
                <c:pt idx="1">
                  <c:v>Not separated yet</c:v>
                </c:pt>
                <c:pt idx="2">
                  <c:v>Separate, but not clearly perceived</c:v>
                </c:pt>
                <c:pt idx="3">
                  <c:v>Separate, clearly perceived</c:v>
                </c:pt>
                <c:pt idx="4">
                  <c:v>separated</c:v>
                </c:pt>
              </c:strCache>
            </c:strRef>
          </c:cat>
          <c:val>
            <c:numRef>
              <c:f>SituationAnalysis!$C$465:$C$470</c:f>
              <c:numCache>
                <c:formatCode>0</c:formatCode>
                <c:ptCount val="5"/>
                <c:pt idx="0">
                  <c:v>75</c:v>
                </c:pt>
                <c:pt idx="1">
                  <c:v>41</c:v>
                </c:pt>
                <c:pt idx="2">
                  <c:v>4</c:v>
                </c:pt>
                <c:pt idx="3">
                  <c:v>30</c:v>
                </c:pt>
                <c:pt idx="4">
                  <c:v>2</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Ending date water funds/project coverage </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dLbl>
          <c:idx val="0"/>
          <c:showLegendKey val="0"/>
          <c:showVal val="1"/>
          <c:showCatName val="0"/>
          <c:showSerName val="0"/>
          <c:showPercent val="0"/>
          <c:showBubbleSize val="0"/>
          <c:extLst>
            <c:ext xmlns:c15="http://schemas.microsoft.com/office/drawing/2012/chart" uri="{CE6537A1-D6FC-4f65-9D91-7224C49458BB}"/>
          </c:extLst>
        </c:dLbl>
      </c:pivotFmt>
      <c:pivotFmt>
        <c:idx val="25"/>
        <c:dLbl>
          <c:idx val="0"/>
          <c:showLegendKey val="0"/>
          <c:showVal val="1"/>
          <c:showCatName val="0"/>
          <c:showSerName val="0"/>
          <c:showPercent val="0"/>
          <c:showBubbleSize val="0"/>
          <c:extLst>
            <c:ext xmlns:c15="http://schemas.microsoft.com/office/drawing/2012/chart" uri="{CE6537A1-D6FC-4f65-9D91-7224C49458BB}"/>
          </c:extLst>
        </c:dLbl>
      </c:pivotFmt>
      <c:pivotFmt>
        <c:idx val="26"/>
        <c:dLbl>
          <c:idx val="0"/>
          <c:showLegendKey val="0"/>
          <c:showVal val="1"/>
          <c:showCatName val="0"/>
          <c:showSerName val="0"/>
          <c:showPercent val="0"/>
          <c:showBubbleSize val="0"/>
          <c:extLst>
            <c:ext xmlns:c15="http://schemas.microsoft.com/office/drawing/2012/chart" uri="{CE6537A1-D6FC-4f65-9D91-7224C49458BB}"/>
          </c:extLst>
        </c:dLbl>
      </c:pivotFmt>
      <c:pivotFmt>
        <c:idx val="27"/>
        <c:dLbl>
          <c:idx val="0"/>
          <c:showLegendKey val="0"/>
          <c:showVal val="1"/>
          <c:showCatName val="0"/>
          <c:showSerName val="0"/>
          <c:showPercent val="0"/>
          <c:showBubbleSize val="0"/>
          <c:extLst>
            <c:ext xmlns:c15="http://schemas.microsoft.com/office/drawing/2012/chart" uri="{CE6537A1-D6FC-4f65-9D91-7224C49458BB}"/>
          </c:extLst>
        </c:dLbl>
      </c:pivotFmt>
      <c:pivotFmt>
        <c:idx val="28"/>
        <c:dLbl>
          <c:idx val="0"/>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dLbl>
          <c:idx val="0"/>
          <c:showLegendKey val="0"/>
          <c:showVal val="1"/>
          <c:showCatName val="0"/>
          <c:showSerName val="0"/>
          <c:showPercent val="0"/>
          <c:showBubbleSize val="0"/>
          <c:extLst>
            <c:ext xmlns:c15="http://schemas.microsoft.com/office/drawing/2012/chart" uri="{CE6537A1-D6FC-4f65-9D91-7224C49458BB}"/>
          </c:extLst>
        </c:dLbl>
      </c:pivotFmt>
      <c:pivotFmt>
        <c:idx val="70"/>
        <c:dLbl>
          <c:idx val="0"/>
          <c:showLegendKey val="0"/>
          <c:showVal val="1"/>
          <c:showCatName val="0"/>
          <c:showSerName val="0"/>
          <c:showPercent val="0"/>
          <c:showBubbleSize val="0"/>
          <c:extLst>
            <c:ext xmlns:c15="http://schemas.microsoft.com/office/drawing/2012/chart" uri="{CE6537A1-D6FC-4f65-9D91-7224C49458BB}"/>
          </c:extLst>
        </c:dLbl>
      </c:pivotFmt>
      <c:pivotFmt>
        <c:idx val="71"/>
        <c:dLbl>
          <c:idx val="0"/>
          <c:showLegendKey val="0"/>
          <c:showVal val="1"/>
          <c:showCatName val="0"/>
          <c:showSerName val="0"/>
          <c:showPercent val="0"/>
          <c:showBubbleSize val="0"/>
          <c:extLst>
            <c:ext xmlns:c15="http://schemas.microsoft.com/office/drawing/2012/chart" uri="{CE6537A1-D6FC-4f65-9D91-7224C49458BB}"/>
          </c:extLst>
        </c:dLbl>
      </c:pivotFmt>
      <c:pivotFmt>
        <c:idx val="72"/>
        <c:dLbl>
          <c:idx val="0"/>
          <c:showLegendKey val="0"/>
          <c:showVal val="1"/>
          <c:showCatName val="0"/>
          <c:showSerName val="0"/>
          <c:showPercent val="0"/>
          <c:showBubbleSize val="0"/>
          <c:extLst>
            <c:ext xmlns:c15="http://schemas.microsoft.com/office/drawing/2012/chart" uri="{CE6537A1-D6FC-4f65-9D91-7224C49458BB}"/>
          </c:extLst>
        </c:dLbl>
      </c:pivotFmt>
      <c:pivotFmt>
        <c:idx val="73"/>
        <c:dLbl>
          <c:idx val="0"/>
          <c:showLegendKey val="0"/>
          <c:showVal val="1"/>
          <c:showCatName val="0"/>
          <c:showSerName val="0"/>
          <c:showPercent val="0"/>
          <c:showBubbleSize val="0"/>
          <c:extLst>
            <c:ext xmlns:c15="http://schemas.microsoft.com/office/drawing/2012/chart" uri="{CE6537A1-D6FC-4f65-9D91-7224C49458BB}"/>
          </c:extLst>
        </c:dLbl>
      </c:pivotFmt>
      <c:pivotFmt>
        <c:idx val="74"/>
        <c:dLbl>
          <c:idx val="0"/>
          <c:showLegendKey val="0"/>
          <c:showVal val="1"/>
          <c:showCatName val="0"/>
          <c:showSerName val="0"/>
          <c:showPercent val="0"/>
          <c:showBubbleSize val="0"/>
          <c:extLst>
            <c:ext xmlns:c15="http://schemas.microsoft.com/office/drawing/2012/chart" uri="{CE6537A1-D6FC-4f65-9D91-7224C49458BB}"/>
          </c:extLst>
        </c:dLbl>
      </c:pivotFmt>
      <c:pivotFmt>
        <c:idx val="75"/>
        <c:dLbl>
          <c:idx val="0"/>
          <c:showLegendKey val="0"/>
          <c:showVal val="1"/>
          <c:showCatName val="0"/>
          <c:showSerName val="0"/>
          <c:showPercent val="0"/>
          <c:showBubbleSize val="0"/>
          <c:extLst>
            <c:ext xmlns:c15="http://schemas.microsoft.com/office/drawing/2012/chart" uri="{CE6537A1-D6FC-4f65-9D91-7224C49458BB}"/>
          </c:extLst>
        </c:dLbl>
      </c:pivotFmt>
      <c:pivotFmt>
        <c:idx val="76"/>
        <c:dLbl>
          <c:idx val="0"/>
          <c:showLegendKey val="0"/>
          <c:showVal val="1"/>
          <c:showCatName val="0"/>
          <c:showSerName val="0"/>
          <c:showPercent val="0"/>
          <c:showBubbleSize val="0"/>
          <c:extLst>
            <c:ext xmlns:c15="http://schemas.microsoft.com/office/drawing/2012/chart" uri="{CE6537A1-D6FC-4f65-9D91-7224C49458BB}"/>
          </c:extLst>
        </c:dLbl>
      </c:pivotFmt>
      <c:pivotFmt>
        <c:idx val="77"/>
        <c:dLbl>
          <c:idx val="0"/>
          <c:showLegendKey val="0"/>
          <c:showVal val="1"/>
          <c:showCatName val="0"/>
          <c:showSerName val="0"/>
          <c:showPercent val="0"/>
          <c:showBubbleSize val="0"/>
          <c:extLst>
            <c:ext xmlns:c15="http://schemas.microsoft.com/office/drawing/2012/chart" uri="{CE6537A1-D6FC-4f65-9D91-7224C49458BB}"/>
          </c:extLst>
        </c:dLbl>
      </c:pivotFmt>
      <c:pivotFmt>
        <c:idx val="78"/>
        <c:dLbl>
          <c:idx val="0"/>
          <c:showLegendKey val="0"/>
          <c:showVal val="1"/>
          <c:showCatName val="0"/>
          <c:showSerName val="0"/>
          <c:showPercent val="0"/>
          <c:showBubbleSize val="0"/>
          <c:extLst>
            <c:ext xmlns:c15="http://schemas.microsoft.com/office/drawing/2012/chart" uri="{CE6537A1-D6FC-4f65-9D91-7224C49458BB}"/>
          </c:extLst>
        </c:dLbl>
      </c:pivotFmt>
      <c:pivotFmt>
        <c:idx val="79"/>
        <c:dLbl>
          <c:idx val="0"/>
          <c:showLegendKey val="0"/>
          <c:showVal val="1"/>
          <c:showCatName val="0"/>
          <c:showSerName val="0"/>
          <c:showPercent val="0"/>
          <c:showBubbleSize val="0"/>
          <c:extLst>
            <c:ext xmlns:c15="http://schemas.microsoft.com/office/drawing/2012/chart" uri="{CE6537A1-D6FC-4f65-9D91-7224C49458BB}"/>
          </c:extLst>
        </c:dLbl>
      </c:pivotFmt>
      <c:pivotFmt>
        <c:idx val="80"/>
        <c:dLbl>
          <c:idx val="0"/>
          <c:showLegendKey val="0"/>
          <c:showVal val="1"/>
          <c:showCatName val="0"/>
          <c:showSerName val="0"/>
          <c:showPercent val="0"/>
          <c:showBubbleSize val="0"/>
          <c:extLst>
            <c:ext xmlns:c15="http://schemas.microsoft.com/office/drawing/2012/chart" uri="{CE6537A1-D6FC-4f65-9D91-7224C49458BB}"/>
          </c:extLst>
        </c:dLbl>
      </c:pivotFmt>
      <c:pivotFmt>
        <c:idx val="81"/>
        <c:dLbl>
          <c:idx val="0"/>
          <c:showLegendKey val="0"/>
          <c:showVal val="1"/>
          <c:showCatName val="0"/>
          <c:showSerName val="0"/>
          <c:showPercent val="0"/>
          <c:showBubbleSize val="0"/>
          <c:extLst>
            <c:ext xmlns:c15="http://schemas.microsoft.com/office/drawing/2012/chart" uri="{CE6537A1-D6FC-4f65-9D91-7224C49458BB}"/>
          </c:extLst>
        </c:dLbl>
      </c:pivotFmt>
      <c:pivotFmt>
        <c:idx val="82"/>
        <c:dLbl>
          <c:idx val="0"/>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pivotFmt>
    </c:pivotFmts>
    <c:view3D>
      <c:rotX val="15"/>
      <c:rotY val="20"/>
      <c:depthPercent val="100"/>
      <c:rAngAx val="1"/>
    </c:view3D>
    <c:floor>
      <c:thickness val="0"/>
    </c:floor>
    <c:sideWall>
      <c:thickness val="0"/>
    </c:sideWall>
    <c:backWall>
      <c:thickness val="0"/>
    </c:backWall>
    <c:plotArea>
      <c:layout/>
      <c:bar3DChart>
        <c:barDir val="bar"/>
        <c:grouping val="clustered"/>
        <c:varyColors val="0"/>
        <c:ser>
          <c:idx val="0"/>
          <c:order val="0"/>
          <c:tx>
            <c:v>Total</c:v>
          </c:tx>
          <c:invertIfNegative val="0"/>
          <c:cat>
            <c:strLit>
              <c:ptCount val="46"/>
              <c:pt idx="0">
                <c:v>(Nam Hoi) Host families</c:v>
              </c:pt>
              <c:pt idx="1">
                <c:v>5 Ward Baptist Church(lon Khin)</c:v>
              </c:pt>
              <c:pt idx="2">
                <c:v>AG Church, Hmaw Si Sa</c:v>
              </c:pt>
              <c:pt idx="3">
                <c:v>AG Church, Maw Wan</c:v>
              </c:pt>
              <c:pt idx="4">
                <c:v>Bang Lung</c:v>
              </c:pt>
              <c:pt idx="5">
                <c:v>Baptist Church, Hmaw Si Sar(Lon Khin)</c:v>
              </c:pt>
              <c:pt idx="6">
                <c:v>Baptist Church, Naung Hmee VT</c:v>
              </c:pt>
              <c:pt idx="7">
                <c:v>Bum Tsit Pa * (1)</c:v>
              </c:pt>
              <c:pt idx="8">
                <c:v>Bum Tsit Pa * (2)</c:v>
              </c:pt>
              <c:pt idx="9">
                <c:v>Chin Church, Seik Mu</c:v>
              </c:pt>
              <c:pt idx="10">
                <c:v>Cultural Compound</c:v>
              </c:pt>
              <c:pt idx="11">
                <c:v>Dhama Rakhita, Nyein Chan Tar Yar Ward(Lon Khin)</c:v>
              </c:pt>
              <c:pt idx="12">
                <c:v>Hmaw Wan, Anglican</c:v>
              </c:pt>
              <c:pt idx="13">
                <c:v>Hpakant Baptist Church, Nam Ma Hpit</c:v>
              </c:pt>
              <c:pt idx="14">
                <c:v>Jaw 2</c:v>
              </c:pt>
              <c:pt idx="15">
                <c:v>Kone Khem Camp</c:v>
              </c:pt>
              <c:pt idx="16">
                <c:v>Kutkai downtown (KBC Church)</c:v>
              </c:pt>
              <c:pt idx="17">
                <c:v>Kutkai downtown (RC Church)</c:v>
              </c:pt>
              <c:pt idx="18">
                <c:v>Lana Zup Ja *</c:v>
              </c:pt>
              <c:pt idx="19">
                <c:v>Lisu Baptist Church, Maw Shan Vil,. Seik Mu</c:v>
              </c:pt>
              <c:pt idx="20">
                <c:v>Lisu Baptist Church, Maw Wan Ward</c:v>
              </c:pt>
              <c:pt idx="21">
                <c:v>Mandung - Jinghpaw</c:v>
              </c:pt>
              <c:pt idx="22">
                <c:v>Mandung - RC</c:v>
              </c:pt>
              <c:pt idx="23">
                <c:v>Maw Wan, Mu-yin Baptist Church</c:v>
              </c:pt>
              <c:pt idx="24">
                <c:v>Mine Yu Lay village</c:v>
              </c:pt>
              <c:pt idx="25">
                <c:v>Mungji Pa Dabang (Baptist Church)         </c:v>
              </c:pt>
              <c:pt idx="26">
                <c:v>Mungji Pa Dabang (RC Church)         </c:v>
              </c:pt>
              <c:pt idx="27">
                <c:v>Muse KBC Church</c:v>
              </c:pt>
              <c:pt idx="28">
                <c:v>Nam Hkawng/Manaung kaung</c:v>
              </c:pt>
              <c:pt idx="29">
                <c:v>Nam Hpak Ka Mare </c:v>
              </c:pt>
              <c:pt idx="30">
                <c:v>Nam Ma Phyit, COC</c:v>
              </c:pt>
              <c:pt idx="31">
                <c:v>Namtu Baptist</c:v>
              </c:pt>
              <c:pt idx="32">
                <c:v>Narte</c:v>
              </c:pt>
              <c:pt idx="33">
                <c:v>Nhkawng Pa </c:v>
              </c:pt>
              <c:pt idx="34">
                <c:v>Pa Kahtawng 1 A</c:v>
              </c:pt>
              <c:pt idx="35">
                <c:v>Pa Kahtawng 1B</c:v>
              </c:pt>
              <c:pt idx="36">
                <c:v>Pa Kahtawng 2</c:v>
              </c:pt>
              <c:pt idx="37">
                <c:v>Pa Kahtawng Boarding High School </c:v>
              </c:pt>
              <c:pt idx="38">
                <c:v>Pa Kahtawng Boarding Middle School </c:v>
              </c:pt>
              <c:pt idx="39">
                <c:v>Pa Kahtawng Host Families</c:v>
              </c:pt>
              <c:pt idx="40">
                <c:v>Pa Kahtawng Primary school</c:v>
              </c:pt>
              <c:pt idx="41">
                <c:v>Rawan Baptist Church, Maw Shan Vil., Seik Mu</c:v>
              </c:pt>
              <c:pt idx="42">
                <c:v>Sai Nai Baptish Church, Maw Shan Vil., Seki Mu</c:v>
              </c:pt>
              <c:pt idx="43">
                <c:v>Ward 2 Sai Taung Baptist Church, Seik Mu </c:v>
              </c:pt>
              <c:pt idx="44">
                <c:v>Yumar Baptist Church</c:v>
              </c:pt>
              <c:pt idx="45">
                <c:v>Zup Aung Camp</c:v>
              </c:pt>
            </c:strLit>
          </c:cat>
          <c:val>
            <c:numLit>
              <c:formatCode>General</c:formatCode>
              <c:ptCount val="46"/>
              <c:pt idx="0">
                <c:v>42004</c:v>
              </c:pt>
              <c:pt idx="1">
                <c:v>42004</c:v>
              </c:pt>
              <c:pt idx="2">
                <c:v>42004</c:v>
              </c:pt>
              <c:pt idx="3">
                <c:v>42004</c:v>
              </c:pt>
              <c:pt idx="4">
                <c:v>42035</c:v>
              </c:pt>
              <c:pt idx="5">
                <c:v>42004</c:v>
              </c:pt>
              <c:pt idx="6">
                <c:v>42004</c:v>
              </c:pt>
              <c:pt idx="7">
                <c:v>42185</c:v>
              </c:pt>
              <c:pt idx="8">
                <c:v>42185</c:v>
              </c:pt>
              <c:pt idx="9">
                <c:v>42004</c:v>
              </c:pt>
              <c:pt idx="10">
                <c:v>42035</c:v>
              </c:pt>
              <c:pt idx="11">
                <c:v>42004</c:v>
              </c:pt>
              <c:pt idx="12">
                <c:v>42004</c:v>
              </c:pt>
              <c:pt idx="13">
                <c:v>42004</c:v>
              </c:pt>
              <c:pt idx="14">
                <c:v>42035</c:v>
              </c:pt>
              <c:pt idx="15">
                <c:v>42035</c:v>
              </c:pt>
              <c:pt idx="16">
                <c:v>42035</c:v>
              </c:pt>
              <c:pt idx="17">
                <c:v>42004</c:v>
              </c:pt>
              <c:pt idx="18">
                <c:v>42185</c:v>
              </c:pt>
              <c:pt idx="19">
                <c:v>42004</c:v>
              </c:pt>
              <c:pt idx="20">
                <c:v>42004</c:v>
              </c:pt>
              <c:pt idx="21">
                <c:v>42035</c:v>
              </c:pt>
              <c:pt idx="22">
                <c:v>42004</c:v>
              </c:pt>
              <c:pt idx="23">
                <c:v>42004</c:v>
              </c:pt>
              <c:pt idx="24">
                <c:v>42035</c:v>
              </c:pt>
              <c:pt idx="25">
                <c:v>42035</c:v>
              </c:pt>
              <c:pt idx="26">
                <c:v>42004</c:v>
              </c:pt>
              <c:pt idx="27">
                <c:v>42035</c:v>
              </c:pt>
              <c:pt idx="28">
                <c:v>42035</c:v>
              </c:pt>
              <c:pt idx="29">
                <c:v>42035</c:v>
              </c:pt>
              <c:pt idx="30">
                <c:v>42004</c:v>
              </c:pt>
              <c:pt idx="31">
                <c:v>42035</c:v>
              </c:pt>
              <c:pt idx="32">
                <c:v>42035</c:v>
              </c:pt>
              <c:pt idx="33">
                <c:v>42185</c:v>
              </c:pt>
              <c:pt idx="34">
                <c:v>42185</c:v>
              </c:pt>
              <c:pt idx="35">
                <c:v>42185</c:v>
              </c:pt>
              <c:pt idx="36">
                <c:v>42185</c:v>
              </c:pt>
              <c:pt idx="37">
                <c:v>42185</c:v>
              </c:pt>
              <c:pt idx="38">
                <c:v>42185</c:v>
              </c:pt>
              <c:pt idx="39">
                <c:v>42185</c:v>
              </c:pt>
              <c:pt idx="40">
                <c:v>42185</c:v>
              </c:pt>
              <c:pt idx="41">
                <c:v>42004</c:v>
              </c:pt>
              <c:pt idx="42">
                <c:v>42004</c:v>
              </c:pt>
              <c:pt idx="43">
                <c:v>42004</c:v>
              </c:pt>
              <c:pt idx="44">
                <c:v>42004</c:v>
              </c:pt>
              <c:pt idx="45">
                <c:v>42035</c:v>
              </c:pt>
            </c:numLit>
          </c:val>
        </c:ser>
        <c:dLbls>
          <c:showLegendKey val="0"/>
          <c:showVal val="0"/>
          <c:showCatName val="0"/>
          <c:showSerName val="0"/>
          <c:showPercent val="0"/>
          <c:showBubbleSize val="0"/>
        </c:dLbls>
        <c:gapWidth val="75"/>
        <c:shape val="box"/>
        <c:axId val="103218176"/>
        <c:axId val="103297792"/>
        <c:axId val="0"/>
      </c:bar3DChart>
      <c:catAx>
        <c:axId val="103218176"/>
        <c:scaling>
          <c:orientation val="minMax"/>
        </c:scaling>
        <c:delete val="0"/>
        <c:axPos val="l"/>
        <c:numFmt formatCode="General" sourceLinked="1"/>
        <c:majorTickMark val="none"/>
        <c:minorTickMark val="none"/>
        <c:tickLblPos val="nextTo"/>
        <c:txPr>
          <a:bodyPr rot="-2040000" vert="horz"/>
          <a:lstStyle/>
          <a:p>
            <a:pPr>
              <a:defRPr sz="1000" b="0" i="0" u="none" strike="noStrike" baseline="0">
                <a:solidFill>
                  <a:srgbClr val="000000"/>
                </a:solidFill>
                <a:latin typeface="Calibri"/>
                <a:ea typeface="Calibri"/>
                <a:cs typeface="Calibri"/>
              </a:defRPr>
            </a:pPr>
            <a:endParaRPr lang="en-US"/>
          </a:p>
        </c:txPr>
        <c:crossAx val="103297792"/>
        <c:crosses val="autoZero"/>
        <c:auto val="1"/>
        <c:lblAlgn val="ctr"/>
        <c:lblOffset val="100"/>
        <c:noMultiLvlLbl val="0"/>
      </c:catAx>
      <c:valAx>
        <c:axId val="103297792"/>
        <c:scaling>
          <c:orientation val="minMax"/>
          <c:min val="41974"/>
        </c:scaling>
        <c:delete val="0"/>
        <c:axPos val="b"/>
        <c:majorGridlines/>
        <c:numFmt formatCode="[$-409]d\-mmm\-yy;@" sourceLinked="0"/>
        <c:majorTickMark val="none"/>
        <c:minorTickMark val="none"/>
        <c:tickLblPos val="nextTo"/>
        <c:spPr>
          <a:ln w="9525">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103218176"/>
        <c:crosses val="autoZero"/>
        <c:crossBetween val="between"/>
        <c:majorUnit val="50"/>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SituationAnalysis!$C$14:$C$16</c:f>
              <c:numCache>
                <c:formatCode>0%</c:formatCode>
                <c:ptCount val="2"/>
                <c:pt idx="0">
                  <c:v>0.96217982566904681</c:v>
                </c:pt>
                <c:pt idx="1">
                  <c:v>1</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SituationAnalysis!$D$14:$D$16</c:f>
              <c:numCache>
                <c:formatCode>0%</c:formatCode>
                <c:ptCount val="2"/>
                <c:pt idx="0">
                  <c:v>0.84094405032486164</c:v>
                </c:pt>
                <c:pt idx="1">
                  <c:v>0.97596201404688887</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SituationAnalysis!$E$14:$E$16</c:f>
              <c:numCache>
                <c:formatCode>0%</c:formatCode>
                <c:ptCount val="2"/>
                <c:pt idx="0">
                  <c:v>0.61064811626145055</c:v>
                </c:pt>
                <c:pt idx="1">
                  <c:v>0.53262769149602662</c:v>
                </c:pt>
              </c:numCache>
            </c:numRef>
          </c:val>
        </c:ser>
        <c:dLbls>
          <c:showLegendKey val="0"/>
          <c:showVal val="1"/>
          <c:showCatName val="0"/>
          <c:showSerName val="0"/>
          <c:showPercent val="0"/>
          <c:showBubbleSize val="0"/>
        </c:dLbls>
        <c:gapWidth val="150"/>
        <c:shape val="box"/>
        <c:axId val="103380864"/>
        <c:axId val="103382400"/>
        <c:axId val="0"/>
      </c:bar3DChart>
      <c:catAx>
        <c:axId val="10338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382400"/>
        <c:crosses val="autoZero"/>
        <c:auto val="1"/>
        <c:lblAlgn val="ctr"/>
        <c:lblOffset val="100"/>
        <c:noMultiLvlLbl val="0"/>
      </c:catAx>
      <c:valAx>
        <c:axId val="10338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38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2"/>
          </a:solidFill>
          <a:ln>
            <a:noFill/>
          </a:ln>
          <a:effectLst/>
          <a:sp3d/>
        </c:spPr>
        <c:marker>
          <c:symbol val="none"/>
        </c:marker>
      </c:pivotFmt>
      <c:pivotFmt>
        <c:idx val="11"/>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SituationAnalysis!$C$32</c:f>
              <c:strCache>
                <c:ptCount val="1"/>
                <c:pt idx="0">
                  <c:v>% Water Need coverage</c:v>
                </c:pt>
              </c:strCache>
            </c:strRef>
          </c:tx>
          <c:spPr>
            <a:solidFill>
              <a:schemeClr val="accent1"/>
            </a:solidFill>
            <a:ln>
              <a:noFill/>
            </a:ln>
            <a:effectLst/>
            <a:sp3d/>
          </c:spPr>
          <c:invertIfNegative val="0"/>
          <c:cat>
            <c:strRef>
              <c:f>SituationAnalysis!$B$33:$B$51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SituationAnalysis!$C$33:$C$51</c:f>
              <c:numCache>
                <c:formatCode>0%</c:formatCode>
                <c:ptCount val="18"/>
                <c:pt idx="0">
                  <c:v>1</c:v>
                </c:pt>
                <c:pt idx="1">
                  <c:v>1</c:v>
                </c:pt>
                <c:pt idx="2">
                  <c:v>1</c:v>
                </c:pt>
                <c:pt idx="3">
                  <c:v>0</c:v>
                </c:pt>
                <c:pt idx="4">
                  <c:v>0.54029733959311421</c:v>
                </c:pt>
                <c:pt idx="5">
                  <c:v>0.99853596237111797</c:v>
                </c:pt>
                <c:pt idx="6">
                  <c:v>1</c:v>
                </c:pt>
                <c:pt idx="7">
                  <c:v>1</c:v>
                </c:pt>
                <c:pt idx="8">
                  <c:v>1</c:v>
                </c:pt>
                <c:pt idx="9">
                  <c:v>1</c:v>
                </c:pt>
                <c:pt idx="10">
                  <c:v>0.90513833992094861</c:v>
                </c:pt>
                <c:pt idx="11">
                  <c:v>1</c:v>
                </c:pt>
                <c:pt idx="12">
                  <c:v>1</c:v>
                </c:pt>
                <c:pt idx="13">
                  <c:v>1</c:v>
                </c:pt>
                <c:pt idx="14">
                  <c:v>1</c:v>
                </c:pt>
                <c:pt idx="15">
                  <c:v>1</c:v>
                </c:pt>
                <c:pt idx="16">
                  <c:v>1</c:v>
                </c:pt>
                <c:pt idx="17">
                  <c:v>1</c:v>
                </c:pt>
              </c:numCache>
            </c:numRef>
          </c:val>
        </c:ser>
        <c:ser>
          <c:idx val="1"/>
          <c:order val="1"/>
          <c:tx>
            <c:strRef>
              <c:f>SituationAnalysis!$D$32</c:f>
              <c:strCache>
                <c:ptCount val="1"/>
                <c:pt idx="0">
                  <c:v>%  Latrine need coverage</c:v>
                </c:pt>
              </c:strCache>
            </c:strRef>
          </c:tx>
          <c:spPr>
            <a:solidFill>
              <a:schemeClr val="accent2"/>
            </a:solidFill>
            <a:ln>
              <a:noFill/>
            </a:ln>
            <a:effectLst/>
            <a:sp3d/>
          </c:spPr>
          <c:invertIfNegative val="0"/>
          <c:cat>
            <c:strRef>
              <c:f>SituationAnalysis!$B$33:$B$51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SituationAnalysis!$D$33:$D$51</c:f>
              <c:numCache>
                <c:formatCode>0%</c:formatCode>
                <c:ptCount val="18"/>
                <c:pt idx="0">
                  <c:v>0.76138082794663731</c:v>
                </c:pt>
                <c:pt idx="1">
                  <c:v>0.84009452540370222</c:v>
                </c:pt>
                <c:pt idx="2">
                  <c:v>0.79617486338797816</c:v>
                </c:pt>
                <c:pt idx="3">
                  <c:v>0</c:v>
                </c:pt>
                <c:pt idx="4">
                  <c:v>0.8491784037558685</c:v>
                </c:pt>
                <c:pt idx="5">
                  <c:v>0.84870572843659475</c:v>
                </c:pt>
                <c:pt idx="6">
                  <c:v>1</c:v>
                </c:pt>
                <c:pt idx="7">
                  <c:v>1</c:v>
                </c:pt>
                <c:pt idx="8">
                  <c:v>1</c:v>
                </c:pt>
                <c:pt idx="9">
                  <c:v>0.96547511552557497</c:v>
                </c:pt>
                <c:pt idx="10">
                  <c:v>1</c:v>
                </c:pt>
                <c:pt idx="11">
                  <c:v>0.86726371341755959</c:v>
                </c:pt>
                <c:pt idx="12">
                  <c:v>0.7939429928741093</c:v>
                </c:pt>
                <c:pt idx="13">
                  <c:v>1</c:v>
                </c:pt>
                <c:pt idx="14">
                  <c:v>1</c:v>
                </c:pt>
                <c:pt idx="15">
                  <c:v>1</c:v>
                </c:pt>
                <c:pt idx="16">
                  <c:v>0.97236585085602667</c:v>
                </c:pt>
                <c:pt idx="17">
                  <c:v>0.20408163265306123</c:v>
                </c:pt>
              </c:numCache>
            </c:numRef>
          </c:val>
        </c:ser>
        <c:ser>
          <c:idx val="2"/>
          <c:order val="2"/>
          <c:tx>
            <c:strRef>
              <c:f>SituationAnalysis!$E$32</c:f>
              <c:strCache>
                <c:ptCount val="1"/>
                <c:pt idx="0">
                  <c:v>% Bathroom need coverage</c:v>
                </c:pt>
              </c:strCache>
            </c:strRef>
          </c:tx>
          <c:spPr>
            <a:solidFill>
              <a:schemeClr val="accent3"/>
            </a:solidFill>
            <a:ln>
              <a:noFill/>
            </a:ln>
            <a:effectLst/>
            <a:sp3d/>
          </c:spPr>
          <c:invertIfNegative val="0"/>
          <c:cat>
            <c:strRef>
              <c:f>SituationAnalysis!$B$33:$B$51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SituationAnalysis!$E$33:$E$51</c:f>
              <c:numCache>
                <c:formatCode>0%</c:formatCode>
                <c:ptCount val="18"/>
                <c:pt idx="0">
                  <c:v>0.44037959015266126</c:v>
                </c:pt>
                <c:pt idx="1">
                  <c:v>0.64592359196534066</c:v>
                </c:pt>
                <c:pt idx="2">
                  <c:v>0.72923497267759563</c:v>
                </c:pt>
                <c:pt idx="3">
                  <c:v>0</c:v>
                </c:pt>
                <c:pt idx="4">
                  <c:v>0.67194835680751175</c:v>
                </c:pt>
                <c:pt idx="5">
                  <c:v>0.40061676478833752</c:v>
                </c:pt>
                <c:pt idx="6">
                  <c:v>1</c:v>
                </c:pt>
                <c:pt idx="7">
                  <c:v>0.82828282828282829</c:v>
                </c:pt>
                <c:pt idx="8">
                  <c:v>1</c:v>
                </c:pt>
                <c:pt idx="9">
                  <c:v>0.57088224358633877</c:v>
                </c:pt>
                <c:pt idx="10">
                  <c:v>1</c:v>
                </c:pt>
                <c:pt idx="11">
                  <c:v>0.58531904685750835</c:v>
                </c:pt>
                <c:pt idx="12">
                  <c:v>0.83016627078384797</c:v>
                </c:pt>
                <c:pt idx="13">
                  <c:v>1</c:v>
                </c:pt>
                <c:pt idx="14">
                  <c:v>0</c:v>
                </c:pt>
                <c:pt idx="15">
                  <c:v>1</c:v>
                </c:pt>
                <c:pt idx="16">
                  <c:v>0.64615649775939332</c:v>
                </c:pt>
                <c:pt idx="17">
                  <c:v>0</c:v>
                </c:pt>
              </c:numCache>
            </c:numRef>
          </c:val>
        </c:ser>
        <c:dLbls>
          <c:showLegendKey val="0"/>
          <c:showVal val="0"/>
          <c:showCatName val="0"/>
          <c:showSerName val="0"/>
          <c:showPercent val="0"/>
          <c:showBubbleSize val="0"/>
        </c:dLbls>
        <c:gapWidth val="150"/>
        <c:shape val="box"/>
        <c:axId val="104367232"/>
        <c:axId val="104368768"/>
        <c:axId val="0"/>
      </c:bar3DChart>
      <c:catAx>
        <c:axId val="104367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68768"/>
        <c:crosses val="autoZero"/>
        <c:auto val="1"/>
        <c:lblAlgn val="ctr"/>
        <c:lblOffset val="100"/>
        <c:noMultiLvlLbl val="0"/>
      </c:catAx>
      <c:valAx>
        <c:axId val="104368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6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SituationAnalysis!$C$63</c:f>
              <c:strCache>
                <c:ptCount val="1"/>
                <c:pt idx="0">
                  <c:v>% Water Need coverage</c:v>
                </c:pt>
              </c:strCache>
            </c:strRef>
          </c:tx>
          <c:spPr>
            <a:solidFill>
              <a:schemeClr val="accent1"/>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SituationAnalysis!$C$64:$C$74</c:f>
              <c:numCache>
                <c:formatCode>0%</c:formatCode>
                <c:ptCount val="10"/>
                <c:pt idx="0">
                  <c:v>1</c:v>
                </c:pt>
                <c:pt idx="1">
                  <c:v>0.99355572403335857</c:v>
                </c:pt>
                <c:pt idx="2">
                  <c:v>1</c:v>
                </c:pt>
                <c:pt idx="3">
                  <c:v>1</c:v>
                </c:pt>
                <c:pt idx="4">
                  <c:v>1</c:v>
                </c:pt>
                <c:pt idx="5">
                  <c:v>1</c:v>
                </c:pt>
                <c:pt idx="6">
                  <c:v>1</c:v>
                </c:pt>
                <c:pt idx="7">
                  <c:v>0.9893994893994893</c:v>
                </c:pt>
                <c:pt idx="8">
                  <c:v>0.69358178053830222</c:v>
                </c:pt>
                <c:pt idx="9">
                  <c:v>0.40390544707091469</c:v>
                </c:pt>
              </c:numCache>
            </c:numRef>
          </c:val>
        </c:ser>
        <c:ser>
          <c:idx val="1"/>
          <c:order val="1"/>
          <c:tx>
            <c:strRef>
              <c:f>SituationAnalysis!$D$63</c:f>
              <c:strCache>
                <c:ptCount val="1"/>
                <c:pt idx="0">
                  <c:v>% Latrine need coverage</c:v>
                </c:pt>
              </c:strCache>
            </c:strRef>
          </c:tx>
          <c:spPr>
            <a:solidFill>
              <a:schemeClr val="accent2"/>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SituationAnalysis!$D$64:$D$74</c:f>
              <c:numCache>
                <c:formatCode>0%</c:formatCode>
                <c:ptCount val="10"/>
                <c:pt idx="0">
                  <c:v>0.79617486338797816</c:v>
                </c:pt>
                <c:pt idx="1">
                  <c:v>0.83965125094768767</c:v>
                </c:pt>
                <c:pt idx="2">
                  <c:v>0.89573723556545248</c:v>
                </c:pt>
                <c:pt idx="3">
                  <c:v>1</c:v>
                </c:pt>
                <c:pt idx="4">
                  <c:v>0.81171037727629169</c:v>
                </c:pt>
                <c:pt idx="5">
                  <c:v>1</c:v>
                </c:pt>
                <c:pt idx="6">
                  <c:v>0.90890737301138658</c:v>
                </c:pt>
                <c:pt idx="7">
                  <c:v>0.82317682317682317</c:v>
                </c:pt>
                <c:pt idx="8">
                  <c:v>0.84906832298136647</c:v>
                </c:pt>
                <c:pt idx="9">
                  <c:v>0.65056526207605347</c:v>
                </c:pt>
              </c:numCache>
            </c:numRef>
          </c:val>
        </c:ser>
        <c:ser>
          <c:idx val="2"/>
          <c:order val="2"/>
          <c:tx>
            <c:strRef>
              <c:f>SituationAnalysis!$E$63</c:f>
              <c:strCache>
                <c:ptCount val="1"/>
                <c:pt idx="0">
                  <c:v>% Bathroom need coverage</c:v>
                </c:pt>
              </c:strCache>
            </c:strRef>
          </c:tx>
          <c:spPr>
            <a:solidFill>
              <a:schemeClr val="accent3"/>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SituationAnalysis!$E$64:$E$74</c:f>
              <c:numCache>
                <c:formatCode>0%</c:formatCode>
                <c:ptCount val="10"/>
                <c:pt idx="0">
                  <c:v>0.72923497267759563</c:v>
                </c:pt>
                <c:pt idx="1">
                  <c:v>0.62168309325246396</c:v>
                </c:pt>
                <c:pt idx="2">
                  <c:v>0.60084300938444413</c:v>
                </c:pt>
                <c:pt idx="3">
                  <c:v>0.89789789789789787</c:v>
                </c:pt>
                <c:pt idx="4">
                  <c:v>0.54674566524353052</c:v>
                </c:pt>
                <c:pt idx="5">
                  <c:v>0.62812803103782733</c:v>
                </c:pt>
                <c:pt idx="6">
                  <c:v>0.41088589194863928</c:v>
                </c:pt>
                <c:pt idx="7">
                  <c:v>0.5977355977355977</c:v>
                </c:pt>
                <c:pt idx="8">
                  <c:v>0.71118012422360244</c:v>
                </c:pt>
                <c:pt idx="9">
                  <c:v>0.40390544707091469</c:v>
                </c:pt>
              </c:numCache>
            </c:numRef>
          </c:val>
        </c:ser>
        <c:dLbls>
          <c:showLegendKey val="0"/>
          <c:showVal val="0"/>
          <c:showCatName val="0"/>
          <c:showSerName val="0"/>
          <c:showPercent val="0"/>
          <c:showBubbleSize val="0"/>
        </c:dLbls>
        <c:gapWidth val="150"/>
        <c:shape val="box"/>
        <c:axId val="104439808"/>
        <c:axId val="104441344"/>
        <c:axId val="0"/>
      </c:bar3DChart>
      <c:catAx>
        <c:axId val="104439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41344"/>
        <c:crosses val="autoZero"/>
        <c:auto val="1"/>
        <c:lblAlgn val="ctr"/>
        <c:lblOffset val="100"/>
        <c:noMultiLvlLbl val="0"/>
      </c:catAx>
      <c:valAx>
        <c:axId val="10444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3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July.xlsx]SituationAnalysis!PivotTable12</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SituationAnalysis!$C$118</c:f>
              <c:strCache>
                <c:ptCount val="1"/>
                <c:pt idx="0">
                  <c:v>% Water Need coverage</c:v>
                </c:pt>
              </c:strCache>
            </c:strRef>
          </c:tx>
          <c:spPr>
            <a:solidFill>
              <a:schemeClr val="accent1"/>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SituationAnalysis!$C$119:$C$124</c:f>
              <c:numCache>
                <c:formatCode>0%</c:formatCode>
                <c:ptCount val="5"/>
                <c:pt idx="0">
                  <c:v>0.99166987056260414</c:v>
                </c:pt>
                <c:pt idx="1">
                  <c:v>0.95344024324456866</c:v>
                </c:pt>
                <c:pt idx="2">
                  <c:v>1</c:v>
                </c:pt>
                <c:pt idx="3">
                  <c:v>1</c:v>
                </c:pt>
                <c:pt idx="4">
                  <c:v>1</c:v>
                </c:pt>
              </c:numCache>
            </c:numRef>
          </c:val>
        </c:ser>
        <c:ser>
          <c:idx val="1"/>
          <c:order val="1"/>
          <c:tx>
            <c:strRef>
              <c:f>SituationAnalysis!$D$118</c:f>
              <c:strCache>
                <c:ptCount val="1"/>
                <c:pt idx="0">
                  <c:v>% Latrine need coverage</c:v>
                </c:pt>
              </c:strCache>
            </c:strRef>
          </c:tx>
          <c:spPr>
            <a:solidFill>
              <a:schemeClr val="accent2"/>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SituationAnalysis!$D$119:$D$124</c:f>
              <c:numCache>
                <c:formatCode>0%</c:formatCode>
                <c:ptCount val="5"/>
                <c:pt idx="0">
                  <c:v>0.91977444572600286</c:v>
                </c:pt>
                <c:pt idx="1">
                  <c:v>0.83798734735912905</c:v>
                </c:pt>
                <c:pt idx="2">
                  <c:v>0.99435281462889924</c:v>
                </c:pt>
                <c:pt idx="3">
                  <c:v>0.89323011757832471</c:v>
                </c:pt>
                <c:pt idx="4">
                  <c:v>1</c:v>
                </c:pt>
              </c:numCache>
            </c:numRef>
          </c:val>
        </c:ser>
        <c:ser>
          <c:idx val="2"/>
          <c:order val="2"/>
          <c:tx>
            <c:strRef>
              <c:f>SituationAnalysis!$E$118</c:f>
              <c:strCache>
                <c:ptCount val="1"/>
                <c:pt idx="0">
                  <c:v>% Bathroom need coverage</c:v>
                </c:pt>
              </c:strCache>
            </c:strRef>
          </c:tx>
          <c:spPr>
            <a:solidFill>
              <a:schemeClr val="accent3"/>
            </a:solidFill>
            <a:ln>
              <a:noFill/>
            </a:ln>
            <a:effectLst/>
            <a:sp3d/>
          </c:spPr>
          <c:invertIfNegative val="0"/>
          <c:cat>
            <c:strRef>
              <c:f>SituationAnalysis!$B$119:$B$124</c:f>
              <c:strCache>
                <c:ptCount val="5"/>
                <c:pt idx="0">
                  <c:v>1. Small</c:v>
                </c:pt>
                <c:pt idx="1">
                  <c:v>2. Medium</c:v>
                </c:pt>
                <c:pt idx="2">
                  <c:v>3. Large</c:v>
                </c:pt>
                <c:pt idx="3">
                  <c:v>4. Big</c:v>
                </c:pt>
                <c:pt idx="4">
                  <c:v>5. Massive</c:v>
                </c:pt>
              </c:strCache>
            </c:strRef>
          </c:cat>
          <c:val>
            <c:numRef>
              <c:f>SituationAnalysis!$E$119:$E$124</c:f>
              <c:numCache>
                <c:formatCode>0%</c:formatCode>
                <c:ptCount val="5"/>
                <c:pt idx="0">
                  <c:v>0.90080738177623987</c:v>
                </c:pt>
                <c:pt idx="1">
                  <c:v>0.59108430189789618</c:v>
                </c:pt>
                <c:pt idx="2">
                  <c:v>0.44227321620652565</c:v>
                </c:pt>
                <c:pt idx="3">
                  <c:v>0.41627108741692836</c:v>
                </c:pt>
                <c:pt idx="4">
                  <c:v>0.68994066510280116</c:v>
                </c:pt>
              </c:numCache>
            </c:numRef>
          </c:val>
        </c:ser>
        <c:dLbls>
          <c:showLegendKey val="0"/>
          <c:showVal val="0"/>
          <c:showCatName val="0"/>
          <c:showSerName val="0"/>
          <c:showPercent val="0"/>
          <c:showBubbleSize val="0"/>
        </c:dLbls>
        <c:gapWidth val="150"/>
        <c:shape val="box"/>
        <c:axId val="104118912"/>
        <c:axId val="104124800"/>
        <c:axId val="0"/>
      </c:bar3DChart>
      <c:catAx>
        <c:axId val="104118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24800"/>
        <c:crosses val="autoZero"/>
        <c:auto val="1"/>
        <c:lblAlgn val="ctr"/>
        <c:lblOffset val="100"/>
        <c:noMultiLvlLbl val="0"/>
      </c:catAx>
      <c:valAx>
        <c:axId val="104124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1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July.xlsx]SituationAnalysis!PivotTable13</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SituationAnalysis!$C$137</c:f>
              <c:strCache>
                <c:ptCount val="1"/>
                <c:pt idx="0">
                  <c:v>% Water Need coverage</c:v>
                </c:pt>
              </c:strCache>
            </c:strRef>
          </c:tx>
          <c:spPr>
            <a:solidFill>
              <a:schemeClr val="accent1"/>
            </a:solidFill>
            <a:ln>
              <a:noFill/>
            </a:ln>
            <a:effectLst/>
            <a:sp3d/>
          </c:spPr>
          <c:invertIfNegative val="0"/>
          <c:cat>
            <c:strRef>
              <c:f>SituationAnalysis!$B$138:$B$141</c:f>
              <c:strCache>
                <c:ptCount val="3"/>
                <c:pt idx="0">
                  <c:v>Camp</c:v>
                </c:pt>
                <c:pt idx="1">
                  <c:v>School</c:v>
                </c:pt>
                <c:pt idx="2">
                  <c:v>Village</c:v>
                </c:pt>
              </c:strCache>
            </c:strRef>
          </c:cat>
          <c:val>
            <c:numRef>
              <c:f>SituationAnalysis!$C$138:$C$141</c:f>
              <c:numCache>
                <c:formatCode>0%</c:formatCode>
                <c:ptCount val="3"/>
                <c:pt idx="0">
                  <c:v>0.97770378791980228</c:v>
                </c:pt>
                <c:pt idx="1">
                  <c:v>1</c:v>
                </c:pt>
                <c:pt idx="2">
                  <c:v>0.8414292980671414</c:v>
                </c:pt>
              </c:numCache>
            </c:numRef>
          </c:val>
        </c:ser>
        <c:ser>
          <c:idx val="1"/>
          <c:order val="1"/>
          <c:tx>
            <c:strRef>
              <c:f>SituationAnalysis!$D$137</c:f>
              <c:strCache>
                <c:ptCount val="1"/>
                <c:pt idx="0">
                  <c:v>% Latrine need coverage</c:v>
                </c:pt>
              </c:strCache>
            </c:strRef>
          </c:tx>
          <c:spPr>
            <a:solidFill>
              <a:schemeClr val="accent2"/>
            </a:solidFill>
            <a:ln>
              <a:noFill/>
            </a:ln>
            <a:effectLst/>
            <a:sp3d/>
          </c:spPr>
          <c:invertIfNegative val="0"/>
          <c:cat>
            <c:strRef>
              <c:f>SituationAnalysis!$B$138:$B$141</c:f>
              <c:strCache>
                <c:ptCount val="3"/>
                <c:pt idx="0">
                  <c:v>Camp</c:v>
                </c:pt>
                <c:pt idx="1">
                  <c:v>School</c:v>
                </c:pt>
                <c:pt idx="2">
                  <c:v>Village</c:v>
                </c:pt>
              </c:strCache>
            </c:strRef>
          </c:cat>
          <c:val>
            <c:numRef>
              <c:f>SituationAnalysis!$D$138:$D$141</c:f>
              <c:numCache>
                <c:formatCode>0%</c:formatCode>
                <c:ptCount val="3"/>
                <c:pt idx="0">
                  <c:v>0.89636457149044446</c:v>
                </c:pt>
                <c:pt idx="1">
                  <c:v>0.88604651162790693</c:v>
                </c:pt>
                <c:pt idx="2">
                  <c:v>0.8414292980671414</c:v>
                </c:pt>
              </c:numCache>
            </c:numRef>
          </c:val>
        </c:ser>
        <c:ser>
          <c:idx val="2"/>
          <c:order val="2"/>
          <c:tx>
            <c:strRef>
              <c:f>SituationAnalysis!$E$137</c:f>
              <c:strCache>
                <c:ptCount val="1"/>
                <c:pt idx="0">
                  <c:v>% Bathroom need coverage</c:v>
                </c:pt>
              </c:strCache>
            </c:strRef>
          </c:tx>
          <c:spPr>
            <a:solidFill>
              <a:schemeClr val="accent3"/>
            </a:solidFill>
            <a:ln>
              <a:noFill/>
            </a:ln>
            <a:effectLst/>
            <a:sp3d/>
          </c:spPr>
          <c:invertIfNegative val="0"/>
          <c:cat>
            <c:strRef>
              <c:f>SituationAnalysis!$B$138:$B$141</c:f>
              <c:strCache>
                <c:ptCount val="3"/>
                <c:pt idx="0">
                  <c:v>Camp</c:v>
                </c:pt>
                <c:pt idx="1">
                  <c:v>School</c:v>
                </c:pt>
                <c:pt idx="2">
                  <c:v>Village</c:v>
                </c:pt>
              </c:strCache>
            </c:strRef>
          </c:cat>
          <c:val>
            <c:numRef>
              <c:f>SituationAnalysis!$E$138:$E$141</c:f>
              <c:numCache>
                <c:formatCode>0%</c:formatCode>
                <c:ptCount val="3"/>
                <c:pt idx="0">
                  <c:v>0.57862324725244974</c:v>
                </c:pt>
                <c:pt idx="1">
                  <c:v>0.72976744186046516</c:v>
                </c:pt>
                <c:pt idx="2">
                  <c:v>0.31396236012207529</c:v>
                </c:pt>
              </c:numCache>
            </c:numRef>
          </c:val>
        </c:ser>
        <c:dLbls>
          <c:showLegendKey val="0"/>
          <c:showVal val="0"/>
          <c:showCatName val="0"/>
          <c:showSerName val="0"/>
          <c:showPercent val="0"/>
          <c:showBubbleSize val="0"/>
        </c:dLbls>
        <c:gapWidth val="150"/>
        <c:shape val="box"/>
        <c:axId val="104195584"/>
        <c:axId val="104197120"/>
        <c:axId val="0"/>
      </c:bar3DChart>
      <c:catAx>
        <c:axId val="104195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97120"/>
        <c:crosses val="autoZero"/>
        <c:auto val="1"/>
        <c:lblAlgn val="ctr"/>
        <c:lblOffset val="100"/>
        <c:noMultiLvlLbl val="0"/>
      </c:catAx>
      <c:valAx>
        <c:axId val="104197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95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July.xlsx]SituationAnalysis!PivotTable18</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 of latrine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SituationAnalysis!$C$253:$C$271</c:f>
              <c:numCache>
                <c:formatCode>0%</c:formatCode>
                <c:ptCount val="18"/>
                <c:pt idx="0">
                  <c:v>0.5403658368862605</c:v>
                </c:pt>
                <c:pt idx="1">
                  <c:v>0.37022449783379285</c:v>
                </c:pt>
                <c:pt idx="2">
                  <c:v>0.73387978142076504</c:v>
                </c:pt>
                <c:pt idx="3">
                  <c:v>0</c:v>
                </c:pt>
                <c:pt idx="4">
                  <c:v>0.14377934272300469</c:v>
                </c:pt>
                <c:pt idx="5">
                  <c:v>0.53836090085038779</c:v>
                </c:pt>
                <c:pt idx="6">
                  <c:v>0.34682080924855491</c:v>
                </c:pt>
                <c:pt idx="7">
                  <c:v>0.82828282828282829</c:v>
                </c:pt>
                <c:pt idx="8">
                  <c:v>1</c:v>
                </c:pt>
                <c:pt idx="9">
                  <c:v>0.89637223136984123</c:v>
                </c:pt>
                <c:pt idx="10">
                  <c:v>0.11857707509881422</c:v>
                </c:pt>
                <c:pt idx="11">
                  <c:v>0.82616344154805699</c:v>
                </c:pt>
                <c:pt idx="12">
                  <c:v>0.40201900237529692</c:v>
                </c:pt>
                <c:pt idx="13">
                  <c:v>0.85106382978723405</c:v>
                </c:pt>
                <c:pt idx="14">
                  <c:v>0</c:v>
                </c:pt>
                <c:pt idx="15">
                  <c:v>0.9563106796116505</c:v>
                </c:pt>
                <c:pt idx="16">
                  <c:v>0.38785476272549696</c:v>
                </c:pt>
                <c:pt idx="17">
                  <c:v>0</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SituationAnalysis!$B$253:$B$271</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SituationAnalysis!$D$253:$D$271</c:f>
              <c:numCache>
                <c:formatCode>0%</c:formatCode>
                <c:ptCount val="18"/>
                <c:pt idx="0">
                  <c:v>0.22101499106037689</c:v>
                </c:pt>
                <c:pt idx="1">
                  <c:v>0.46987002756990942</c:v>
                </c:pt>
                <c:pt idx="2">
                  <c:v>6.2295081967213117E-2</c:v>
                </c:pt>
                <c:pt idx="3">
                  <c:v>0</c:v>
                </c:pt>
                <c:pt idx="4">
                  <c:v>0.70539906103286387</c:v>
                </c:pt>
                <c:pt idx="5">
                  <c:v>0.31034482758620691</c:v>
                </c:pt>
                <c:pt idx="6">
                  <c:v>0.65317919075144504</c:v>
                </c:pt>
                <c:pt idx="7">
                  <c:v>0.17171717171717171</c:v>
                </c:pt>
                <c:pt idx="8">
                  <c:v>0</c:v>
                </c:pt>
                <c:pt idx="9">
                  <c:v>6.910288415573379E-2</c:v>
                </c:pt>
                <c:pt idx="10">
                  <c:v>0.88142292490118579</c:v>
                </c:pt>
                <c:pt idx="11">
                  <c:v>4.1100271869502637E-2</c:v>
                </c:pt>
                <c:pt idx="12">
                  <c:v>0.39192399049881232</c:v>
                </c:pt>
                <c:pt idx="13">
                  <c:v>0.14893617021276595</c:v>
                </c:pt>
                <c:pt idx="14">
                  <c:v>1</c:v>
                </c:pt>
                <c:pt idx="15">
                  <c:v>4.3689320388349488E-2</c:v>
                </c:pt>
                <c:pt idx="16">
                  <c:v>0.58451108813052965</c:v>
                </c:pt>
                <c:pt idx="17">
                  <c:v>0.20408163265306123</c:v>
                </c:pt>
              </c:numCache>
            </c:numRef>
          </c:val>
        </c:ser>
        <c:dLbls>
          <c:showLegendKey val="0"/>
          <c:showVal val="0"/>
          <c:showCatName val="0"/>
          <c:showSerName val="0"/>
          <c:showPercent val="0"/>
          <c:showBubbleSize val="0"/>
        </c:dLbls>
        <c:gapWidth val="150"/>
        <c:shape val="box"/>
        <c:axId val="104305792"/>
        <c:axId val="104307328"/>
        <c:axId val="0"/>
      </c:bar3DChart>
      <c:catAx>
        <c:axId val="104305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7328"/>
        <c:crosses val="autoZero"/>
        <c:auto val="1"/>
        <c:lblAlgn val="ctr"/>
        <c:lblOffset val="100"/>
        <c:noMultiLvlLbl val="0"/>
      </c:catAx>
      <c:valAx>
        <c:axId val="104307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July.xlsx]SituationAnalysis!PivotTable17</c:name>
    <c:fmtId val="4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Population covered</a:t>
            </a:r>
          </a:p>
        </c:rich>
      </c:tx>
      <c:layout>
        <c:manualLayout>
          <c:xMode val="edge"/>
          <c:yMode val="edge"/>
          <c:x val="0.33871861166607908"/>
          <c:y val="9.6618283983199073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078348415403298"/>
          <c:y val="0.13299544828981832"/>
          <c:w val="0.88921651584596706"/>
          <c:h val="0.62655359537936384"/>
        </c:manualLayout>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45830</c:v>
                </c:pt>
                <c:pt idx="1">
                  <c:v>36163</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1459</c:v>
                </c:pt>
                <c:pt idx="1">
                  <c:v>446</c:v>
                </c:pt>
              </c:numCache>
            </c:numRef>
          </c:val>
        </c:ser>
        <c:dLbls>
          <c:showLegendKey val="0"/>
          <c:showVal val="1"/>
          <c:showCatName val="0"/>
          <c:showSerName val="0"/>
          <c:showPercent val="0"/>
          <c:showBubbleSize val="0"/>
        </c:dLbls>
        <c:gapWidth val="150"/>
        <c:shape val="box"/>
        <c:axId val="44882944"/>
        <c:axId val="44888832"/>
        <c:axId val="0"/>
      </c:bar3DChart>
      <c:catAx>
        <c:axId val="4488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44888832"/>
        <c:crosses val="autoZero"/>
        <c:auto val="1"/>
        <c:lblAlgn val="ctr"/>
        <c:lblOffset val="100"/>
        <c:noMultiLvlLbl val="0"/>
      </c:catAx>
      <c:valAx>
        <c:axId val="4488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44882944"/>
        <c:crosses val="autoZero"/>
        <c:crossBetween val="between"/>
        <c:majorUnit val="10000"/>
      </c:valAx>
      <c:spPr>
        <a:noFill/>
        <a:ln>
          <a:noFill/>
        </a:ln>
        <a:effectLst/>
      </c:spPr>
    </c:plotArea>
    <c:legend>
      <c:legendPos val="b"/>
      <c:layout>
        <c:manualLayout>
          <c:xMode val="edge"/>
          <c:yMode val="edge"/>
          <c:x val="0.31046147216672543"/>
          <c:y val="0.87196403669668932"/>
          <c:w val="0.37907705566654915"/>
          <c:h val="0.1280359633033106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July.xlsx]SituationAnalysis!PivotTable20</c:name>
    <c:fmtId val="1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a:t>
            </a:r>
            <a:r>
              <a:rPr lang="en-US" b="1" baseline="0"/>
              <a:t> of latrine coverage</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SituationAnalysis!$C$304</c:f>
              <c:strCache>
                <c:ptCount val="1"/>
                <c:pt idx="0">
                  <c:v>%Coverage Permanent Latrine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SituationAnalysis!$C$305:$C$307</c:f>
              <c:numCache>
                <c:formatCode>0%</c:formatCode>
                <c:ptCount val="2"/>
                <c:pt idx="0">
                  <c:v>0.57019602867474461</c:v>
                </c:pt>
                <c:pt idx="1">
                  <c:v>0.61651506460160066</c:v>
                </c:pt>
              </c:numCache>
            </c:numRef>
          </c:val>
        </c:ser>
        <c:ser>
          <c:idx val="1"/>
          <c:order val="1"/>
          <c:tx>
            <c:strRef>
              <c:f>SituationAnalysis!$D$304</c:f>
              <c:strCache>
                <c:ptCount val="1"/>
                <c:pt idx="0">
                  <c:v>% Coverage Emergency latrine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SituationAnalysis!$D$305:$D$307</c:f>
              <c:numCache>
                <c:formatCode>0%</c:formatCode>
                <c:ptCount val="2"/>
                <c:pt idx="0">
                  <c:v>0.26636215610395653</c:v>
                </c:pt>
                <c:pt idx="1">
                  <c:v>0.34469665929143106</c:v>
                </c:pt>
              </c:numCache>
            </c:numRef>
          </c:val>
        </c:ser>
        <c:dLbls>
          <c:showLegendKey val="0"/>
          <c:showVal val="1"/>
          <c:showCatName val="0"/>
          <c:showSerName val="0"/>
          <c:showPercent val="0"/>
          <c:showBubbleSize val="0"/>
        </c:dLbls>
        <c:gapWidth val="150"/>
        <c:shape val="box"/>
        <c:axId val="104876288"/>
        <c:axId val="104882176"/>
        <c:axId val="0"/>
      </c:bar3DChart>
      <c:catAx>
        <c:axId val="104876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82176"/>
        <c:crosses val="autoZero"/>
        <c:auto val="1"/>
        <c:lblAlgn val="ctr"/>
        <c:lblOffset val="100"/>
        <c:noMultiLvlLbl val="0"/>
      </c:catAx>
      <c:valAx>
        <c:axId val="10488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76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July.xlsx]SituationAnalysis!PivotTable21</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Repartition of Monthly refilling kit missing</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3"/>
          </a:solidFill>
          <a:ln w="25400">
            <a:solidFill>
              <a:schemeClr val="lt1"/>
            </a:solidFill>
          </a:ln>
          <a:effectLst/>
          <a:sp3d contourW="25400">
            <a:contourClr>
              <a:schemeClr val="lt1"/>
            </a:contourClr>
          </a:sp3d>
        </c:spPr>
      </c:pivotFmt>
      <c:pivotFmt>
        <c:idx val="3"/>
        <c:spPr>
          <a:solidFill>
            <a:schemeClr val="accent4"/>
          </a:solidFill>
          <a:ln w="25400">
            <a:solidFill>
              <a:schemeClr val="lt1"/>
            </a:solidFill>
          </a:ln>
          <a:effectLst/>
          <a:sp3d contourW="25400">
            <a:contourClr>
              <a:schemeClr val="lt1"/>
            </a:contourClr>
          </a:sp3d>
        </c:spPr>
      </c:pivotFmt>
      <c:pivotFmt>
        <c:idx val="4"/>
        <c:spPr>
          <a:solidFill>
            <a:schemeClr val="accent5"/>
          </a:solidFill>
          <a:ln w="25400">
            <a:solidFill>
              <a:schemeClr val="lt1"/>
            </a:solidFill>
          </a:ln>
          <a:effectLst/>
          <a:sp3d contourW="25400">
            <a:contourClr>
              <a:schemeClr val="lt1"/>
            </a:contourClr>
          </a:sp3d>
        </c:spPr>
      </c:pivotFmt>
      <c:pivotFmt>
        <c:idx val="5"/>
        <c:spPr>
          <a:solidFill>
            <a:schemeClr val="accent6"/>
          </a:solidFill>
          <a:ln w="25400">
            <a:solidFill>
              <a:schemeClr val="lt1"/>
            </a:solidFill>
          </a:ln>
          <a:effectLst/>
          <a:sp3d contourW="25400">
            <a:contourClr>
              <a:schemeClr val="lt1"/>
            </a:contourClr>
          </a:sp3d>
        </c:spPr>
      </c:pivotFmt>
      <c:pivotFmt>
        <c:idx val="6"/>
        <c:spPr>
          <a:solidFill>
            <a:schemeClr val="accent1">
              <a:lumMod val="60000"/>
            </a:schemeClr>
          </a:solidFill>
          <a:ln w="25400">
            <a:solidFill>
              <a:schemeClr val="lt1"/>
            </a:solidFill>
          </a:ln>
          <a:effectLst/>
          <a:sp3d contourW="25400">
            <a:contourClr>
              <a:schemeClr val="lt1"/>
            </a:contourClr>
          </a:sp3d>
        </c:spPr>
      </c:pivotFmt>
      <c:pivotFmt>
        <c:idx val="7"/>
        <c:spPr>
          <a:solidFill>
            <a:schemeClr val="accent2">
              <a:lumMod val="60000"/>
            </a:schemeClr>
          </a:solidFill>
          <a:ln w="25400">
            <a:solidFill>
              <a:schemeClr val="lt1"/>
            </a:solidFill>
          </a:ln>
          <a:effectLst/>
          <a:sp3d contourW="25400">
            <a:contourClr>
              <a:schemeClr val="lt1"/>
            </a:contourClr>
          </a:sp3d>
        </c:spPr>
      </c:pivotFmt>
      <c:pivotFmt>
        <c:idx val="8"/>
        <c:spPr>
          <a:solidFill>
            <a:schemeClr val="accent5">
              <a:lumMod val="60000"/>
            </a:schemeClr>
          </a:solidFill>
          <a:ln w="25400">
            <a:solidFill>
              <a:schemeClr val="lt1"/>
            </a:solidFill>
          </a:ln>
          <a:effectLst/>
          <a:sp3d contourW="25400">
            <a:contourClr>
              <a:schemeClr val="lt1"/>
            </a:contourClr>
          </a:sp3d>
        </c:spPr>
      </c:pivotFmt>
      <c:pivotFmt>
        <c:idx val="9"/>
        <c:spPr>
          <a:solidFill>
            <a:schemeClr val="accent6">
              <a:lumMod val="60000"/>
            </a:schemeClr>
          </a:solidFill>
          <a:ln w="25400">
            <a:solidFill>
              <a:schemeClr val="lt1"/>
            </a:solidFill>
          </a:ln>
          <a:effectLst/>
          <a:sp3d contourW="25400">
            <a:contourClr>
              <a:schemeClr val="lt1"/>
            </a:contourClr>
          </a:sp3d>
        </c:spPr>
      </c:pivotFmt>
      <c:pivotFmt>
        <c:idx val="10"/>
        <c:spPr>
          <a:solidFill>
            <a:schemeClr val="accent1">
              <a:lumMod val="80000"/>
              <a:lumOff val="20000"/>
            </a:schemeClr>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3">
              <a:lumMod val="60000"/>
            </a:schemeClr>
          </a:solidFill>
          <a:ln w="25400">
            <a:solidFill>
              <a:schemeClr val="lt1"/>
            </a:solidFill>
          </a:ln>
          <a:effectLst/>
          <a:sp3d contourW="25400">
            <a:contourClr>
              <a:schemeClr val="lt1"/>
            </a:contourClr>
          </a:sp3d>
        </c:spPr>
      </c:pivotFmt>
      <c:pivotFmt>
        <c:idx val="18"/>
        <c:spPr>
          <a:solidFill>
            <a:schemeClr val="accent2"/>
          </a:solidFill>
          <a:ln w="25400">
            <a:solidFill>
              <a:schemeClr val="lt1"/>
            </a:solidFill>
          </a:ln>
          <a:effectLst/>
          <a:sp3d contourW="25400">
            <a:contourClr>
              <a:schemeClr val="lt1"/>
            </a:contourClr>
          </a:sp3d>
        </c:spPr>
      </c:pivotFmt>
      <c:pivotFmt>
        <c:idx val="19"/>
        <c:spPr>
          <a:solidFill>
            <a:schemeClr val="accent4">
              <a:lumMod val="60000"/>
            </a:schemeClr>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2">
              <a:lumMod val="80000"/>
              <a:lumOff val="20000"/>
            </a:schemeClr>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SituationAnalysis!$C$351</c:f>
              <c:strCache>
                <c:ptCount val="1"/>
                <c:pt idx="0">
                  <c:v>Total</c:v>
                </c:pt>
              </c:strCache>
            </c:strRef>
          </c:tx>
          <c:explosion val="2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Pt>
            <c:idx val="7"/>
            <c:bubble3D val="0"/>
            <c:spPr>
              <a:solidFill>
                <a:schemeClr val="accent2">
                  <a:lumMod val="60000"/>
                </a:schemeClr>
              </a:solidFill>
              <a:ln w="25400">
                <a:solidFill>
                  <a:schemeClr val="lt1"/>
                </a:solidFill>
              </a:ln>
              <a:effectLst/>
              <a:sp3d contourW="25400">
                <a:contourClr>
                  <a:schemeClr val="lt1"/>
                </a:contourClr>
              </a:sp3d>
            </c:spPr>
          </c:dPt>
          <c:dPt>
            <c:idx val="8"/>
            <c:bubble3D val="0"/>
            <c:spPr>
              <a:solidFill>
                <a:schemeClr val="accent3">
                  <a:lumMod val="60000"/>
                </a:schemeClr>
              </a:solidFill>
              <a:ln w="25400">
                <a:solidFill>
                  <a:schemeClr val="lt1"/>
                </a:solidFill>
              </a:ln>
              <a:effectLst/>
              <a:sp3d contourW="25400">
                <a:contourClr>
                  <a:schemeClr val="lt1"/>
                </a:contourClr>
              </a:sp3d>
            </c:spPr>
          </c:dPt>
          <c:dPt>
            <c:idx val="9"/>
            <c:bubble3D val="0"/>
            <c:spPr>
              <a:solidFill>
                <a:schemeClr val="accent4">
                  <a:lumMod val="60000"/>
                </a:schemeClr>
              </a:solidFill>
              <a:ln w="25400">
                <a:solidFill>
                  <a:schemeClr val="lt1"/>
                </a:solidFill>
              </a:ln>
              <a:effectLst/>
              <a:sp3d contourW="25400">
                <a:contourClr>
                  <a:schemeClr val="lt1"/>
                </a:contourClr>
              </a:sp3d>
            </c:spPr>
          </c:dPt>
          <c:dPt>
            <c:idx val="10"/>
            <c:bubble3D val="0"/>
            <c:spPr>
              <a:solidFill>
                <a:schemeClr val="accent5">
                  <a:lumMod val="60000"/>
                </a:schemeClr>
              </a:solidFill>
              <a:ln w="25400">
                <a:solidFill>
                  <a:schemeClr val="lt1"/>
                </a:solidFill>
              </a:ln>
              <a:effectLst/>
              <a:sp3d contourW="25400">
                <a:contourClr>
                  <a:schemeClr val="lt1"/>
                </a:contourClr>
              </a:sp3d>
            </c:spPr>
          </c:dPt>
          <c:dPt>
            <c:idx val="11"/>
            <c:bubble3D val="0"/>
            <c:spPr>
              <a:solidFill>
                <a:schemeClr val="accent6">
                  <a:lumMod val="60000"/>
                </a:schemeClr>
              </a:solidFill>
              <a:ln w="25400">
                <a:solidFill>
                  <a:schemeClr val="lt1"/>
                </a:solidFill>
              </a:ln>
              <a:effectLst/>
              <a:sp3d contourW="25400">
                <a:contourClr>
                  <a:schemeClr val="lt1"/>
                </a:contourClr>
              </a:sp3d>
            </c:spPr>
          </c:dPt>
          <c:dPt>
            <c:idx val="12"/>
            <c:bubble3D val="0"/>
            <c:spPr>
              <a:solidFill>
                <a:schemeClr val="accent1">
                  <a:lumMod val="80000"/>
                  <a:lumOff val="20000"/>
                </a:schemeClr>
              </a:solidFill>
              <a:ln w="25400">
                <a:solidFill>
                  <a:schemeClr val="lt1"/>
                </a:solidFill>
              </a:ln>
              <a:effectLst/>
              <a:sp3d contourW="25400">
                <a:contourClr>
                  <a:schemeClr val="lt1"/>
                </a:contourClr>
              </a:sp3d>
            </c:spPr>
          </c:dPt>
          <c:dPt>
            <c:idx val="13"/>
            <c:bubble3D val="0"/>
            <c:spPr>
              <a:solidFill>
                <a:schemeClr val="accent2">
                  <a:lumMod val="80000"/>
                  <a:lumOff val="20000"/>
                </a:schemeClr>
              </a:solidFill>
              <a:ln w="25400">
                <a:solidFill>
                  <a:schemeClr val="lt1"/>
                </a:solidFill>
              </a:ln>
              <a:effectLst/>
              <a:sp3d contourW="25400">
                <a:contourClr>
                  <a:schemeClr val="lt1"/>
                </a:contourClr>
              </a:sp3d>
            </c:spPr>
          </c:dPt>
          <c:dPt>
            <c:idx val="14"/>
            <c:bubble3D val="0"/>
          </c:dPt>
          <c:dPt>
            <c:idx val="1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SituationAnalysis!$B$352:$B$366</c:f>
              <c:strCach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15</c:v>
                </c:pt>
              </c:strCache>
            </c:strRef>
          </c:cat>
          <c:val>
            <c:numRef>
              <c:f>SituationAnalysis!$C$352:$C$366</c:f>
              <c:numCache>
                <c:formatCode>#,##0</c:formatCode>
                <c:ptCount val="14"/>
                <c:pt idx="0">
                  <c:v>6679</c:v>
                </c:pt>
                <c:pt idx="1">
                  <c:v>613</c:v>
                </c:pt>
                <c:pt idx="2">
                  <c:v>808</c:v>
                </c:pt>
                <c:pt idx="3">
                  <c:v>454</c:v>
                </c:pt>
                <c:pt idx="4">
                  <c:v>98</c:v>
                </c:pt>
                <c:pt idx="5">
                  <c:v>31</c:v>
                </c:pt>
                <c:pt idx="6">
                  <c:v>2064</c:v>
                </c:pt>
                <c:pt idx="7">
                  <c:v>886</c:v>
                </c:pt>
                <c:pt idx="8">
                  <c:v>1515</c:v>
                </c:pt>
                <c:pt idx="9">
                  <c:v>75</c:v>
                </c:pt>
                <c:pt idx="10">
                  <c:v>150</c:v>
                </c:pt>
                <c:pt idx="11">
                  <c:v>444</c:v>
                </c:pt>
                <c:pt idx="12">
                  <c:v>283</c:v>
                </c:pt>
                <c:pt idx="13">
                  <c:v>1548</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July.xlsx]SituationAnalysis!PivotTable23</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SituationAnalysis!$B$375:$B$393</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SituationAnalysis!$C$375:$C$393</c:f>
              <c:numCache>
                <c:formatCode>0%</c:formatCode>
                <c:ptCount val="18"/>
                <c:pt idx="0">
                  <c:v>0</c:v>
                </c:pt>
                <c:pt idx="1">
                  <c:v>0.80779834580543519</c:v>
                </c:pt>
                <c:pt idx="2">
                  <c:v>3.7431693989071035E-2</c:v>
                </c:pt>
                <c:pt idx="3">
                  <c:v>0</c:v>
                </c:pt>
                <c:pt idx="4">
                  <c:v>0.70611577147566884</c:v>
                </c:pt>
                <c:pt idx="5">
                  <c:v>0.80642843600101743</c:v>
                </c:pt>
                <c:pt idx="6">
                  <c:v>0.47398843930635837</c:v>
                </c:pt>
                <c:pt idx="7">
                  <c:v>0.82828282828282829</c:v>
                </c:pt>
                <c:pt idx="8">
                  <c:v>0.62222222222222223</c:v>
                </c:pt>
                <c:pt idx="9">
                  <c:v>0.23285706697827588</c:v>
                </c:pt>
                <c:pt idx="10">
                  <c:v>0.74103441627301647</c:v>
                </c:pt>
                <c:pt idx="11">
                  <c:v>0.83687829841675998</c:v>
                </c:pt>
                <c:pt idx="12">
                  <c:v>0.99712223643340037</c:v>
                </c:pt>
                <c:pt idx="13">
                  <c:v>1</c:v>
                </c:pt>
                <c:pt idx="14">
                  <c:v>1</c:v>
                </c:pt>
                <c:pt idx="15">
                  <c:v>0</c:v>
                </c:pt>
                <c:pt idx="16">
                  <c:v>0.8284499597839825</c:v>
                </c:pt>
                <c:pt idx="17">
                  <c:v>0</c:v>
                </c:pt>
              </c:numCache>
            </c:numRef>
          </c:val>
        </c:ser>
        <c:dLbls>
          <c:showLegendKey val="0"/>
          <c:showVal val="0"/>
          <c:showCatName val="0"/>
          <c:showSerName val="0"/>
          <c:showPercent val="0"/>
          <c:showBubbleSize val="0"/>
        </c:dLbls>
        <c:gapWidth val="150"/>
        <c:shape val="box"/>
        <c:axId val="104493056"/>
        <c:axId val="104494592"/>
        <c:axId val="0"/>
      </c:bar3DChart>
      <c:catAx>
        <c:axId val="104493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94592"/>
        <c:crosses val="autoZero"/>
        <c:auto val="1"/>
        <c:lblAlgn val="ctr"/>
        <c:lblOffset val="100"/>
        <c:noMultiLvlLbl val="0"/>
      </c:catAx>
      <c:valAx>
        <c:axId val="10449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49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July.xlsx]SituationAnalysis!PivotTable24</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SituationAnalysis!$C$402</c:f>
              <c:strCache>
                <c:ptCount val="1"/>
                <c:pt idx="0">
                  <c:v>Total</c:v>
                </c:pt>
              </c:strCache>
            </c:strRef>
          </c:tx>
          <c:spPr>
            <a:solidFill>
              <a:schemeClr val="accent1"/>
            </a:solidFill>
            <a:ln>
              <a:noFill/>
            </a:ln>
            <a:effectLst/>
            <a:sp3d/>
          </c:spPr>
          <c:invertIfNegative val="0"/>
          <c:cat>
            <c:strRef>
              <c:f>SituationAnalysis!$B$403:$B$413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SituationAnalysis!$C$403:$C$413</c:f>
              <c:numCache>
                <c:formatCode>0%</c:formatCode>
                <c:ptCount val="10"/>
                <c:pt idx="0">
                  <c:v>3.7431693989071035E-2</c:v>
                </c:pt>
                <c:pt idx="1">
                  <c:v>0.82074121202481309</c:v>
                </c:pt>
                <c:pt idx="2">
                  <c:v>0.74474474474474472</c:v>
                </c:pt>
                <c:pt idx="3">
                  <c:v>0</c:v>
                </c:pt>
                <c:pt idx="4">
                  <c:v>0.45261881668283221</c:v>
                </c:pt>
                <c:pt idx="5">
                  <c:v>0.79173090019584502</c:v>
                </c:pt>
                <c:pt idx="6">
                  <c:v>0.87640762858969889</c:v>
                </c:pt>
                <c:pt idx="7">
                  <c:v>0.62090905732102319</c:v>
                </c:pt>
                <c:pt idx="8">
                  <c:v>0.6352676100877539</c:v>
                </c:pt>
                <c:pt idx="9">
                  <c:v>0.8085670962850644</c:v>
                </c:pt>
              </c:numCache>
            </c:numRef>
          </c:val>
        </c:ser>
        <c:dLbls>
          <c:showLegendKey val="0"/>
          <c:showVal val="0"/>
          <c:showCatName val="0"/>
          <c:showSerName val="0"/>
          <c:showPercent val="0"/>
          <c:showBubbleSize val="0"/>
        </c:dLbls>
        <c:gapWidth val="150"/>
        <c:shape val="box"/>
        <c:axId val="104524416"/>
        <c:axId val="104599936"/>
        <c:axId val="0"/>
      </c:bar3DChart>
      <c:catAx>
        <c:axId val="104524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599936"/>
        <c:crosses val="autoZero"/>
        <c:auto val="1"/>
        <c:lblAlgn val="ctr"/>
        <c:lblOffset val="100"/>
        <c:noMultiLvlLbl val="0"/>
      </c:catAx>
      <c:valAx>
        <c:axId val="104599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52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July.xlsx]SituationAnalysis!PivotTable25</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of HH receiving monthly</a:t>
            </a:r>
            <a:r>
              <a:rPr lang="en-US" b="1" baseline="0"/>
              <a:t> HP visit</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SituationAnalysis!$C$425</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SituationAnalysis!$B$426:$B$428</c:f>
              <c:strCache>
                <c:ptCount val="2"/>
                <c:pt idx="0">
                  <c:v>GCA</c:v>
                </c:pt>
                <c:pt idx="1">
                  <c:v>NGCA</c:v>
                </c:pt>
              </c:strCache>
            </c:strRef>
          </c:cat>
          <c:val>
            <c:numRef>
              <c:f>SituationAnalysis!$C$426:$C$428</c:f>
              <c:numCache>
                <c:formatCode>0%</c:formatCode>
                <c:ptCount val="2"/>
                <c:pt idx="0">
                  <c:v>0.62580593717677513</c:v>
                </c:pt>
                <c:pt idx="1">
                  <c:v>0.37927831953891133</c:v>
                </c:pt>
              </c:numCache>
            </c:numRef>
          </c:val>
        </c:ser>
        <c:dLbls>
          <c:showLegendKey val="0"/>
          <c:showVal val="1"/>
          <c:showCatName val="0"/>
          <c:showSerName val="0"/>
          <c:showPercent val="0"/>
          <c:showBubbleSize val="0"/>
        </c:dLbls>
        <c:gapWidth val="150"/>
        <c:shape val="box"/>
        <c:axId val="104630144"/>
        <c:axId val="104645376"/>
        <c:axId val="0"/>
      </c:bar3DChart>
      <c:catAx>
        <c:axId val="1046301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45376"/>
        <c:crosses val="autoZero"/>
        <c:auto val="1"/>
        <c:lblAlgn val="ctr"/>
        <c:lblOffset val="100"/>
        <c:noMultiLvlLbl val="0"/>
      </c:catAx>
      <c:valAx>
        <c:axId val="104645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3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July.xlsx]SituationAnalysis!PivotTable26</c:name>
    <c:fmtId val="2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Community</a:t>
            </a:r>
            <a:r>
              <a:rPr lang="en-US" b="1" baseline="0"/>
              <a:t> management organisation in camps</a:t>
            </a:r>
            <a:endParaRPr lang="en-US" b="1"/>
          </a:p>
        </c:rich>
      </c:tx>
      <c:layout>
        <c:manualLayout>
          <c:xMode val="edge"/>
          <c:yMode val="edge"/>
          <c:x val="0.20189483560931695"/>
          <c:y val="5.8394160583941604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2"/>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SituationAnalysis!$C$445</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dPt>
          <c:dPt>
            <c:idx val="5"/>
            <c:bubble3D val="0"/>
          </c:dPt>
          <c:dPt>
            <c:idx val="6"/>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SituationAnalysis!$B$446:$B$450</c:f>
              <c:strCache>
                <c:ptCount val="4"/>
                <c:pt idx="0">
                  <c:v>Functional and efficient</c:v>
                </c:pt>
                <c:pt idx="1">
                  <c:v>Not yet planned</c:v>
                </c:pt>
                <c:pt idx="2">
                  <c:v>Not yet set up</c:v>
                </c:pt>
                <c:pt idx="3">
                  <c:v>Set up but low results </c:v>
                </c:pt>
              </c:strCache>
            </c:strRef>
          </c:cat>
          <c:val>
            <c:numRef>
              <c:f>SituationAnalysis!$C$446:$C$450</c:f>
              <c:numCache>
                <c:formatCode>#,##0</c:formatCode>
                <c:ptCount val="4"/>
                <c:pt idx="0">
                  <c:v>65</c:v>
                </c:pt>
                <c:pt idx="1">
                  <c:v>1</c:v>
                </c:pt>
                <c:pt idx="2">
                  <c:v>12</c:v>
                </c:pt>
                <c:pt idx="3">
                  <c:v>74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July.xlsx]SituationAnalysis!PivotTable27</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latrines</a:t>
            </a:r>
            <a:endParaRPr lang="en-US" b="1"/>
          </a:p>
        </c:rich>
      </c:tx>
      <c:layout>
        <c:manualLayout>
          <c:xMode val="edge"/>
          <c:yMode val="edge"/>
          <c:x val="0.45214921379995354"/>
          <c:y val="9.0522720804477749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solidFill>
          <a:ln w="25400">
            <a:solidFill>
              <a:schemeClr val="lt1"/>
            </a:solidFill>
          </a:ln>
          <a:effectLst/>
          <a:sp3d contourW="25400">
            <a:contourClr>
              <a:schemeClr val="lt1"/>
            </a:contourClr>
          </a:sp3d>
        </c:spPr>
      </c:pivotFmt>
      <c:pivotFmt>
        <c:idx val="18"/>
        <c:spPr>
          <a:solidFill>
            <a:schemeClr val="accent3"/>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5"/>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SituationAnalysis!$C$464</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SituationAnalysis!$B$465:$B$470</c:f>
              <c:strCache>
                <c:ptCount val="5"/>
                <c:pt idx="0">
                  <c:v>Latrine shared by families , not separated</c:v>
                </c:pt>
                <c:pt idx="1">
                  <c:v>Not separated yet</c:v>
                </c:pt>
                <c:pt idx="2">
                  <c:v>Separate, but not clearly perceived</c:v>
                </c:pt>
                <c:pt idx="3">
                  <c:v>Separate, clearly perceived</c:v>
                </c:pt>
                <c:pt idx="4">
                  <c:v>separated</c:v>
                </c:pt>
              </c:strCache>
            </c:strRef>
          </c:cat>
          <c:val>
            <c:numRef>
              <c:f>SituationAnalysis!$C$465:$C$470</c:f>
              <c:numCache>
                <c:formatCode>0</c:formatCode>
                <c:ptCount val="5"/>
                <c:pt idx="0">
                  <c:v>75</c:v>
                </c:pt>
                <c:pt idx="1">
                  <c:v>41</c:v>
                </c:pt>
                <c:pt idx="2">
                  <c:v>4</c:v>
                </c:pt>
                <c:pt idx="3">
                  <c:v>30</c:v>
                </c:pt>
                <c:pt idx="4">
                  <c:v>2</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July.xlsx]SituationAnalysis!PivotTable6</c:name>
    <c:fmtId val="3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Water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SituationAnalysis!$C$178</c:f>
              <c:strCache>
                <c:ptCount val="1"/>
                <c:pt idx="0">
                  <c:v>% Water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SituationAnalysis!$C$179:$C$181</c:f>
              <c:numCache>
                <c:formatCode>0%</c:formatCode>
                <c:ptCount val="2"/>
                <c:pt idx="0">
                  <c:v>0.96217982566904681</c:v>
                </c:pt>
                <c:pt idx="1">
                  <c:v>1</c:v>
                </c:pt>
              </c:numCache>
            </c:numRef>
          </c:val>
        </c:ser>
        <c:ser>
          <c:idx val="1"/>
          <c:order val="1"/>
          <c:tx>
            <c:strRef>
              <c:f>SituationAnalysis!$D$178</c:f>
              <c:strCache>
                <c:ptCount val="1"/>
                <c:pt idx="0">
                  <c:v>% Coverage projection end of project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SituationAnalysis!$D$179:$D$181</c:f>
              <c:numCache>
                <c:formatCode>0%</c:formatCode>
                <c:ptCount val="2"/>
                <c:pt idx="0">
                  <c:v>3.7429881151900463E-2</c:v>
                </c:pt>
                <c:pt idx="1">
                  <c:v>0</c:v>
                </c:pt>
              </c:numCache>
            </c:numRef>
          </c:val>
        </c:ser>
        <c:dLbls>
          <c:showLegendKey val="0"/>
          <c:showVal val="1"/>
          <c:showCatName val="0"/>
          <c:showSerName val="0"/>
          <c:showPercent val="0"/>
          <c:showBubbleSize val="0"/>
        </c:dLbls>
        <c:gapWidth val="150"/>
        <c:shape val="box"/>
        <c:axId val="105299968"/>
        <c:axId val="105301504"/>
        <c:axId val="0"/>
      </c:bar3DChart>
      <c:catAx>
        <c:axId val="105299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01504"/>
        <c:crosses val="autoZero"/>
        <c:auto val="1"/>
        <c:lblAlgn val="ctr"/>
        <c:lblOffset val="100"/>
        <c:noMultiLvlLbl val="0"/>
      </c:catAx>
      <c:valAx>
        <c:axId val="1053015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9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July.xlsx]SituationAnalysis!PivotTable9</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latrine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7"/>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1381662793491441E-2"/>
          <c:y val="0.19112397417181087"/>
          <c:w val="0.93046450347775755"/>
          <c:h val="0.57146085724464146"/>
        </c:manualLayout>
      </c:layout>
      <c:bar3DChart>
        <c:barDir val="col"/>
        <c:grouping val="stacked"/>
        <c:varyColors val="0"/>
        <c:ser>
          <c:idx val="0"/>
          <c:order val="0"/>
          <c:tx>
            <c:strRef>
              <c:f>SituationAnalysis!$C$322</c:f>
              <c:strCache>
                <c:ptCount val="1"/>
                <c:pt idx="0">
                  <c:v>% Latrine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SituationAnalysis!$C$323:$C$325</c:f>
              <c:numCache>
                <c:formatCode>0%</c:formatCode>
                <c:ptCount val="2"/>
                <c:pt idx="0">
                  <c:v>0.84094405032486164</c:v>
                </c:pt>
                <c:pt idx="1">
                  <c:v>0.97596201404688887</c:v>
                </c:pt>
              </c:numCache>
            </c:numRef>
          </c:val>
        </c:ser>
        <c:ser>
          <c:idx val="1"/>
          <c:order val="1"/>
          <c:tx>
            <c:strRef>
              <c:f>SituationAnalysis!$D$322</c:f>
              <c:strCache>
                <c:ptCount val="1"/>
                <c:pt idx="0">
                  <c:v>% Projection latrine need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SituationAnalysis!$D$323:$D$325</c:f>
              <c:numCache>
                <c:formatCode>0%</c:formatCode>
                <c:ptCount val="2"/>
                <c:pt idx="0">
                  <c:v>2.9228597010813262E-2</c:v>
                </c:pt>
                <c:pt idx="1">
                  <c:v>1.4640419428227949E-4</c:v>
                </c:pt>
              </c:numCache>
            </c:numRef>
          </c:val>
        </c:ser>
        <c:dLbls>
          <c:showLegendKey val="0"/>
          <c:showVal val="1"/>
          <c:showCatName val="0"/>
          <c:showSerName val="0"/>
          <c:showPercent val="0"/>
          <c:showBubbleSize val="0"/>
        </c:dLbls>
        <c:gapWidth val="150"/>
        <c:shape val="box"/>
        <c:axId val="105460864"/>
        <c:axId val="105462400"/>
        <c:axId val="0"/>
      </c:bar3DChart>
      <c:catAx>
        <c:axId val="10546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62400"/>
        <c:crosses val="autoZero"/>
        <c:auto val="1"/>
        <c:lblAlgn val="ctr"/>
        <c:lblOffset val="100"/>
        <c:noMultiLvlLbl val="0"/>
      </c:catAx>
      <c:valAx>
        <c:axId val="1054624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6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July.xlsx]SituationAnalysis!PivotTable11</c:name>
    <c:fmtId val="3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130</c:v>
                </c:pt>
                <c:pt idx="1">
                  <c:v>24</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13</c:v>
                </c:pt>
                <c:pt idx="1">
                  <c:v>1</c:v>
                </c:pt>
              </c:numCache>
            </c:numRef>
          </c:val>
        </c:ser>
        <c:dLbls>
          <c:showLegendKey val="0"/>
          <c:showVal val="1"/>
          <c:showCatName val="0"/>
          <c:showSerName val="0"/>
          <c:showPercent val="0"/>
          <c:showBubbleSize val="0"/>
        </c:dLbls>
        <c:gapWidth val="150"/>
        <c:shape val="box"/>
        <c:axId val="105519360"/>
        <c:axId val="105525248"/>
        <c:axId val="0"/>
      </c:bar3DChart>
      <c:catAx>
        <c:axId val="1055193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25248"/>
        <c:crosses val="autoZero"/>
        <c:auto val="1"/>
        <c:lblAlgn val="ctr"/>
        <c:lblOffset val="100"/>
        <c:noMultiLvlLbl val="0"/>
      </c:catAx>
      <c:valAx>
        <c:axId val="105525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19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analysis!PivotTable5</c:name>
    <c:fmtId val="16"/>
  </c:pivotSource>
  <c:chart>
    <c:title>
      <c:tx>
        <c:rich>
          <a:bodyPr/>
          <a:lstStyle/>
          <a:p>
            <a:pPr>
              <a:defRPr sz="800"/>
            </a:pPr>
            <a:r>
              <a:rPr lang="en-US" sz="800"/>
              <a:t>APPROXIMATE FUND</a:t>
            </a:r>
            <a:r>
              <a:rPr lang="en-US" sz="800" baseline="0"/>
              <a:t> </a:t>
            </a:r>
            <a:r>
              <a:rPr lang="en-US" sz="800"/>
              <a:t>ENGAGED PER YEAR (US$)</a:t>
            </a:r>
          </a:p>
        </c:rich>
      </c:tx>
      <c:layout>
        <c:manualLayout>
          <c:xMode val="edge"/>
          <c:yMode val="edge"/>
          <c:x val="0.16547852654064929"/>
          <c:y val="1.8912515468799563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3.4089458964377171E-2"/>
          <c:y val="0.13786404730809382"/>
          <c:w val="0.84323099191474149"/>
          <c:h val="0.74265650851137655"/>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2174530.0636635181</c:v>
                </c:pt>
                <c:pt idx="1">
                  <c:v>1331418.2826844645</c:v>
                </c:pt>
                <c:pt idx="2">
                  <c:v>923764.65365201782</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75653</c:v>
                </c:pt>
              </c:numCache>
            </c:numRef>
          </c:val>
        </c:ser>
        <c:ser>
          <c:idx val="2"/>
          <c:order val="2"/>
          <c:tx>
            <c:strRef>
              <c:f>'Funds analysis'!$E$69:$E$70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1067394.5833333333</c:v>
                </c:pt>
                <c:pt idx="1">
                  <c:v>968695.31498302927</c:v>
                </c:pt>
                <c:pt idx="2">
                  <c:v>1725089.1016836374</c:v>
                </c:pt>
              </c:numCache>
            </c:numRef>
          </c:val>
        </c:ser>
        <c:ser>
          <c:idx val="3"/>
          <c:order val="3"/>
          <c:tx>
            <c:strRef>
              <c:f>'Funds analysis'!$F$69:$F$70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1172664.4566898956</c:v>
                </c:pt>
                <c:pt idx="1">
                  <c:v>1022388.1533101045</c:v>
                </c:pt>
                <c:pt idx="2">
                  <c:v>0</c:v>
                </c:pt>
              </c:numCache>
            </c:numRef>
          </c:val>
        </c:ser>
        <c:ser>
          <c:idx val="4"/>
          <c:order val="4"/>
          <c:tx>
            <c:strRef>
              <c:f>'Funds analysis'!$G$69:$G$70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292113</c:v>
                </c:pt>
                <c:pt idx="1">
                  <c:v>0</c:v>
                </c:pt>
                <c:pt idx="2">
                  <c:v>0</c:v>
                </c:pt>
              </c:numCache>
            </c:numRef>
          </c:val>
        </c:ser>
        <c:ser>
          <c:idx val="5"/>
          <c:order val="5"/>
          <c:tx>
            <c:strRef>
              <c:f>'Funds analysis'!$H$69:$H$70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414065.16519823787</c:v>
                </c:pt>
                <c:pt idx="1">
                  <c:v>100963.83480176212</c:v>
                </c:pt>
                <c:pt idx="2">
                  <c:v>0</c:v>
                </c:pt>
              </c:numCache>
            </c:numRef>
          </c:val>
        </c:ser>
        <c:ser>
          <c:idx val="6"/>
          <c:order val="6"/>
          <c:tx>
            <c:strRef>
              <c:f>'Funds analysis'!$I$69:$I$70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197000</c:v>
                </c:pt>
                <c:pt idx="1">
                  <c:v>0</c:v>
                </c:pt>
                <c:pt idx="2">
                  <c:v>0</c:v>
                </c:pt>
              </c:numCache>
            </c:numRef>
          </c:val>
        </c:ser>
        <c:ser>
          <c:idx val="7"/>
          <c:order val="7"/>
          <c:tx>
            <c:strRef>
              <c:f>'Funds analysis'!$J$69:$J$70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106270</c:v>
                </c:pt>
                <c:pt idx="1">
                  <c:v>50000</c:v>
                </c:pt>
                <c:pt idx="2">
                  <c:v>0</c:v>
                </c:pt>
              </c:numCache>
            </c:numRef>
          </c:val>
        </c:ser>
        <c:ser>
          <c:idx val="8"/>
          <c:order val="8"/>
          <c:tx>
            <c:strRef>
              <c:f>'Funds analysis'!$K$69:$K$70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153948.79955947137</c:v>
                </c:pt>
                <c:pt idx="1">
                  <c:v>37538.200440528635</c:v>
                </c:pt>
                <c:pt idx="2">
                  <c:v>205305</c:v>
                </c:pt>
              </c:numCache>
            </c:numRef>
          </c:val>
        </c:ser>
        <c:ser>
          <c:idx val="9"/>
          <c:order val="9"/>
          <c:tx>
            <c:strRef>
              <c:f>'Funds analysis'!$L$69:$L$70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0</c:v>
                </c:pt>
                <c:pt idx="1">
                  <c:v>564560.43956043955</c:v>
                </c:pt>
                <c:pt idx="2">
                  <c:v>185439.56043956045</c:v>
                </c:pt>
              </c:numCache>
            </c:numRef>
          </c:val>
        </c:ser>
        <c:ser>
          <c:idx val="10"/>
          <c:order val="10"/>
          <c:tx>
            <c:strRef>
              <c:f>'Funds analysis'!$M$69:$M$70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0</c:v>
                </c:pt>
                <c:pt idx="1">
                  <c:v>17000</c:v>
                </c:pt>
                <c:pt idx="2">
                  <c:v>0</c:v>
                </c:pt>
              </c:numCache>
            </c:numRef>
          </c:val>
        </c:ser>
        <c:ser>
          <c:idx val="11"/>
          <c:order val="11"/>
          <c:tx>
            <c:strRef>
              <c:f>'Funds analysis'!$N$69:$N$70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80400</c:v>
                </c:pt>
                <c:pt idx="2">
                  <c:v>0</c:v>
                </c:pt>
              </c:numCache>
            </c:numRef>
          </c:val>
        </c:ser>
        <c:ser>
          <c:idx val="12"/>
          <c:order val="12"/>
          <c:tx>
            <c:strRef>
              <c:f>'Funds analysis'!$O$69:$O$70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43482</c:v>
                </c:pt>
                <c:pt idx="2">
                  <c:v>0</c:v>
                </c:pt>
              </c:numCache>
            </c:numRef>
          </c:val>
        </c:ser>
        <c:ser>
          <c:idx val="13"/>
          <c:order val="13"/>
          <c:tx>
            <c:strRef>
              <c:f>'Funds analysis'!$P$69:$P$70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439801.04303797468</c:v>
                </c:pt>
                <c:pt idx="2">
                  <c:v>272171.95696202532</c:v>
                </c:pt>
              </c:numCache>
            </c:numRef>
          </c:val>
        </c:ser>
        <c:ser>
          <c:idx val="14"/>
          <c:order val="14"/>
          <c:tx>
            <c:strRef>
              <c:f>'Funds analysis'!$Q$69:$Q$70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161000.81218274112</c:v>
                </c:pt>
                <c:pt idx="2">
                  <c:v>185134.18781725888</c:v>
                </c:pt>
              </c:numCache>
            </c:numRef>
          </c:val>
        </c:ser>
        <c:ser>
          <c:idx val="15"/>
          <c:order val="15"/>
          <c:tx>
            <c:strRef>
              <c:f>'Funds analysis'!$R$69:$R$70</c:f>
              <c:strCache>
                <c:ptCount val="1"/>
                <c:pt idx="0">
                  <c:v>FCA</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0</c:v>
                </c:pt>
                <c:pt idx="2">
                  <c:v>400000</c:v>
                </c:pt>
              </c:numCache>
            </c:numRef>
          </c:val>
        </c:ser>
        <c:ser>
          <c:idx val="16"/>
          <c:order val="16"/>
          <c:tx>
            <c:strRef>
              <c:f>'Funds analysis'!$S$69:$S$70</c:f>
              <c:strCache>
                <c:ptCount val="1"/>
                <c:pt idx="0">
                  <c:v>HIDA( HOPE)</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0</c:v>
                </c:pt>
                <c:pt idx="1">
                  <c:v>0</c:v>
                </c:pt>
                <c:pt idx="2">
                  <c:v>0</c:v>
                </c:pt>
              </c:numCache>
            </c:numRef>
          </c:val>
        </c:ser>
        <c:ser>
          <c:idx val="17"/>
          <c:order val="17"/>
          <c:tx>
            <c:strRef>
              <c:f>'Funds analysis'!$T$69:$T$70</c:f>
              <c:strCache>
                <c:ptCount val="1"/>
                <c:pt idx="0">
                  <c:v>DIFID</c:v>
                </c:pt>
              </c:strCache>
            </c:strRef>
          </c:tx>
          <c:invertIfNegative val="0"/>
          <c:cat>
            <c:strRef>
              <c:f>'Funds analysis'!$B$71:$B$73</c:f>
              <c:strCache>
                <c:ptCount val="3"/>
                <c:pt idx="0">
                  <c:v>Before 2014</c:v>
                </c:pt>
                <c:pt idx="1">
                  <c:v>2014</c:v>
                </c:pt>
                <c:pt idx="2">
                  <c:v>2015</c:v>
                </c:pt>
              </c:strCache>
            </c:strRef>
          </c:cat>
          <c:val>
            <c:numRef>
              <c:f>'Funds analysis'!$T$71:$T$73</c:f>
              <c:numCache>
                <c:formatCode>#,##0</c:formatCode>
                <c:ptCount val="3"/>
                <c:pt idx="0">
                  <c:v>165239.41391941393</c:v>
                </c:pt>
                <c:pt idx="1">
                  <c:v>79925.586080586087</c:v>
                </c:pt>
                <c:pt idx="2">
                  <c:v>154118</c:v>
                </c:pt>
              </c:numCache>
            </c:numRef>
          </c:val>
        </c:ser>
        <c:dLbls>
          <c:showLegendKey val="0"/>
          <c:showVal val="0"/>
          <c:showCatName val="0"/>
          <c:showSerName val="0"/>
          <c:showPercent val="0"/>
          <c:showBubbleSize val="0"/>
        </c:dLbls>
        <c:gapWidth val="150"/>
        <c:shape val="box"/>
        <c:axId val="101825152"/>
        <c:axId val="101831040"/>
        <c:axId val="0"/>
      </c:bar3DChart>
      <c:catAx>
        <c:axId val="101825152"/>
        <c:scaling>
          <c:orientation val="minMax"/>
        </c:scaling>
        <c:delete val="0"/>
        <c:axPos val="b"/>
        <c:numFmt formatCode="General" sourceLinked="1"/>
        <c:majorTickMark val="out"/>
        <c:minorTickMark val="none"/>
        <c:tickLblPos val="nextTo"/>
        <c:crossAx val="101831040"/>
        <c:crosses val="autoZero"/>
        <c:auto val="0"/>
        <c:lblAlgn val="ctr"/>
        <c:lblOffset val="100"/>
        <c:noMultiLvlLbl val="0"/>
      </c:catAx>
      <c:valAx>
        <c:axId val="101831040"/>
        <c:scaling>
          <c:orientation val="minMax"/>
          <c:max val="8000000"/>
        </c:scaling>
        <c:delete val="0"/>
        <c:axPos val="l"/>
        <c:majorGridlines/>
        <c:numFmt formatCode="#,##0" sourceLinked="0"/>
        <c:majorTickMark val="out"/>
        <c:minorTickMark val="none"/>
        <c:tickLblPos val="nextTo"/>
        <c:crossAx val="101825152"/>
        <c:crosses val="autoZero"/>
        <c:crossBetween val="between"/>
        <c:dispUnits>
          <c:builtInUnit val="millions"/>
          <c:dispUnitsLbl/>
        </c:dispUnits>
      </c:valAx>
      <c:spPr>
        <a:noFill/>
        <a:ln w="25400">
          <a:noFill/>
        </a:ln>
      </c:spPr>
    </c:plotArea>
    <c:legend>
      <c:legendPos val="r"/>
      <c:layout>
        <c:manualLayout>
          <c:xMode val="edge"/>
          <c:yMode val="edge"/>
          <c:x val="0.78578589902044471"/>
          <c:y val="2.3662981952694888E-2"/>
          <c:w val="0.20108785470439655"/>
          <c:h val="0.67182392869517726"/>
        </c:manualLayout>
      </c:layout>
      <c:overlay val="0"/>
    </c:legend>
    <c:plotVisOnly val="1"/>
    <c:dispBlanksAs val="gap"/>
    <c:showDLblsOverMax val="0"/>
  </c:chart>
  <c:spPr>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July.xlsx]SituationAnalysis!PivotTable14</c:name>
    <c:fmtId val="4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SituationAnalysis!$C$610:$C$611</c:f>
              <c:strCache>
                <c:ptCount val="1"/>
                <c:pt idx="0">
                  <c:v>Covered</c:v>
                </c:pt>
              </c:strCache>
            </c:strRef>
          </c:tx>
          <c:spPr>
            <a:solidFill>
              <a:schemeClr val="accent1"/>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SituationAnalysis!$C$612:$C$622</c:f>
              <c:numCache>
                <c:formatCode>0</c:formatCode>
                <c:ptCount val="10"/>
                <c:pt idx="0">
                  <c:v>21</c:v>
                </c:pt>
                <c:pt idx="1">
                  <c:v>40</c:v>
                </c:pt>
                <c:pt idx="2">
                  <c:v>6</c:v>
                </c:pt>
                <c:pt idx="3">
                  <c:v>24</c:v>
                </c:pt>
                <c:pt idx="4">
                  <c:v>12</c:v>
                </c:pt>
                <c:pt idx="5">
                  <c:v>20</c:v>
                </c:pt>
                <c:pt idx="6">
                  <c:v>12</c:v>
                </c:pt>
                <c:pt idx="7">
                  <c:v>9</c:v>
                </c:pt>
                <c:pt idx="8">
                  <c:v>4</c:v>
                </c:pt>
                <c:pt idx="9">
                  <c:v>6</c:v>
                </c:pt>
              </c:numCache>
            </c:numRef>
          </c:val>
        </c:ser>
        <c:ser>
          <c:idx val="1"/>
          <c:order val="1"/>
          <c:tx>
            <c:strRef>
              <c:f>SituationAnalysis!$D$610:$D$611</c:f>
              <c:strCache>
                <c:ptCount val="1"/>
                <c:pt idx="0">
                  <c:v>Not covered</c:v>
                </c:pt>
              </c:strCache>
            </c:strRef>
          </c:tx>
          <c:spPr>
            <a:solidFill>
              <a:schemeClr val="accent2"/>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SituationAnalysis!$D$612:$D$622</c:f>
              <c:numCache>
                <c:formatCode>0</c:formatCode>
                <c:ptCount val="10"/>
                <c:pt idx="0">
                  <c:v>1</c:v>
                </c:pt>
                <c:pt idx="2">
                  <c:v>2</c:v>
                </c:pt>
                <c:pt idx="3">
                  <c:v>7</c:v>
                </c:pt>
                <c:pt idx="8">
                  <c:v>1</c:v>
                </c:pt>
                <c:pt idx="9">
                  <c:v>3</c:v>
                </c:pt>
              </c:numCache>
            </c:numRef>
          </c:val>
        </c:ser>
        <c:dLbls>
          <c:showLegendKey val="0"/>
          <c:showVal val="0"/>
          <c:showCatName val="0"/>
          <c:showSerName val="0"/>
          <c:showPercent val="0"/>
          <c:showBubbleSize val="0"/>
        </c:dLbls>
        <c:gapWidth val="150"/>
        <c:shape val="box"/>
        <c:axId val="105564032"/>
        <c:axId val="105565568"/>
        <c:axId val="0"/>
      </c:bar3DChart>
      <c:catAx>
        <c:axId val="105564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65568"/>
        <c:crosses val="autoZero"/>
        <c:auto val="1"/>
        <c:lblAlgn val="ctr"/>
        <c:lblOffset val="100"/>
        <c:noMultiLvlLbl val="0"/>
      </c:catAx>
      <c:valAx>
        <c:axId val="10556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64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July.xlsx]SituationAnalysis!PivotTable17</c:name>
    <c:fmtId val="4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45830</c:v>
                </c:pt>
                <c:pt idx="1">
                  <c:v>36163</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1459</c:v>
                </c:pt>
                <c:pt idx="1">
                  <c:v>446</c:v>
                </c:pt>
              </c:numCache>
            </c:numRef>
          </c:val>
        </c:ser>
        <c:dLbls>
          <c:showLegendKey val="0"/>
          <c:showVal val="1"/>
          <c:showCatName val="0"/>
          <c:showSerName val="0"/>
          <c:showPercent val="0"/>
          <c:showBubbleSize val="0"/>
        </c:dLbls>
        <c:gapWidth val="150"/>
        <c:shape val="box"/>
        <c:axId val="105614336"/>
        <c:axId val="105624320"/>
        <c:axId val="0"/>
      </c:bar3DChart>
      <c:catAx>
        <c:axId val="10561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24320"/>
        <c:crosses val="autoZero"/>
        <c:auto val="1"/>
        <c:lblAlgn val="ctr"/>
        <c:lblOffset val="100"/>
        <c:noMultiLvlLbl val="0"/>
      </c:catAx>
      <c:valAx>
        <c:axId val="10562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1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July.xlsx]SituationAnalysis!PivotTable22</c:name>
    <c:fmtId val="4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SituationAnalysis!$C$646:$C$647</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SituationAnalysis!$B$648:$B$666</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SituationAnalysis!$C$648:$C$666</c:f>
              <c:numCache>
                <c:formatCode>0</c:formatCode>
                <c:ptCount val="18"/>
                <c:pt idx="0">
                  <c:v>8236</c:v>
                </c:pt>
                <c:pt idx="1">
                  <c:v>2584</c:v>
                </c:pt>
                <c:pt idx="2">
                  <c:v>3436</c:v>
                </c:pt>
                <c:pt idx="4">
                  <c:v>3408</c:v>
                </c:pt>
                <c:pt idx="5">
                  <c:v>10701</c:v>
                </c:pt>
                <c:pt idx="6">
                  <c:v>346</c:v>
                </c:pt>
                <c:pt idx="7">
                  <c:v>198</c:v>
                </c:pt>
                <c:pt idx="8">
                  <c:v>135</c:v>
                </c:pt>
                <c:pt idx="9">
                  <c:v>21707</c:v>
                </c:pt>
                <c:pt idx="10">
                  <c:v>506</c:v>
                </c:pt>
                <c:pt idx="11">
                  <c:v>6253</c:v>
                </c:pt>
                <c:pt idx="12">
                  <c:v>1684</c:v>
                </c:pt>
                <c:pt idx="13">
                  <c:v>47</c:v>
                </c:pt>
                <c:pt idx="14">
                  <c:v>82</c:v>
                </c:pt>
                <c:pt idx="15">
                  <c:v>412</c:v>
                </c:pt>
                <c:pt idx="16">
                  <c:v>21866</c:v>
                </c:pt>
                <c:pt idx="17">
                  <c:v>392</c:v>
                </c:pt>
              </c:numCache>
            </c:numRef>
          </c:val>
        </c:ser>
        <c:ser>
          <c:idx val="1"/>
          <c:order val="1"/>
          <c:tx>
            <c:strRef>
              <c:f>SituationAnalysis!$D$646:$D$647</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SituationAnalysis!$B$648:$B$666</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SituationAnalysis!$D$648:$D$666</c:f>
              <c:numCache>
                <c:formatCode>0</c:formatCode>
                <c:ptCount val="18"/>
                <c:pt idx="2">
                  <c:v>224</c:v>
                </c:pt>
                <c:pt idx="3">
                  <c:v>17</c:v>
                </c:pt>
                <c:pt idx="5">
                  <c:v>499</c:v>
                </c:pt>
                <c:pt idx="6">
                  <c:v>446</c:v>
                </c:pt>
                <c:pt idx="7">
                  <c:v>165</c:v>
                </c:pt>
                <c:pt idx="9">
                  <c:v>398</c:v>
                </c:pt>
                <c:pt idx="14">
                  <c:v>116</c:v>
                </c:pt>
                <c:pt idx="15">
                  <c:v>40</c:v>
                </c:pt>
              </c:numCache>
            </c:numRef>
          </c:val>
        </c:ser>
        <c:dLbls>
          <c:showLegendKey val="0"/>
          <c:showVal val="1"/>
          <c:showCatName val="0"/>
          <c:showSerName val="0"/>
          <c:showPercent val="0"/>
          <c:showBubbleSize val="0"/>
        </c:dLbls>
        <c:gapWidth val="150"/>
        <c:shape val="box"/>
        <c:axId val="105804160"/>
        <c:axId val="105805696"/>
        <c:axId val="0"/>
      </c:bar3DChart>
      <c:catAx>
        <c:axId val="10580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05696"/>
        <c:crosses val="autoZero"/>
        <c:auto val="1"/>
        <c:lblAlgn val="ctr"/>
        <c:lblOffset val="100"/>
        <c:noMultiLvlLbl val="0"/>
      </c:catAx>
      <c:valAx>
        <c:axId val="10580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04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July.xlsx]SituationAnalysis!PivotTable28</c:name>
    <c:fmtId val="4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SituationAnalysis!$C$681:$C$682</c:f>
              <c:strCache>
                <c:ptCount val="1"/>
                <c:pt idx="0">
                  <c:v>Documented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SituationAnalysis!$C$683:$C$685</c:f>
              <c:numCache>
                <c:formatCode>0</c:formatCode>
                <c:ptCount val="2"/>
                <c:pt idx="0">
                  <c:v>134</c:v>
                </c:pt>
                <c:pt idx="1">
                  <c:v>29</c:v>
                </c:pt>
              </c:numCache>
            </c:numRef>
          </c:val>
        </c:ser>
        <c:ser>
          <c:idx val="1"/>
          <c:order val="1"/>
          <c:tx>
            <c:strRef>
              <c:f>SituationAnalysis!$D$681:$D$682</c:f>
              <c:strCache>
                <c:ptCount val="1"/>
                <c:pt idx="0">
                  <c:v>Not documented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SituationAnalysis!$D$683:$D$685</c:f>
              <c:numCache>
                <c:formatCode>0</c:formatCode>
                <c:ptCount val="2"/>
                <c:pt idx="0">
                  <c:v>11</c:v>
                </c:pt>
                <c:pt idx="1">
                  <c:v>1</c:v>
                </c:pt>
              </c:numCache>
            </c:numRef>
          </c:val>
        </c:ser>
        <c:dLbls>
          <c:showLegendKey val="0"/>
          <c:showVal val="1"/>
          <c:showCatName val="0"/>
          <c:showSerName val="0"/>
          <c:showPercent val="0"/>
          <c:showBubbleSize val="0"/>
        </c:dLbls>
        <c:gapWidth val="150"/>
        <c:shape val="box"/>
        <c:axId val="105874944"/>
        <c:axId val="105876480"/>
        <c:axId val="0"/>
      </c:bar3DChart>
      <c:catAx>
        <c:axId val="105874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76480"/>
        <c:crosses val="autoZero"/>
        <c:auto val="1"/>
        <c:lblAlgn val="ctr"/>
        <c:lblOffset val="100"/>
        <c:noMultiLvlLbl val="0"/>
      </c:catAx>
      <c:valAx>
        <c:axId val="10587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7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July.xlsx]SituationAnalysis!PivotTable29</c:name>
    <c:fmtId val="5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SituationAnalysis!$C$698:$C$699</c:f>
              <c:strCache>
                <c:ptCount val="1"/>
                <c:pt idx="0">
                  <c:v>Documented</c:v>
                </c:pt>
              </c:strCache>
            </c:strRef>
          </c:tx>
          <c:spPr>
            <a:solidFill>
              <a:schemeClr val="accent1"/>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SituationAnalysis!$C$700:$C$710</c:f>
              <c:numCache>
                <c:formatCode>0</c:formatCode>
                <c:ptCount val="10"/>
                <c:pt idx="0">
                  <c:v>22</c:v>
                </c:pt>
                <c:pt idx="1">
                  <c:v>40</c:v>
                </c:pt>
                <c:pt idx="2">
                  <c:v>6</c:v>
                </c:pt>
                <c:pt idx="3">
                  <c:v>24</c:v>
                </c:pt>
                <c:pt idx="4">
                  <c:v>14</c:v>
                </c:pt>
                <c:pt idx="5">
                  <c:v>24</c:v>
                </c:pt>
                <c:pt idx="6">
                  <c:v>12</c:v>
                </c:pt>
                <c:pt idx="7">
                  <c:v>9</c:v>
                </c:pt>
                <c:pt idx="8">
                  <c:v>4</c:v>
                </c:pt>
                <c:pt idx="9">
                  <c:v>8</c:v>
                </c:pt>
              </c:numCache>
            </c:numRef>
          </c:val>
        </c:ser>
        <c:ser>
          <c:idx val="1"/>
          <c:order val="1"/>
          <c:tx>
            <c:strRef>
              <c:f>SituationAnalysis!$D$698:$D$699</c:f>
              <c:strCache>
                <c:ptCount val="1"/>
                <c:pt idx="0">
                  <c:v>Not documented</c:v>
                </c:pt>
              </c:strCache>
            </c:strRef>
          </c:tx>
          <c:spPr>
            <a:solidFill>
              <a:schemeClr val="accent2"/>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SituationAnalysis!$D$700:$D$710</c:f>
              <c:numCache>
                <c:formatCode>0</c:formatCode>
                <c:ptCount val="10"/>
                <c:pt idx="2">
                  <c:v>2</c:v>
                </c:pt>
                <c:pt idx="3">
                  <c:v>7</c:v>
                </c:pt>
                <c:pt idx="8">
                  <c:v>1</c:v>
                </c:pt>
                <c:pt idx="9">
                  <c:v>2</c:v>
                </c:pt>
              </c:numCache>
            </c:numRef>
          </c:val>
        </c:ser>
        <c:dLbls>
          <c:showLegendKey val="0"/>
          <c:showVal val="0"/>
          <c:showCatName val="0"/>
          <c:showSerName val="0"/>
          <c:showPercent val="0"/>
          <c:showBubbleSize val="0"/>
        </c:dLbls>
        <c:gapWidth val="150"/>
        <c:shape val="box"/>
        <c:axId val="105718912"/>
        <c:axId val="105720448"/>
        <c:axId val="0"/>
      </c:bar3DChart>
      <c:catAx>
        <c:axId val="105718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20448"/>
        <c:crosses val="autoZero"/>
        <c:auto val="1"/>
        <c:lblAlgn val="ctr"/>
        <c:lblOffset val="100"/>
        <c:noMultiLvlLbl val="0"/>
      </c:catAx>
      <c:valAx>
        <c:axId val="105720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1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July.xlsx]SituationAnalysis!PivotTable31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Ranking Water Coverage</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2"/>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3"/>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SituationAnalysis!$C$161</c:f>
              <c:strCache>
                <c:ptCount val="1"/>
                <c:pt idx="0">
                  <c:v>Total</c:v>
                </c:pt>
              </c:strCache>
            </c:strRef>
          </c:tx>
          <c:explosion val="32"/>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SituationAnalysis!$B$162:$B$165</c:f>
              <c:strCache>
                <c:ptCount val="3"/>
                <c:pt idx="0">
                  <c:v>0-10%</c:v>
                </c:pt>
                <c:pt idx="1">
                  <c:v>45-60%</c:v>
                </c:pt>
                <c:pt idx="2">
                  <c:v>80-100%</c:v>
                </c:pt>
              </c:strCache>
            </c:strRef>
          </c:cat>
          <c:val>
            <c:numRef>
              <c:f>SituationAnalysis!$C$162:$C$165</c:f>
              <c:numCache>
                <c:formatCode>0</c:formatCode>
                <c:ptCount val="3"/>
                <c:pt idx="0">
                  <c:v>12</c:v>
                </c:pt>
                <c:pt idx="1">
                  <c:v>1</c:v>
                </c:pt>
                <c:pt idx="2">
                  <c:v>162</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9044488077713537"/>
          <c:y val="0.26062372411781859"/>
          <c:w val="0.19733338423049743"/>
          <c:h val="0.4560207057451152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July.xlsx]SituationAnalysis!PivotTable16</c:name>
    <c:fmtId val="16"/>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SituationAnalysis!$C$221:$C$222</c:f>
              <c:strCache>
                <c:ptCount val="1"/>
                <c:pt idx="0">
                  <c:v>Cluster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SituationAnalysis!$C$223:$C$225</c:f>
              <c:numCache>
                <c:formatCode>0</c:formatCode>
                <c:ptCount val="2"/>
                <c:pt idx="0">
                  <c:v>48.7</c:v>
                </c:pt>
              </c:numCache>
            </c:numRef>
          </c:val>
        </c:ser>
        <c:ser>
          <c:idx val="1"/>
          <c:order val="1"/>
          <c:tx>
            <c:strRef>
              <c:f>SituationAnalysis!$D$221:$D$222</c:f>
              <c:strCache>
                <c:ptCount val="1"/>
                <c:pt idx="0">
                  <c:v>Cluster 10</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SituationAnalysis!$D$223:$D$225</c:f>
              <c:numCache>
                <c:formatCode>0</c:formatCode>
                <c:ptCount val="2"/>
                <c:pt idx="0">
                  <c:v>47.300000000000004</c:v>
                </c:pt>
                <c:pt idx="1">
                  <c:v>43.65</c:v>
                </c:pt>
              </c:numCache>
            </c:numRef>
          </c:val>
        </c:ser>
        <c:ser>
          <c:idx val="2"/>
          <c:order val="2"/>
          <c:tx>
            <c:strRef>
              <c:f>SituationAnalysis!$E$221:$E$222</c:f>
              <c:strCache>
                <c:ptCount val="1"/>
                <c:pt idx="0">
                  <c:v>Cluster 2</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SituationAnalysis!$E$223:$E$225</c:f>
              <c:numCache>
                <c:formatCode>0</c:formatCode>
                <c:ptCount val="2"/>
                <c:pt idx="0">
                  <c:v>118.35000000000001</c:v>
                </c:pt>
                <c:pt idx="1">
                  <c:v>0.39999999999999991</c:v>
                </c:pt>
              </c:numCache>
            </c:numRef>
          </c:val>
        </c:ser>
        <c:ser>
          <c:idx val="3"/>
          <c:order val="3"/>
          <c:tx>
            <c:strRef>
              <c:f>SituationAnalysis!$F$221:$F$222</c:f>
              <c:strCache>
                <c:ptCount val="1"/>
                <c:pt idx="0">
                  <c:v>Cluster 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SituationAnalysis!$F$223:$F$225</c:f>
              <c:numCache>
                <c:formatCode>0</c:formatCode>
                <c:ptCount val="2"/>
                <c:pt idx="0">
                  <c:v>9.9499999999999993</c:v>
                </c:pt>
              </c:numCache>
            </c:numRef>
          </c:val>
        </c:ser>
        <c:ser>
          <c:idx val="4"/>
          <c:order val="4"/>
          <c:tx>
            <c:strRef>
              <c:f>SituationAnalysis!$G$221:$G$222</c:f>
              <c:strCache>
                <c:ptCount val="1"/>
                <c:pt idx="0">
                  <c:v>Cluster 4</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SituationAnalysis!$G$223:$G$225</c:f>
              <c:numCache>
                <c:formatCode>0</c:formatCode>
                <c:ptCount val="2"/>
                <c:pt idx="0">
                  <c:v>378.7</c:v>
                </c:pt>
              </c:numCache>
            </c:numRef>
          </c:val>
        </c:ser>
        <c:ser>
          <c:idx val="5"/>
          <c:order val="5"/>
          <c:tx>
            <c:strRef>
              <c:f>SituationAnalysis!$H$221:$H$222</c:f>
              <c:strCache>
                <c:ptCount val="1"/>
                <c:pt idx="0">
                  <c:v>Cluster 5</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SituationAnalysis!$H$223:$H$225</c:f>
              <c:numCache>
                <c:formatCode>0</c:formatCode>
                <c:ptCount val="2"/>
                <c:pt idx="1">
                  <c:v>479.75</c:v>
                </c:pt>
              </c:numCache>
            </c:numRef>
          </c:val>
        </c:ser>
        <c:ser>
          <c:idx val="6"/>
          <c:order val="6"/>
          <c:tx>
            <c:strRef>
              <c:f>SituationAnalysis!$I$221:$I$222</c:f>
              <c:strCache>
                <c:ptCount val="1"/>
                <c:pt idx="0">
                  <c:v>Cluster 6</c:v>
                </c:pt>
              </c:strCache>
            </c:strRef>
          </c:tx>
          <c:spPr>
            <a:solidFill>
              <a:schemeClr val="accent1">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SituationAnalysis!$I$223:$I$225</c:f>
              <c:numCache>
                <c:formatCode>0</c:formatCode>
                <c:ptCount val="2"/>
                <c:pt idx="0">
                  <c:v>67.649999999999991</c:v>
                </c:pt>
                <c:pt idx="1">
                  <c:v>174.85000000000005</c:v>
                </c:pt>
              </c:numCache>
            </c:numRef>
          </c:val>
        </c:ser>
        <c:ser>
          <c:idx val="7"/>
          <c:order val="7"/>
          <c:tx>
            <c:strRef>
              <c:f>SituationAnalysis!$J$221:$J$222</c:f>
              <c:strCache>
                <c:ptCount val="1"/>
                <c:pt idx="0">
                  <c:v>Cluster 7</c:v>
                </c:pt>
              </c:strCache>
            </c:strRef>
          </c:tx>
          <c:spPr>
            <a:solidFill>
              <a:schemeClr val="accent2">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SituationAnalysis!$J$223:$J$225</c:f>
              <c:numCache>
                <c:formatCode>0</c:formatCode>
                <c:ptCount val="2"/>
                <c:pt idx="0">
                  <c:v>223.45000000000002</c:v>
                </c:pt>
              </c:numCache>
            </c:numRef>
          </c:val>
        </c:ser>
        <c:ser>
          <c:idx val="8"/>
          <c:order val="8"/>
          <c:tx>
            <c:strRef>
              <c:f>SituationAnalysis!$K$221:$K$222</c:f>
              <c:strCache>
                <c:ptCount val="1"/>
                <c:pt idx="0">
                  <c:v>Cluster 8</c:v>
                </c:pt>
              </c:strCache>
            </c:strRef>
          </c:tx>
          <c:spPr>
            <a:solidFill>
              <a:schemeClr val="accent3">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SituationAnalysis!$K$223:$K$225</c:f>
              <c:numCache>
                <c:formatCode>0</c:formatCode>
                <c:ptCount val="2"/>
                <c:pt idx="0">
                  <c:v>133.85000000000002</c:v>
                </c:pt>
              </c:numCache>
            </c:numRef>
          </c:val>
        </c:ser>
        <c:ser>
          <c:idx val="9"/>
          <c:order val="9"/>
          <c:tx>
            <c:strRef>
              <c:f>SituationAnalysis!$L$221:$L$222</c:f>
              <c:strCache>
                <c:ptCount val="1"/>
                <c:pt idx="0">
                  <c:v>Cluster 9</c:v>
                </c:pt>
              </c:strCache>
            </c:strRef>
          </c:tx>
          <c:spPr>
            <a:solidFill>
              <a:schemeClr val="accent4">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SituationAnalysis!$L$223:$L$225</c:f>
              <c:numCache>
                <c:formatCode>0</c:formatCode>
                <c:ptCount val="2"/>
                <c:pt idx="0">
                  <c:v>46.65</c:v>
                </c:pt>
                <c:pt idx="1">
                  <c:v>22.3</c:v>
                </c:pt>
              </c:numCache>
            </c:numRef>
          </c:val>
        </c:ser>
        <c:dLbls>
          <c:showLegendKey val="0"/>
          <c:showVal val="1"/>
          <c:showCatName val="0"/>
          <c:showSerName val="0"/>
          <c:showPercent val="0"/>
          <c:showBubbleSize val="0"/>
        </c:dLbls>
        <c:gapWidth val="150"/>
        <c:shape val="box"/>
        <c:axId val="105027456"/>
        <c:axId val="105028992"/>
        <c:axId val="0"/>
      </c:bar3DChart>
      <c:catAx>
        <c:axId val="1050274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28992"/>
        <c:crosses val="autoZero"/>
        <c:auto val="1"/>
        <c:lblAlgn val="ctr"/>
        <c:lblOffset val="100"/>
        <c:noMultiLvlLbl val="0"/>
      </c:catAx>
      <c:valAx>
        <c:axId val="105028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0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July.xlsx]SituationAnalysis!PivotTable10</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Bathroom</a:t>
            </a:r>
            <a:r>
              <a:rPr lang="en-US" b="1" baseline="0"/>
              <a:t> coverage end of project</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SituationAnalysis!$C$334</c:f>
              <c:strCache>
                <c:ptCount val="1"/>
                <c:pt idx="0">
                  <c:v>% Bathroom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SituationAnalysis!$C$335:$C$337</c:f>
              <c:numCache>
                <c:formatCode>0%</c:formatCode>
                <c:ptCount val="2"/>
                <c:pt idx="0">
                  <c:v>0.61773351096449491</c:v>
                </c:pt>
                <c:pt idx="1">
                  <c:v>0.48012783741702858</c:v>
                </c:pt>
              </c:numCache>
            </c:numRef>
          </c:val>
        </c:ser>
        <c:ser>
          <c:idx val="1"/>
          <c:order val="1"/>
          <c:tx>
            <c:strRef>
              <c:f>SituationAnalysis!$D$334</c:f>
              <c:strCache>
                <c:ptCount val="1"/>
                <c:pt idx="0">
                  <c:v>% Projection Bathrrom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SituationAnalysis!$D$335:$D$337</c:f>
              <c:numCache>
                <c:formatCode>0%</c:formatCode>
                <c:ptCount val="2"/>
                <c:pt idx="0">
                  <c:v>9.4193152741652453E-3</c:v>
                </c:pt>
                <c:pt idx="1">
                  <c:v>2.9083012374007703E-3</c:v>
                </c:pt>
              </c:numCache>
            </c:numRef>
          </c:val>
        </c:ser>
        <c:dLbls>
          <c:showLegendKey val="0"/>
          <c:showVal val="1"/>
          <c:showCatName val="0"/>
          <c:showSerName val="0"/>
          <c:showPercent val="0"/>
          <c:showBubbleSize val="0"/>
        </c:dLbls>
        <c:gapWidth val="150"/>
        <c:shape val="box"/>
        <c:axId val="105987072"/>
        <c:axId val="105992960"/>
        <c:axId val="0"/>
      </c:bar3DChart>
      <c:catAx>
        <c:axId val="105987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92960"/>
        <c:crosses val="autoZero"/>
        <c:auto val="1"/>
        <c:lblAlgn val="ctr"/>
        <c:lblOffset val="100"/>
        <c:noMultiLvlLbl val="0"/>
      </c:catAx>
      <c:valAx>
        <c:axId val="10599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87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Needs coverage</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3"/>
          </a:solidFill>
          <a:ln>
            <a:noFill/>
          </a:ln>
          <a:effectLst/>
        </c:spPr>
        <c:marker>
          <c:symbol val="none"/>
        </c:marker>
      </c:pivotFmt>
    </c:pivotFmts>
    <c:plotArea>
      <c:layout/>
      <c:barChart>
        <c:barDir val="col"/>
        <c:grouping val="clustered"/>
        <c:varyColors val="0"/>
        <c:ser>
          <c:idx val="0"/>
          <c:order val="0"/>
          <c:tx>
            <c:strRef>
              <c:f>SituationAnalysis!$AA$83</c:f>
              <c:strCache>
                <c:ptCount val="1"/>
                <c:pt idx="0">
                  <c:v>% Water Need coverage</c:v>
                </c:pt>
              </c:strCache>
            </c:strRef>
          </c:tx>
          <c:spPr>
            <a:solidFill>
              <a:schemeClr val="accent1"/>
            </a:solidFill>
            <a:ln>
              <a:noFill/>
            </a:ln>
            <a:effectLst/>
          </c:spPr>
          <c:invertIfNegative val="0"/>
          <c:cat>
            <c:strRef>
              <c:f>SituationAnalysis!$Z$84:$Z$236</c:f>
              <c:strCache>
                <c:ptCount val="152"/>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Lana Zup Ja *</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Mading Baptist Church</c:v>
                </c:pt>
                <c:pt idx="59">
                  <c:v>Maga Yang </c:v>
                </c:pt>
                <c:pt idx="60">
                  <c:v>Maina AG Church</c:v>
                </c:pt>
                <c:pt idx="61">
                  <c:v>Maina Catholic Church (St. Joseph)</c:v>
                </c:pt>
                <c:pt idx="62">
                  <c:v>Maina KBC (Bawng Ring)</c:v>
                </c:pt>
                <c:pt idx="63">
                  <c:v>Maina Lawang Baptist Church</c:v>
                </c:pt>
                <c:pt idx="64">
                  <c:v>Maing Khaung Baptist Church</c:v>
                </c:pt>
                <c:pt idx="65">
                  <c:v>Maing Khaung Catholic Church</c:v>
                </c:pt>
                <c:pt idx="66">
                  <c:v>Maliyang Baptist Church</c:v>
                </c:pt>
                <c:pt idx="67">
                  <c:v>Man Bung Catholic compound</c:v>
                </c:pt>
                <c:pt idx="68">
                  <c:v>Man Bung Edin Baptist Church</c:v>
                </c:pt>
                <c:pt idx="69">
                  <c:v>Man Hkring Baptist Church</c:v>
                </c:pt>
                <c:pt idx="70">
                  <c:v>Man Wing Baptist Church*</c:v>
                </c:pt>
                <c:pt idx="71">
                  <c:v>Man Wing Catholic Church*</c:v>
                </c:pt>
                <c:pt idx="72">
                  <c:v>Mandalay Monestry</c:v>
                </c:pt>
                <c:pt idx="73">
                  <c:v>Mandung - Jinghpaw</c:v>
                </c:pt>
                <c:pt idx="74">
                  <c:v>Mandung - RC</c:v>
                </c:pt>
                <c:pt idx="75">
                  <c:v>Mang Hawng Baptist Church</c:v>
                </c:pt>
                <c:pt idx="76">
                  <c:v>Mansi Baptist Church*</c:v>
                </c:pt>
                <c:pt idx="77">
                  <c:v>Maw Hpawng Hka Nan Baptist Church</c:v>
                </c:pt>
                <c:pt idx="78">
                  <c:v>Maw Hpawng Lhaovo Baptist Church</c:v>
                </c:pt>
                <c:pt idx="79">
                  <c:v>Maw Wan, Mu-yin Baptist Church</c:v>
                </c:pt>
                <c:pt idx="80">
                  <c:v>Mine Yu Lay village</c:v>
                </c:pt>
                <c:pt idx="81">
                  <c:v>Momauk Baptist Church</c:v>
                </c:pt>
                <c:pt idx="82">
                  <c:v>Mungji Pa Dabang (Baptist Church)         </c:v>
                </c:pt>
                <c:pt idx="83">
                  <c:v>Mungji Pa Dabang (RC Church)         </c:v>
                </c:pt>
                <c:pt idx="84">
                  <c:v>Muse KBC Church</c:v>
                </c:pt>
                <c:pt idx="85">
                  <c:v>Muse RC Church</c:v>
                </c:pt>
                <c:pt idx="86">
                  <c:v>Mu-yin Baptist Church</c:v>
                </c:pt>
                <c:pt idx="87">
                  <c:v>MWG -RC2</c:v>
                </c:pt>
                <c:pt idx="88">
                  <c:v>Nam Hkam - Nay Win Ni (Palawng)</c:v>
                </c:pt>
                <c:pt idx="89">
                  <c:v>Nam Hkam (KBC Jaw Wang)</c:v>
                </c:pt>
                <c:pt idx="90">
                  <c:v>Nam Hkam Catholic Church ( St. Thomas I)</c:v>
                </c:pt>
                <c:pt idx="91">
                  <c:v>Nam Hkawng/Manaung kaung</c:v>
                </c:pt>
                <c:pt idx="92">
                  <c:v>Nam Hpak Ka Mare </c:v>
                </c:pt>
                <c:pt idx="93">
                  <c:v>Nam Ma Phyit, COC</c:v>
                </c:pt>
                <c:pt idx="94">
                  <c:v>Namtu Baptist</c:v>
                </c:pt>
                <c:pt idx="95">
                  <c:v>Nan Kway St. John Catholic Church</c:v>
                </c:pt>
                <c:pt idx="96">
                  <c:v>Nant Hlaing Church</c:v>
                </c:pt>
                <c:pt idx="97">
                  <c:v>Nant Ma Hpit Catholic Church</c:v>
                </c:pt>
                <c:pt idx="98">
                  <c:v>Narte</c:v>
                </c:pt>
                <c:pt idx="99">
                  <c:v>Nat Gyi Kone Baptist Church </c:v>
                </c:pt>
                <c:pt idx="100">
                  <c:v>Nawng Hee Village</c:v>
                </c:pt>
                <c:pt idx="101">
                  <c:v>Nawng Ing (Indawgyi) Baptist Church  </c:v>
                </c:pt>
                <c:pt idx="102">
                  <c:v>Nhkawng Pa </c:v>
                </c:pt>
                <c:pt idx="103">
                  <c:v>Ni Thaw Ka Monestry</c:v>
                </c:pt>
                <c:pt idx="104">
                  <c:v>Njang Dung Baptist Church </c:v>
                </c:pt>
                <c:pt idx="105">
                  <c:v>Pa Dauk Myaing(Pa La Na)</c:v>
                </c:pt>
                <c:pt idx="106">
                  <c:v>Pa Kahtawng 1 A</c:v>
                </c:pt>
                <c:pt idx="107">
                  <c:v>Pa Kahtawng 1B</c:v>
                </c:pt>
                <c:pt idx="108">
                  <c:v>Pa Kahtawng 2</c:v>
                </c:pt>
                <c:pt idx="109">
                  <c:v>Pajau / Jan Mai</c:v>
                </c:pt>
                <c:pt idx="110">
                  <c:v>Pan Wa</c:v>
                </c:pt>
                <c:pt idx="111">
                  <c:v>Phan Khar Kone*</c:v>
                </c:pt>
                <c:pt idx="112">
                  <c:v>Post 6 Camp</c:v>
                </c:pt>
                <c:pt idx="113">
                  <c:v>Qtr. 2 Lhaovo Baptist Church</c:v>
                </c:pt>
                <c:pt idx="114">
                  <c:v>Qtr. 2 Myoma Baptist Church</c:v>
                </c:pt>
                <c:pt idx="115">
                  <c:v>Qtr. 3 Mu-yin  Baptist Church</c:v>
                </c:pt>
                <c:pt idx="116">
                  <c:v>Qtr. 4 Monestry (Thargaya Thayett Taw)</c:v>
                </c:pt>
                <c:pt idx="117">
                  <c:v>Rawan Baptist Church, Maw Shan Vil., Seik Mu</c:v>
                </c:pt>
                <c:pt idx="118">
                  <c:v>Robert Church*</c:v>
                </c:pt>
                <c:pt idx="119">
                  <c:v>Sai Nai Baptish Church, Maw Shan Vil., Seki Mu</c:v>
                </c:pt>
                <c:pt idx="120">
                  <c:v>Shatapru Sut Ngai Tawng</c:v>
                </c:pt>
                <c:pt idx="121">
                  <c:v>Shatapru Thida Aye Baptist Church</c:v>
                </c:pt>
                <c:pt idx="122">
                  <c:v>Shing Jai</c:v>
                </c:pt>
                <c:pt idx="123">
                  <c:v>Shwe Gu Baptist Church</c:v>
                </c:pt>
                <c:pt idx="124">
                  <c:v>Shwe Gu Catholic Church</c:v>
                </c:pt>
                <c:pt idx="125">
                  <c:v>Shwe Zet Baptist Church</c:v>
                </c:pt>
                <c:pt idx="126">
                  <c:v>St. Patrick Catholic Church </c:v>
                </c:pt>
                <c:pt idx="127">
                  <c:v>Ta Gun Taing Monastery (Shwe Kyi Na)</c:v>
                </c:pt>
                <c:pt idx="128">
                  <c:v>Tat Kone (Ra Da Kawng)</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Waingmaw AG Church</c:v>
                </c:pt>
                <c:pt idx="136">
                  <c:v>Waingmaw Baptist Zonal Office</c:v>
                </c:pt>
                <c:pt idx="137">
                  <c:v>Ward 2 Sai Taung Baptist Church, Seik Mu </c:v>
                </c:pt>
                <c:pt idx="138">
                  <c:v>Woi Chyai </c:v>
                </c:pt>
                <c:pt idx="139">
                  <c:v>Wun Tho Buddhist Monastery</c:v>
                </c:pt>
                <c:pt idx="140">
                  <c:v>Yoe Kyi Monastery</c:v>
                </c:pt>
                <c:pt idx="141">
                  <c:v>Yumar Baptist Church</c:v>
                </c:pt>
                <c:pt idx="142">
                  <c:v>Zai Awng / Mung Ga Zup</c:v>
                </c:pt>
                <c:pt idx="143">
                  <c:v>Zup Aung Camp</c:v>
                </c:pt>
                <c:pt idx="144">
                  <c:v>Woi Chyai (Mong Lai)</c:v>
                </c:pt>
                <c:pt idx="145">
                  <c:v>Bum Tsit Pa * (3)</c:v>
                </c:pt>
                <c:pt idx="146">
                  <c:v>Ku Day Maw KBC</c:v>
                </c:pt>
                <c:pt idx="147">
                  <c:v>Loi Je Lisu  (4) Camp</c:v>
                </c:pt>
                <c:pt idx="148">
                  <c:v>Pan Wa (Saw Zam) camp </c:v>
                </c:pt>
                <c:pt idx="149">
                  <c:v>Lung Sut</c:v>
                </c:pt>
                <c:pt idx="150">
                  <c:v>Ma Hawng RC </c:v>
                </c:pt>
                <c:pt idx="151">
                  <c:v>Pan Ku</c:v>
                </c:pt>
              </c:strCache>
            </c:strRef>
          </c:cat>
          <c:val>
            <c:numRef>
              <c:f>SituationAnalysis!$AA$84:$AA$236</c:f>
              <c:numCache>
                <c:formatCode>0%</c:formatCode>
                <c:ptCount val="15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0.45351473922902497</c:v>
                </c:pt>
                <c:pt idx="39">
                  <c:v>1</c:v>
                </c:pt>
                <c:pt idx="40">
                  <c:v>1</c:v>
                </c:pt>
                <c:pt idx="41">
                  <c:v>1</c:v>
                </c:pt>
                <c:pt idx="42">
                  <c:v>0</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0.97146326654523385</c:v>
                </c:pt>
                <c:pt idx="88">
                  <c:v>1</c:v>
                </c:pt>
                <c:pt idx="89">
                  <c:v>1</c:v>
                </c:pt>
                <c:pt idx="90">
                  <c:v>1</c:v>
                </c:pt>
                <c:pt idx="91">
                  <c:v>0</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0</c:v>
                </c:pt>
                <c:pt idx="144">
                  <c:v>1</c:v>
                </c:pt>
                <c:pt idx="145">
                  <c:v>1</c:v>
                </c:pt>
                <c:pt idx="146">
                  <c:v>1</c:v>
                </c:pt>
                <c:pt idx="147">
                  <c:v>1</c:v>
                </c:pt>
                <c:pt idx="148">
                  <c:v>1</c:v>
                </c:pt>
                <c:pt idx="149">
                  <c:v>1</c:v>
                </c:pt>
                <c:pt idx="150">
                  <c:v>1</c:v>
                </c:pt>
                <c:pt idx="151">
                  <c:v>0</c:v>
                </c:pt>
              </c:numCache>
            </c:numRef>
          </c:val>
        </c:ser>
        <c:ser>
          <c:idx val="1"/>
          <c:order val="1"/>
          <c:tx>
            <c:strRef>
              <c:f>SituationAnalysis!$AB$83</c:f>
              <c:strCache>
                <c:ptCount val="1"/>
                <c:pt idx="0">
                  <c:v>% Latrine need coverage</c:v>
                </c:pt>
              </c:strCache>
            </c:strRef>
          </c:tx>
          <c:spPr>
            <a:solidFill>
              <a:schemeClr val="accent2"/>
            </a:solidFill>
            <a:ln>
              <a:noFill/>
            </a:ln>
            <a:effectLst/>
          </c:spPr>
          <c:invertIfNegative val="0"/>
          <c:cat>
            <c:strRef>
              <c:f>SituationAnalysis!$Z$84:$Z$236</c:f>
              <c:strCache>
                <c:ptCount val="152"/>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Lana Zup Ja *</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Mading Baptist Church</c:v>
                </c:pt>
                <c:pt idx="59">
                  <c:v>Maga Yang </c:v>
                </c:pt>
                <c:pt idx="60">
                  <c:v>Maina AG Church</c:v>
                </c:pt>
                <c:pt idx="61">
                  <c:v>Maina Catholic Church (St. Joseph)</c:v>
                </c:pt>
                <c:pt idx="62">
                  <c:v>Maina KBC (Bawng Ring)</c:v>
                </c:pt>
                <c:pt idx="63">
                  <c:v>Maina Lawang Baptist Church</c:v>
                </c:pt>
                <c:pt idx="64">
                  <c:v>Maing Khaung Baptist Church</c:v>
                </c:pt>
                <c:pt idx="65">
                  <c:v>Maing Khaung Catholic Church</c:v>
                </c:pt>
                <c:pt idx="66">
                  <c:v>Maliyang Baptist Church</c:v>
                </c:pt>
                <c:pt idx="67">
                  <c:v>Man Bung Catholic compound</c:v>
                </c:pt>
                <c:pt idx="68">
                  <c:v>Man Bung Edin Baptist Church</c:v>
                </c:pt>
                <c:pt idx="69">
                  <c:v>Man Hkring Baptist Church</c:v>
                </c:pt>
                <c:pt idx="70">
                  <c:v>Man Wing Baptist Church*</c:v>
                </c:pt>
                <c:pt idx="71">
                  <c:v>Man Wing Catholic Church*</c:v>
                </c:pt>
                <c:pt idx="72">
                  <c:v>Mandalay Monestry</c:v>
                </c:pt>
                <c:pt idx="73">
                  <c:v>Mandung - Jinghpaw</c:v>
                </c:pt>
                <c:pt idx="74">
                  <c:v>Mandung - RC</c:v>
                </c:pt>
                <c:pt idx="75">
                  <c:v>Mang Hawng Baptist Church</c:v>
                </c:pt>
                <c:pt idx="76">
                  <c:v>Mansi Baptist Church*</c:v>
                </c:pt>
                <c:pt idx="77">
                  <c:v>Maw Hpawng Hka Nan Baptist Church</c:v>
                </c:pt>
                <c:pt idx="78">
                  <c:v>Maw Hpawng Lhaovo Baptist Church</c:v>
                </c:pt>
                <c:pt idx="79">
                  <c:v>Maw Wan, Mu-yin Baptist Church</c:v>
                </c:pt>
                <c:pt idx="80">
                  <c:v>Mine Yu Lay village</c:v>
                </c:pt>
                <c:pt idx="81">
                  <c:v>Momauk Baptist Church</c:v>
                </c:pt>
                <c:pt idx="82">
                  <c:v>Mungji Pa Dabang (Baptist Church)         </c:v>
                </c:pt>
                <c:pt idx="83">
                  <c:v>Mungji Pa Dabang (RC Church)         </c:v>
                </c:pt>
                <c:pt idx="84">
                  <c:v>Muse KBC Church</c:v>
                </c:pt>
                <c:pt idx="85">
                  <c:v>Muse RC Church</c:v>
                </c:pt>
                <c:pt idx="86">
                  <c:v>Mu-yin Baptist Church</c:v>
                </c:pt>
                <c:pt idx="87">
                  <c:v>MWG -RC2</c:v>
                </c:pt>
                <c:pt idx="88">
                  <c:v>Nam Hkam - Nay Win Ni (Palawng)</c:v>
                </c:pt>
                <c:pt idx="89">
                  <c:v>Nam Hkam (KBC Jaw Wang)</c:v>
                </c:pt>
                <c:pt idx="90">
                  <c:v>Nam Hkam Catholic Church ( St. Thomas I)</c:v>
                </c:pt>
                <c:pt idx="91">
                  <c:v>Nam Hkawng/Manaung kaung</c:v>
                </c:pt>
                <c:pt idx="92">
                  <c:v>Nam Hpak Ka Mare </c:v>
                </c:pt>
                <c:pt idx="93">
                  <c:v>Nam Ma Phyit, COC</c:v>
                </c:pt>
                <c:pt idx="94">
                  <c:v>Namtu Baptist</c:v>
                </c:pt>
                <c:pt idx="95">
                  <c:v>Nan Kway St. John Catholic Church</c:v>
                </c:pt>
                <c:pt idx="96">
                  <c:v>Nant Hlaing Church</c:v>
                </c:pt>
                <c:pt idx="97">
                  <c:v>Nant Ma Hpit Catholic Church</c:v>
                </c:pt>
                <c:pt idx="98">
                  <c:v>Narte</c:v>
                </c:pt>
                <c:pt idx="99">
                  <c:v>Nat Gyi Kone Baptist Church </c:v>
                </c:pt>
                <c:pt idx="100">
                  <c:v>Nawng Hee Village</c:v>
                </c:pt>
                <c:pt idx="101">
                  <c:v>Nawng Ing (Indawgyi) Baptist Church  </c:v>
                </c:pt>
                <c:pt idx="102">
                  <c:v>Nhkawng Pa </c:v>
                </c:pt>
                <c:pt idx="103">
                  <c:v>Ni Thaw Ka Monestry</c:v>
                </c:pt>
                <c:pt idx="104">
                  <c:v>Njang Dung Baptist Church </c:v>
                </c:pt>
                <c:pt idx="105">
                  <c:v>Pa Dauk Myaing(Pa La Na)</c:v>
                </c:pt>
                <c:pt idx="106">
                  <c:v>Pa Kahtawng 1 A</c:v>
                </c:pt>
                <c:pt idx="107">
                  <c:v>Pa Kahtawng 1B</c:v>
                </c:pt>
                <c:pt idx="108">
                  <c:v>Pa Kahtawng 2</c:v>
                </c:pt>
                <c:pt idx="109">
                  <c:v>Pajau / Jan Mai</c:v>
                </c:pt>
                <c:pt idx="110">
                  <c:v>Pan Wa</c:v>
                </c:pt>
                <c:pt idx="111">
                  <c:v>Phan Khar Kone*</c:v>
                </c:pt>
                <c:pt idx="112">
                  <c:v>Post 6 Camp</c:v>
                </c:pt>
                <c:pt idx="113">
                  <c:v>Qtr. 2 Lhaovo Baptist Church</c:v>
                </c:pt>
                <c:pt idx="114">
                  <c:v>Qtr. 2 Myoma Baptist Church</c:v>
                </c:pt>
                <c:pt idx="115">
                  <c:v>Qtr. 3 Mu-yin  Baptist Church</c:v>
                </c:pt>
                <c:pt idx="116">
                  <c:v>Qtr. 4 Monestry (Thargaya Thayett Taw)</c:v>
                </c:pt>
                <c:pt idx="117">
                  <c:v>Rawan Baptist Church, Maw Shan Vil., Seik Mu</c:v>
                </c:pt>
                <c:pt idx="118">
                  <c:v>Robert Church*</c:v>
                </c:pt>
                <c:pt idx="119">
                  <c:v>Sai Nai Baptish Church, Maw Shan Vil., Seki Mu</c:v>
                </c:pt>
                <c:pt idx="120">
                  <c:v>Shatapru Sut Ngai Tawng</c:v>
                </c:pt>
                <c:pt idx="121">
                  <c:v>Shatapru Thida Aye Baptist Church</c:v>
                </c:pt>
                <c:pt idx="122">
                  <c:v>Shing Jai</c:v>
                </c:pt>
                <c:pt idx="123">
                  <c:v>Shwe Gu Baptist Church</c:v>
                </c:pt>
                <c:pt idx="124">
                  <c:v>Shwe Gu Catholic Church</c:v>
                </c:pt>
                <c:pt idx="125">
                  <c:v>Shwe Zet Baptist Church</c:v>
                </c:pt>
                <c:pt idx="126">
                  <c:v>St. Patrick Catholic Church </c:v>
                </c:pt>
                <c:pt idx="127">
                  <c:v>Ta Gun Taing Monastery (Shwe Kyi Na)</c:v>
                </c:pt>
                <c:pt idx="128">
                  <c:v>Tat Kone (Ra Da Kawng)</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Waingmaw AG Church</c:v>
                </c:pt>
                <c:pt idx="136">
                  <c:v>Waingmaw Baptist Zonal Office</c:v>
                </c:pt>
                <c:pt idx="137">
                  <c:v>Ward 2 Sai Taung Baptist Church, Seik Mu </c:v>
                </c:pt>
                <c:pt idx="138">
                  <c:v>Woi Chyai </c:v>
                </c:pt>
                <c:pt idx="139">
                  <c:v>Wun Tho Buddhist Monastery</c:v>
                </c:pt>
                <c:pt idx="140">
                  <c:v>Yoe Kyi Monastery</c:v>
                </c:pt>
                <c:pt idx="141">
                  <c:v>Yumar Baptist Church</c:v>
                </c:pt>
                <c:pt idx="142">
                  <c:v>Zai Awng / Mung Ga Zup</c:v>
                </c:pt>
                <c:pt idx="143">
                  <c:v>Zup Aung Camp</c:v>
                </c:pt>
                <c:pt idx="144">
                  <c:v>Woi Chyai (Mong Lai)</c:v>
                </c:pt>
                <c:pt idx="145">
                  <c:v>Bum Tsit Pa * (3)</c:v>
                </c:pt>
                <c:pt idx="146">
                  <c:v>Ku Day Maw KBC</c:v>
                </c:pt>
                <c:pt idx="147">
                  <c:v>Loi Je Lisu  (4) Camp</c:v>
                </c:pt>
                <c:pt idx="148">
                  <c:v>Pan Wa (Saw Zam) camp </c:v>
                </c:pt>
                <c:pt idx="149">
                  <c:v>Lung Sut</c:v>
                </c:pt>
                <c:pt idx="150">
                  <c:v>Ma Hawng RC </c:v>
                </c:pt>
                <c:pt idx="151">
                  <c:v>Pan Ku</c:v>
                </c:pt>
              </c:strCache>
            </c:strRef>
          </c:cat>
          <c:val>
            <c:numRef>
              <c:f>SituationAnalysis!$AB$84:$AB$236</c:f>
              <c:numCache>
                <c:formatCode>0%</c:formatCode>
                <c:ptCount val="152"/>
                <c:pt idx="0">
                  <c:v>0.27777777777777779</c:v>
                </c:pt>
                <c:pt idx="1">
                  <c:v>0.89411764705882357</c:v>
                </c:pt>
                <c:pt idx="2">
                  <c:v>0.59907834101382484</c:v>
                </c:pt>
                <c:pt idx="3">
                  <c:v>0.49740932642487046</c:v>
                </c:pt>
                <c:pt idx="4">
                  <c:v>0.8875739644970414</c:v>
                </c:pt>
                <c:pt idx="5">
                  <c:v>1</c:v>
                </c:pt>
                <c:pt idx="6">
                  <c:v>0.96</c:v>
                </c:pt>
                <c:pt idx="7">
                  <c:v>1</c:v>
                </c:pt>
                <c:pt idx="8">
                  <c:v>0.7931034482758621</c:v>
                </c:pt>
                <c:pt idx="9">
                  <c:v>0.91743119266055051</c:v>
                </c:pt>
                <c:pt idx="10">
                  <c:v>1</c:v>
                </c:pt>
                <c:pt idx="11">
                  <c:v>1</c:v>
                </c:pt>
                <c:pt idx="12">
                  <c:v>1</c:v>
                </c:pt>
                <c:pt idx="13">
                  <c:v>1</c:v>
                </c:pt>
                <c:pt idx="14">
                  <c:v>1</c:v>
                </c:pt>
                <c:pt idx="15">
                  <c:v>1</c:v>
                </c:pt>
                <c:pt idx="16">
                  <c:v>0.55762081784386619</c:v>
                </c:pt>
                <c:pt idx="17">
                  <c:v>0.41152263374485598</c:v>
                </c:pt>
                <c:pt idx="18">
                  <c:v>1</c:v>
                </c:pt>
                <c:pt idx="19">
                  <c:v>0.7407407407407407</c:v>
                </c:pt>
                <c:pt idx="20">
                  <c:v>1</c:v>
                </c:pt>
                <c:pt idx="21">
                  <c:v>0.76923076923076927</c:v>
                </c:pt>
                <c:pt idx="22">
                  <c:v>1</c:v>
                </c:pt>
                <c:pt idx="23">
                  <c:v>1</c:v>
                </c:pt>
                <c:pt idx="24">
                  <c:v>1</c:v>
                </c:pt>
                <c:pt idx="25">
                  <c:v>1</c:v>
                </c:pt>
                <c:pt idx="26">
                  <c:v>1</c:v>
                </c:pt>
                <c:pt idx="27">
                  <c:v>0.61657032755298646</c:v>
                </c:pt>
                <c:pt idx="28">
                  <c:v>1</c:v>
                </c:pt>
                <c:pt idx="29">
                  <c:v>1</c:v>
                </c:pt>
                <c:pt idx="30">
                  <c:v>0.58091286307053946</c:v>
                </c:pt>
                <c:pt idx="31">
                  <c:v>1</c:v>
                </c:pt>
                <c:pt idx="32">
                  <c:v>0.85470085470085466</c:v>
                </c:pt>
                <c:pt idx="33">
                  <c:v>0.55045871559633031</c:v>
                </c:pt>
                <c:pt idx="34">
                  <c:v>1</c:v>
                </c:pt>
                <c:pt idx="35">
                  <c:v>1</c:v>
                </c:pt>
                <c:pt idx="36">
                  <c:v>1</c:v>
                </c:pt>
                <c:pt idx="37">
                  <c:v>1</c:v>
                </c:pt>
                <c:pt idx="38">
                  <c:v>0.40816326530612246</c:v>
                </c:pt>
                <c:pt idx="39">
                  <c:v>1</c:v>
                </c:pt>
                <c:pt idx="40">
                  <c:v>0.88888888888888884</c:v>
                </c:pt>
                <c:pt idx="41">
                  <c:v>1</c:v>
                </c:pt>
                <c:pt idx="42">
                  <c:v>0</c:v>
                </c:pt>
                <c:pt idx="43">
                  <c:v>0.71846934791097228</c:v>
                </c:pt>
                <c:pt idx="44">
                  <c:v>0.88235294117647056</c:v>
                </c:pt>
                <c:pt idx="45">
                  <c:v>0.6097560975609756</c:v>
                </c:pt>
                <c:pt idx="46">
                  <c:v>1</c:v>
                </c:pt>
                <c:pt idx="47">
                  <c:v>0.875</c:v>
                </c:pt>
                <c:pt idx="48">
                  <c:v>1</c:v>
                </c:pt>
                <c:pt idx="49">
                  <c:v>1</c:v>
                </c:pt>
                <c:pt idx="50">
                  <c:v>0.65522620904836193</c:v>
                </c:pt>
                <c:pt idx="51">
                  <c:v>1</c:v>
                </c:pt>
                <c:pt idx="52">
                  <c:v>1</c:v>
                </c:pt>
                <c:pt idx="53">
                  <c:v>0.58252427184466016</c:v>
                </c:pt>
                <c:pt idx="54">
                  <c:v>0.90909090909090906</c:v>
                </c:pt>
                <c:pt idx="55">
                  <c:v>1</c:v>
                </c:pt>
                <c:pt idx="56">
                  <c:v>1</c:v>
                </c:pt>
                <c:pt idx="57">
                  <c:v>1</c:v>
                </c:pt>
                <c:pt idx="58">
                  <c:v>1</c:v>
                </c:pt>
                <c:pt idx="59">
                  <c:v>1</c:v>
                </c:pt>
                <c:pt idx="60">
                  <c:v>0.97560975609756095</c:v>
                </c:pt>
                <c:pt idx="61">
                  <c:v>0.77795786061588335</c:v>
                </c:pt>
                <c:pt idx="62">
                  <c:v>1</c:v>
                </c:pt>
                <c:pt idx="63">
                  <c:v>1</c:v>
                </c:pt>
                <c:pt idx="64">
                  <c:v>0.94763092269326688</c:v>
                </c:pt>
                <c:pt idx="65">
                  <c:v>0.82781456953642385</c:v>
                </c:pt>
                <c:pt idx="66">
                  <c:v>0.75235109717868343</c:v>
                </c:pt>
                <c:pt idx="67">
                  <c:v>1</c:v>
                </c:pt>
                <c:pt idx="68">
                  <c:v>0.73891625615763545</c:v>
                </c:pt>
                <c:pt idx="69">
                  <c:v>1</c:v>
                </c:pt>
                <c:pt idx="70">
                  <c:v>0.47058823529411764</c:v>
                </c:pt>
                <c:pt idx="71">
                  <c:v>1</c:v>
                </c:pt>
                <c:pt idx="72">
                  <c:v>1</c:v>
                </c:pt>
                <c:pt idx="73">
                  <c:v>1</c:v>
                </c:pt>
                <c:pt idx="74">
                  <c:v>1</c:v>
                </c:pt>
                <c:pt idx="75">
                  <c:v>1</c:v>
                </c:pt>
                <c:pt idx="76">
                  <c:v>0.97701149425287359</c:v>
                </c:pt>
                <c:pt idx="77">
                  <c:v>1</c:v>
                </c:pt>
                <c:pt idx="78">
                  <c:v>1</c:v>
                </c:pt>
                <c:pt idx="79">
                  <c:v>1</c:v>
                </c:pt>
                <c:pt idx="80">
                  <c:v>1</c:v>
                </c:pt>
                <c:pt idx="81">
                  <c:v>0.6327372764786795</c:v>
                </c:pt>
                <c:pt idx="82">
                  <c:v>1</c:v>
                </c:pt>
                <c:pt idx="83">
                  <c:v>1</c:v>
                </c:pt>
                <c:pt idx="84">
                  <c:v>1</c:v>
                </c:pt>
                <c:pt idx="85">
                  <c:v>1</c:v>
                </c:pt>
                <c:pt idx="86">
                  <c:v>0.86021505376344087</c:v>
                </c:pt>
                <c:pt idx="87">
                  <c:v>0.87431693989071035</c:v>
                </c:pt>
                <c:pt idx="88">
                  <c:v>0.89947089947089942</c:v>
                </c:pt>
                <c:pt idx="89">
                  <c:v>0.6872852233676976</c:v>
                </c:pt>
                <c:pt idx="90">
                  <c:v>1</c:v>
                </c:pt>
                <c:pt idx="91">
                  <c:v>1</c:v>
                </c:pt>
                <c:pt idx="92">
                  <c:v>1</c:v>
                </c:pt>
                <c:pt idx="93">
                  <c:v>1</c:v>
                </c:pt>
                <c:pt idx="94">
                  <c:v>1</c:v>
                </c:pt>
                <c:pt idx="95">
                  <c:v>1</c:v>
                </c:pt>
                <c:pt idx="96">
                  <c:v>1</c:v>
                </c:pt>
                <c:pt idx="97">
                  <c:v>0.73529411764705888</c:v>
                </c:pt>
                <c:pt idx="98">
                  <c:v>0.20408163265306123</c:v>
                </c:pt>
                <c:pt idx="99">
                  <c:v>1</c:v>
                </c:pt>
                <c:pt idx="100">
                  <c:v>1</c:v>
                </c:pt>
                <c:pt idx="101">
                  <c:v>1</c:v>
                </c:pt>
                <c:pt idx="102">
                  <c:v>1</c:v>
                </c:pt>
                <c:pt idx="103">
                  <c:v>0.86956521739130432</c:v>
                </c:pt>
                <c:pt idx="104">
                  <c:v>0.69868995633187769</c:v>
                </c:pt>
                <c:pt idx="105">
                  <c:v>1</c:v>
                </c:pt>
                <c:pt idx="106">
                  <c:v>1</c:v>
                </c:pt>
                <c:pt idx="107">
                  <c:v>1</c:v>
                </c:pt>
                <c:pt idx="108">
                  <c:v>1</c:v>
                </c:pt>
                <c:pt idx="109">
                  <c:v>1</c:v>
                </c:pt>
                <c:pt idx="110">
                  <c:v>0.99071207430340558</c:v>
                </c:pt>
                <c:pt idx="111">
                  <c:v>1</c:v>
                </c:pt>
                <c:pt idx="112">
                  <c:v>1</c:v>
                </c:pt>
                <c:pt idx="113">
                  <c:v>0.7857142857142857</c:v>
                </c:pt>
                <c:pt idx="114">
                  <c:v>1</c:v>
                </c:pt>
                <c:pt idx="115">
                  <c:v>0.82840236686390534</c:v>
                </c:pt>
                <c:pt idx="116">
                  <c:v>1</c:v>
                </c:pt>
                <c:pt idx="117">
                  <c:v>1</c:v>
                </c:pt>
                <c:pt idx="118">
                  <c:v>0.8040201005025126</c:v>
                </c:pt>
                <c:pt idx="119">
                  <c:v>1</c:v>
                </c:pt>
                <c:pt idx="120">
                  <c:v>0.75</c:v>
                </c:pt>
                <c:pt idx="121">
                  <c:v>0.3546099290780142</c:v>
                </c:pt>
                <c:pt idx="122">
                  <c:v>1</c:v>
                </c:pt>
                <c:pt idx="123">
                  <c:v>1</c:v>
                </c:pt>
                <c:pt idx="124">
                  <c:v>1</c:v>
                </c:pt>
                <c:pt idx="125">
                  <c:v>0.75294117647058822</c:v>
                </c:pt>
                <c:pt idx="126">
                  <c:v>1</c:v>
                </c:pt>
                <c:pt idx="127">
                  <c:v>1</c:v>
                </c:pt>
                <c:pt idx="128">
                  <c:v>1</c:v>
                </c:pt>
                <c:pt idx="129">
                  <c:v>0.77519379844961245</c:v>
                </c:pt>
                <c:pt idx="130">
                  <c:v>1</c:v>
                </c:pt>
                <c:pt idx="131">
                  <c:v>1</c:v>
                </c:pt>
                <c:pt idx="132">
                  <c:v>1</c:v>
                </c:pt>
                <c:pt idx="133">
                  <c:v>1</c:v>
                </c:pt>
                <c:pt idx="134">
                  <c:v>0.84690553745928343</c:v>
                </c:pt>
                <c:pt idx="135">
                  <c:v>0.67039106145251393</c:v>
                </c:pt>
                <c:pt idx="136">
                  <c:v>1</c:v>
                </c:pt>
                <c:pt idx="137">
                  <c:v>0.94736842105263153</c:v>
                </c:pt>
                <c:pt idx="138">
                  <c:v>1</c:v>
                </c:pt>
                <c:pt idx="139">
                  <c:v>1</c:v>
                </c:pt>
                <c:pt idx="140">
                  <c:v>1</c:v>
                </c:pt>
                <c:pt idx="141">
                  <c:v>1</c:v>
                </c:pt>
                <c:pt idx="142">
                  <c:v>1</c:v>
                </c:pt>
                <c:pt idx="143">
                  <c:v>1</c:v>
                </c:pt>
                <c:pt idx="144">
                  <c:v>1</c:v>
                </c:pt>
                <c:pt idx="145">
                  <c:v>1</c:v>
                </c:pt>
                <c:pt idx="146">
                  <c:v>0.5357142857142857</c:v>
                </c:pt>
                <c:pt idx="147">
                  <c:v>0.80645161290322576</c:v>
                </c:pt>
                <c:pt idx="148">
                  <c:v>0.48484848484848486</c:v>
                </c:pt>
                <c:pt idx="149">
                  <c:v>1</c:v>
                </c:pt>
                <c:pt idx="150">
                  <c:v>1</c:v>
                </c:pt>
                <c:pt idx="151">
                  <c:v>0.41379310344827586</c:v>
                </c:pt>
              </c:numCache>
            </c:numRef>
          </c:val>
        </c:ser>
        <c:ser>
          <c:idx val="2"/>
          <c:order val="2"/>
          <c:tx>
            <c:strRef>
              <c:f>SituationAnalysis!$AC$83</c:f>
              <c:strCache>
                <c:ptCount val="1"/>
                <c:pt idx="0">
                  <c:v>% Bathroom need coverage</c:v>
                </c:pt>
              </c:strCache>
            </c:strRef>
          </c:tx>
          <c:spPr>
            <a:solidFill>
              <a:schemeClr val="accent3"/>
            </a:solidFill>
            <a:ln>
              <a:noFill/>
            </a:ln>
            <a:effectLst/>
          </c:spPr>
          <c:invertIfNegative val="0"/>
          <c:cat>
            <c:strRef>
              <c:f>SituationAnalysis!$Z$84:$Z$236</c:f>
              <c:strCache>
                <c:ptCount val="152"/>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Lana Zup Ja *</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Mading Baptist Church</c:v>
                </c:pt>
                <c:pt idx="59">
                  <c:v>Maga Yang </c:v>
                </c:pt>
                <c:pt idx="60">
                  <c:v>Maina AG Church</c:v>
                </c:pt>
                <c:pt idx="61">
                  <c:v>Maina Catholic Church (St. Joseph)</c:v>
                </c:pt>
                <c:pt idx="62">
                  <c:v>Maina KBC (Bawng Ring)</c:v>
                </c:pt>
                <c:pt idx="63">
                  <c:v>Maina Lawang Baptist Church</c:v>
                </c:pt>
                <c:pt idx="64">
                  <c:v>Maing Khaung Baptist Church</c:v>
                </c:pt>
                <c:pt idx="65">
                  <c:v>Maing Khaung Catholic Church</c:v>
                </c:pt>
                <c:pt idx="66">
                  <c:v>Maliyang Baptist Church</c:v>
                </c:pt>
                <c:pt idx="67">
                  <c:v>Man Bung Catholic compound</c:v>
                </c:pt>
                <c:pt idx="68">
                  <c:v>Man Bung Edin Baptist Church</c:v>
                </c:pt>
                <c:pt idx="69">
                  <c:v>Man Hkring Baptist Church</c:v>
                </c:pt>
                <c:pt idx="70">
                  <c:v>Man Wing Baptist Church*</c:v>
                </c:pt>
                <c:pt idx="71">
                  <c:v>Man Wing Catholic Church*</c:v>
                </c:pt>
                <c:pt idx="72">
                  <c:v>Mandalay Monestry</c:v>
                </c:pt>
                <c:pt idx="73">
                  <c:v>Mandung - Jinghpaw</c:v>
                </c:pt>
                <c:pt idx="74">
                  <c:v>Mandung - RC</c:v>
                </c:pt>
                <c:pt idx="75">
                  <c:v>Mang Hawng Baptist Church</c:v>
                </c:pt>
                <c:pt idx="76">
                  <c:v>Mansi Baptist Church*</c:v>
                </c:pt>
                <c:pt idx="77">
                  <c:v>Maw Hpawng Hka Nan Baptist Church</c:v>
                </c:pt>
                <c:pt idx="78">
                  <c:v>Maw Hpawng Lhaovo Baptist Church</c:v>
                </c:pt>
                <c:pt idx="79">
                  <c:v>Maw Wan, Mu-yin Baptist Church</c:v>
                </c:pt>
                <c:pt idx="80">
                  <c:v>Mine Yu Lay village</c:v>
                </c:pt>
                <c:pt idx="81">
                  <c:v>Momauk Baptist Church</c:v>
                </c:pt>
                <c:pt idx="82">
                  <c:v>Mungji Pa Dabang (Baptist Church)         </c:v>
                </c:pt>
                <c:pt idx="83">
                  <c:v>Mungji Pa Dabang (RC Church)         </c:v>
                </c:pt>
                <c:pt idx="84">
                  <c:v>Muse KBC Church</c:v>
                </c:pt>
                <c:pt idx="85">
                  <c:v>Muse RC Church</c:v>
                </c:pt>
                <c:pt idx="86">
                  <c:v>Mu-yin Baptist Church</c:v>
                </c:pt>
                <c:pt idx="87">
                  <c:v>MWG -RC2</c:v>
                </c:pt>
                <c:pt idx="88">
                  <c:v>Nam Hkam - Nay Win Ni (Palawng)</c:v>
                </c:pt>
                <c:pt idx="89">
                  <c:v>Nam Hkam (KBC Jaw Wang)</c:v>
                </c:pt>
                <c:pt idx="90">
                  <c:v>Nam Hkam Catholic Church ( St. Thomas I)</c:v>
                </c:pt>
                <c:pt idx="91">
                  <c:v>Nam Hkawng/Manaung kaung</c:v>
                </c:pt>
                <c:pt idx="92">
                  <c:v>Nam Hpak Ka Mare </c:v>
                </c:pt>
                <c:pt idx="93">
                  <c:v>Nam Ma Phyit, COC</c:v>
                </c:pt>
                <c:pt idx="94">
                  <c:v>Namtu Baptist</c:v>
                </c:pt>
                <c:pt idx="95">
                  <c:v>Nan Kway St. John Catholic Church</c:v>
                </c:pt>
                <c:pt idx="96">
                  <c:v>Nant Hlaing Church</c:v>
                </c:pt>
                <c:pt idx="97">
                  <c:v>Nant Ma Hpit Catholic Church</c:v>
                </c:pt>
                <c:pt idx="98">
                  <c:v>Narte</c:v>
                </c:pt>
                <c:pt idx="99">
                  <c:v>Nat Gyi Kone Baptist Church </c:v>
                </c:pt>
                <c:pt idx="100">
                  <c:v>Nawng Hee Village</c:v>
                </c:pt>
                <c:pt idx="101">
                  <c:v>Nawng Ing (Indawgyi) Baptist Church  </c:v>
                </c:pt>
                <c:pt idx="102">
                  <c:v>Nhkawng Pa </c:v>
                </c:pt>
                <c:pt idx="103">
                  <c:v>Ni Thaw Ka Monestry</c:v>
                </c:pt>
                <c:pt idx="104">
                  <c:v>Njang Dung Baptist Church </c:v>
                </c:pt>
                <c:pt idx="105">
                  <c:v>Pa Dauk Myaing(Pa La Na)</c:v>
                </c:pt>
                <c:pt idx="106">
                  <c:v>Pa Kahtawng 1 A</c:v>
                </c:pt>
                <c:pt idx="107">
                  <c:v>Pa Kahtawng 1B</c:v>
                </c:pt>
                <c:pt idx="108">
                  <c:v>Pa Kahtawng 2</c:v>
                </c:pt>
                <c:pt idx="109">
                  <c:v>Pajau / Jan Mai</c:v>
                </c:pt>
                <c:pt idx="110">
                  <c:v>Pan Wa</c:v>
                </c:pt>
                <c:pt idx="111">
                  <c:v>Phan Khar Kone*</c:v>
                </c:pt>
                <c:pt idx="112">
                  <c:v>Post 6 Camp</c:v>
                </c:pt>
                <c:pt idx="113">
                  <c:v>Qtr. 2 Lhaovo Baptist Church</c:v>
                </c:pt>
                <c:pt idx="114">
                  <c:v>Qtr. 2 Myoma Baptist Church</c:v>
                </c:pt>
                <c:pt idx="115">
                  <c:v>Qtr. 3 Mu-yin  Baptist Church</c:v>
                </c:pt>
                <c:pt idx="116">
                  <c:v>Qtr. 4 Monestry (Thargaya Thayett Taw)</c:v>
                </c:pt>
                <c:pt idx="117">
                  <c:v>Rawan Baptist Church, Maw Shan Vil., Seik Mu</c:v>
                </c:pt>
                <c:pt idx="118">
                  <c:v>Robert Church*</c:v>
                </c:pt>
                <c:pt idx="119">
                  <c:v>Sai Nai Baptish Church, Maw Shan Vil., Seki Mu</c:v>
                </c:pt>
                <c:pt idx="120">
                  <c:v>Shatapru Sut Ngai Tawng</c:v>
                </c:pt>
                <c:pt idx="121">
                  <c:v>Shatapru Thida Aye Baptist Church</c:v>
                </c:pt>
                <c:pt idx="122">
                  <c:v>Shing Jai</c:v>
                </c:pt>
                <c:pt idx="123">
                  <c:v>Shwe Gu Baptist Church</c:v>
                </c:pt>
                <c:pt idx="124">
                  <c:v>Shwe Gu Catholic Church</c:v>
                </c:pt>
                <c:pt idx="125">
                  <c:v>Shwe Zet Baptist Church</c:v>
                </c:pt>
                <c:pt idx="126">
                  <c:v>St. Patrick Catholic Church </c:v>
                </c:pt>
                <c:pt idx="127">
                  <c:v>Ta Gun Taing Monastery (Shwe Kyi Na)</c:v>
                </c:pt>
                <c:pt idx="128">
                  <c:v>Tat Kone (Ra Da Kawng)</c:v>
                </c:pt>
                <c:pt idx="129">
                  <c:v>Tat Kone Baptist Church</c:v>
                </c:pt>
                <c:pt idx="130">
                  <c:v>Tat Kone COC Baptist / Tat Kone Htoi San</c:v>
                </c:pt>
                <c:pt idx="131">
                  <c:v>Tat Kone Emanuel Church</c:v>
                </c:pt>
                <c:pt idx="132">
                  <c:v>Tat Kone Galile Baptist Church</c:v>
                </c:pt>
                <c:pt idx="133">
                  <c:v>Tat Kone San Pya Baptist Church</c:v>
                </c:pt>
                <c:pt idx="134">
                  <c:v>Thargaya Lisu Baptist Church</c:v>
                </c:pt>
                <c:pt idx="135">
                  <c:v>Waingmaw AG Church</c:v>
                </c:pt>
                <c:pt idx="136">
                  <c:v>Waingmaw Baptist Zonal Office</c:v>
                </c:pt>
                <c:pt idx="137">
                  <c:v>Ward 2 Sai Taung Baptist Church, Seik Mu </c:v>
                </c:pt>
                <c:pt idx="138">
                  <c:v>Woi Chyai </c:v>
                </c:pt>
                <c:pt idx="139">
                  <c:v>Wun Tho Buddhist Monastery</c:v>
                </c:pt>
                <c:pt idx="140">
                  <c:v>Yoe Kyi Monastery</c:v>
                </c:pt>
                <c:pt idx="141">
                  <c:v>Yumar Baptist Church</c:v>
                </c:pt>
                <c:pt idx="142">
                  <c:v>Zai Awng / Mung Ga Zup</c:v>
                </c:pt>
                <c:pt idx="143">
                  <c:v>Zup Aung Camp</c:v>
                </c:pt>
                <c:pt idx="144">
                  <c:v>Woi Chyai (Mong Lai)</c:v>
                </c:pt>
                <c:pt idx="145">
                  <c:v>Bum Tsit Pa * (3)</c:v>
                </c:pt>
                <c:pt idx="146">
                  <c:v>Ku Day Maw KBC</c:v>
                </c:pt>
                <c:pt idx="147">
                  <c:v>Loi Je Lisu  (4) Camp</c:v>
                </c:pt>
                <c:pt idx="148">
                  <c:v>Pan Wa (Saw Zam) camp </c:v>
                </c:pt>
                <c:pt idx="149">
                  <c:v>Lung Sut</c:v>
                </c:pt>
                <c:pt idx="150">
                  <c:v>Ma Hawng RC </c:v>
                </c:pt>
                <c:pt idx="151">
                  <c:v>Pan Ku</c:v>
                </c:pt>
              </c:strCache>
            </c:strRef>
          </c:cat>
          <c:val>
            <c:numRef>
              <c:f>SituationAnalysis!$AC$84:$AC$236</c:f>
              <c:numCache>
                <c:formatCode>0%</c:formatCode>
                <c:ptCount val="152"/>
                <c:pt idx="0">
                  <c:v>0.55555555555555558</c:v>
                </c:pt>
                <c:pt idx="1">
                  <c:v>0.47058823529411764</c:v>
                </c:pt>
                <c:pt idx="2">
                  <c:v>0.2304147465437788</c:v>
                </c:pt>
                <c:pt idx="3">
                  <c:v>0.31088082901554404</c:v>
                </c:pt>
                <c:pt idx="4">
                  <c:v>0.59171597633136097</c:v>
                </c:pt>
                <c:pt idx="5">
                  <c:v>1</c:v>
                </c:pt>
                <c:pt idx="6">
                  <c:v>0.64</c:v>
                </c:pt>
                <c:pt idx="7">
                  <c:v>0</c:v>
                </c:pt>
                <c:pt idx="8">
                  <c:v>1</c:v>
                </c:pt>
                <c:pt idx="9">
                  <c:v>0.91743119266055051</c:v>
                </c:pt>
                <c:pt idx="10">
                  <c:v>1</c:v>
                </c:pt>
                <c:pt idx="11">
                  <c:v>1</c:v>
                </c:pt>
                <c:pt idx="12">
                  <c:v>0.15503875968992248</c:v>
                </c:pt>
                <c:pt idx="13">
                  <c:v>0.53908355795148244</c:v>
                </c:pt>
                <c:pt idx="14">
                  <c:v>0.34168564920273348</c:v>
                </c:pt>
                <c:pt idx="15">
                  <c:v>1</c:v>
                </c:pt>
                <c:pt idx="16">
                  <c:v>0.74349442379182151</c:v>
                </c:pt>
                <c:pt idx="17">
                  <c:v>1</c:v>
                </c:pt>
                <c:pt idx="18">
                  <c:v>0.89552238805970152</c:v>
                </c:pt>
                <c:pt idx="19">
                  <c:v>1</c:v>
                </c:pt>
                <c:pt idx="20">
                  <c:v>1</c:v>
                </c:pt>
                <c:pt idx="21">
                  <c:v>1</c:v>
                </c:pt>
                <c:pt idx="22">
                  <c:v>0.64516129032258063</c:v>
                </c:pt>
                <c:pt idx="23">
                  <c:v>0.79051383399209485</c:v>
                </c:pt>
                <c:pt idx="24">
                  <c:v>0.25951557093425603</c:v>
                </c:pt>
                <c:pt idx="25">
                  <c:v>1</c:v>
                </c:pt>
                <c:pt idx="26">
                  <c:v>1</c:v>
                </c:pt>
                <c:pt idx="27">
                  <c:v>0.5780346820809249</c:v>
                </c:pt>
                <c:pt idx="28">
                  <c:v>0.45819014891179838</c:v>
                </c:pt>
                <c:pt idx="29">
                  <c:v>0.26223776223776224</c:v>
                </c:pt>
                <c:pt idx="30">
                  <c:v>0.82987551867219922</c:v>
                </c:pt>
                <c:pt idx="31">
                  <c:v>0.41067761806981518</c:v>
                </c:pt>
                <c:pt idx="32">
                  <c:v>0.21367521367521367</c:v>
                </c:pt>
                <c:pt idx="33">
                  <c:v>1</c:v>
                </c:pt>
                <c:pt idx="34">
                  <c:v>0.68994066510280116</c:v>
                </c:pt>
                <c:pt idx="35">
                  <c:v>1</c:v>
                </c:pt>
                <c:pt idx="36">
                  <c:v>1</c:v>
                </c:pt>
                <c:pt idx="37">
                  <c:v>0.30769230769230771</c:v>
                </c:pt>
                <c:pt idx="38">
                  <c:v>0.68027210884353739</c:v>
                </c:pt>
                <c:pt idx="39">
                  <c:v>1</c:v>
                </c:pt>
                <c:pt idx="40">
                  <c:v>1</c:v>
                </c:pt>
                <c:pt idx="41">
                  <c:v>1</c:v>
                </c:pt>
                <c:pt idx="42">
                  <c:v>0</c:v>
                </c:pt>
                <c:pt idx="43">
                  <c:v>3.9047247169074581E-2</c:v>
                </c:pt>
                <c:pt idx="44">
                  <c:v>0</c:v>
                </c:pt>
                <c:pt idx="45">
                  <c:v>0.3048780487804878</c:v>
                </c:pt>
                <c:pt idx="46">
                  <c:v>0.64935064935064934</c:v>
                </c:pt>
                <c:pt idx="47">
                  <c:v>1</c:v>
                </c:pt>
                <c:pt idx="48">
                  <c:v>1</c:v>
                </c:pt>
                <c:pt idx="49">
                  <c:v>1</c:v>
                </c:pt>
                <c:pt idx="50">
                  <c:v>0.78003120124804992</c:v>
                </c:pt>
                <c:pt idx="51">
                  <c:v>0.78125</c:v>
                </c:pt>
                <c:pt idx="52">
                  <c:v>1</c:v>
                </c:pt>
                <c:pt idx="53">
                  <c:v>0.24271844660194175</c:v>
                </c:pt>
                <c:pt idx="54">
                  <c:v>0.45454545454545453</c:v>
                </c:pt>
                <c:pt idx="55">
                  <c:v>0.86956521739130432</c:v>
                </c:pt>
                <c:pt idx="56">
                  <c:v>1</c:v>
                </c:pt>
                <c:pt idx="57">
                  <c:v>1</c:v>
                </c:pt>
                <c:pt idx="58">
                  <c:v>0.91743119266055051</c:v>
                </c:pt>
                <c:pt idx="59">
                  <c:v>0.92526690391459077</c:v>
                </c:pt>
                <c:pt idx="60">
                  <c:v>1</c:v>
                </c:pt>
                <c:pt idx="61">
                  <c:v>0.32414910858995138</c:v>
                </c:pt>
                <c:pt idx="62">
                  <c:v>0.28887818969667789</c:v>
                </c:pt>
                <c:pt idx="63">
                  <c:v>1</c:v>
                </c:pt>
                <c:pt idx="64">
                  <c:v>0.49875311720698257</c:v>
                </c:pt>
                <c:pt idx="65">
                  <c:v>0.66225165562913912</c:v>
                </c:pt>
                <c:pt idx="66">
                  <c:v>0.62695924764890287</c:v>
                </c:pt>
                <c:pt idx="67">
                  <c:v>0.64874884151992585</c:v>
                </c:pt>
                <c:pt idx="68">
                  <c:v>0.73891625615763545</c:v>
                </c:pt>
                <c:pt idx="69">
                  <c:v>0.22123893805309736</c:v>
                </c:pt>
                <c:pt idx="70">
                  <c:v>0.29411764705882354</c:v>
                </c:pt>
                <c:pt idx="71">
                  <c:v>0.38077106139933364</c:v>
                </c:pt>
                <c:pt idx="72">
                  <c:v>1</c:v>
                </c:pt>
                <c:pt idx="73">
                  <c:v>1</c:v>
                </c:pt>
                <c:pt idx="74">
                  <c:v>1</c:v>
                </c:pt>
                <c:pt idx="75">
                  <c:v>1</c:v>
                </c:pt>
                <c:pt idx="76">
                  <c:v>0.86206896551724133</c:v>
                </c:pt>
                <c:pt idx="77">
                  <c:v>1</c:v>
                </c:pt>
                <c:pt idx="78">
                  <c:v>1</c:v>
                </c:pt>
                <c:pt idx="79">
                  <c:v>1</c:v>
                </c:pt>
                <c:pt idx="80">
                  <c:v>1</c:v>
                </c:pt>
                <c:pt idx="81">
                  <c:v>0.55020632737276476</c:v>
                </c:pt>
                <c:pt idx="82">
                  <c:v>1</c:v>
                </c:pt>
                <c:pt idx="83">
                  <c:v>0.5714285714285714</c:v>
                </c:pt>
                <c:pt idx="84">
                  <c:v>1</c:v>
                </c:pt>
                <c:pt idx="85">
                  <c:v>1</c:v>
                </c:pt>
                <c:pt idx="86">
                  <c:v>1</c:v>
                </c:pt>
                <c:pt idx="87">
                  <c:v>0.36429872495446264</c:v>
                </c:pt>
                <c:pt idx="88">
                  <c:v>0.52910052910052907</c:v>
                </c:pt>
                <c:pt idx="89">
                  <c:v>0.6872852233676976</c:v>
                </c:pt>
                <c:pt idx="90">
                  <c:v>0.92165898617511521</c:v>
                </c:pt>
                <c:pt idx="91">
                  <c:v>1</c:v>
                </c:pt>
                <c:pt idx="92">
                  <c:v>0.74349442379182151</c:v>
                </c:pt>
                <c:pt idx="93">
                  <c:v>1</c:v>
                </c:pt>
                <c:pt idx="94">
                  <c:v>1</c:v>
                </c:pt>
                <c:pt idx="95">
                  <c:v>0.97402597402597402</c:v>
                </c:pt>
                <c:pt idx="96">
                  <c:v>1</c:v>
                </c:pt>
                <c:pt idx="97">
                  <c:v>0.73529411764705888</c:v>
                </c:pt>
                <c:pt idx="98">
                  <c:v>0</c:v>
                </c:pt>
                <c:pt idx="99">
                  <c:v>1</c:v>
                </c:pt>
                <c:pt idx="100">
                  <c:v>1</c:v>
                </c:pt>
                <c:pt idx="101">
                  <c:v>1</c:v>
                </c:pt>
                <c:pt idx="102">
                  <c:v>0.42865890998162892</c:v>
                </c:pt>
                <c:pt idx="103">
                  <c:v>1</c:v>
                </c:pt>
                <c:pt idx="104">
                  <c:v>0.8733624454148472</c:v>
                </c:pt>
                <c:pt idx="105">
                  <c:v>1</c:v>
                </c:pt>
                <c:pt idx="106">
                  <c:v>0.14903129657228018</c:v>
                </c:pt>
                <c:pt idx="107">
                  <c:v>0.39840637450199201</c:v>
                </c:pt>
                <c:pt idx="108">
                  <c:v>0.74349442379182151</c:v>
                </c:pt>
                <c:pt idx="109">
                  <c:v>0.77922077922077926</c:v>
                </c:pt>
                <c:pt idx="110">
                  <c:v>0.61919504643962853</c:v>
                </c:pt>
                <c:pt idx="111">
                  <c:v>0.93457943925233644</c:v>
                </c:pt>
                <c:pt idx="112">
                  <c:v>0.3125</c:v>
                </c:pt>
                <c:pt idx="113">
                  <c:v>1</c:v>
                </c:pt>
                <c:pt idx="114">
                  <c:v>1</c:v>
                </c:pt>
                <c:pt idx="115">
                  <c:v>1</c:v>
                </c:pt>
                <c:pt idx="116">
                  <c:v>1</c:v>
                </c:pt>
                <c:pt idx="117">
                  <c:v>1</c:v>
                </c:pt>
                <c:pt idx="118">
                  <c:v>0.26448029621793179</c:v>
                </c:pt>
                <c:pt idx="119">
                  <c:v>1</c:v>
                </c:pt>
                <c:pt idx="120">
                  <c:v>0.5</c:v>
                </c:pt>
                <c:pt idx="121">
                  <c:v>0.70921985815602839</c:v>
                </c:pt>
                <c:pt idx="122">
                  <c:v>0.68807339449541283</c:v>
                </c:pt>
                <c:pt idx="123">
                  <c:v>1</c:v>
                </c:pt>
                <c:pt idx="124">
                  <c:v>1</c:v>
                </c:pt>
                <c:pt idx="125">
                  <c:v>0.23529411764705882</c:v>
                </c:pt>
                <c:pt idx="126">
                  <c:v>1</c:v>
                </c:pt>
                <c:pt idx="127">
                  <c:v>1</c:v>
                </c:pt>
                <c:pt idx="128">
                  <c:v>1</c:v>
                </c:pt>
                <c:pt idx="129">
                  <c:v>0.77519379844961245</c:v>
                </c:pt>
                <c:pt idx="130">
                  <c:v>1</c:v>
                </c:pt>
                <c:pt idx="131">
                  <c:v>1</c:v>
                </c:pt>
                <c:pt idx="132">
                  <c:v>1</c:v>
                </c:pt>
                <c:pt idx="133">
                  <c:v>0.83333333333333337</c:v>
                </c:pt>
                <c:pt idx="134">
                  <c:v>1</c:v>
                </c:pt>
                <c:pt idx="135">
                  <c:v>1</c:v>
                </c:pt>
                <c:pt idx="136">
                  <c:v>1</c:v>
                </c:pt>
                <c:pt idx="137">
                  <c:v>1</c:v>
                </c:pt>
                <c:pt idx="138">
                  <c:v>1</c:v>
                </c:pt>
                <c:pt idx="139">
                  <c:v>1</c:v>
                </c:pt>
                <c:pt idx="140">
                  <c:v>1</c:v>
                </c:pt>
                <c:pt idx="141">
                  <c:v>1</c:v>
                </c:pt>
                <c:pt idx="142">
                  <c:v>0.49180327868852458</c:v>
                </c:pt>
                <c:pt idx="143">
                  <c:v>1</c:v>
                </c:pt>
                <c:pt idx="144">
                  <c:v>1</c:v>
                </c:pt>
                <c:pt idx="145">
                  <c:v>1</c:v>
                </c:pt>
                <c:pt idx="146">
                  <c:v>0.44642857142857145</c:v>
                </c:pt>
                <c:pt idx="147">
                  <c:v>0.80645161290322576</c:v>
                </c:pt>
                <c:pt idx="148">
                  <c:v>0</c:v>
                </c:pt>
                <c:pt idx="149">
                  <c:v>0</c:v>
                </c:pt>
                <c:pt idx="150">
                  <c:v>0</c:v>
                </c:pt>
                <c:pt idx="151">
                  <c:v>0</c:v>
                </c:pt>
              </c:numCache>
            </c:numRef>
          </c:val>
        </c:ser>
        <c:dLbls>
          <c:showLegendKey val="0"/>
          <c:showVal val="0"/>
          <c:showCatName val="0"/>
          <c:showSerName val="0"/>
          <c:showPercent val="0"/>
          <c:showBubbleSize val="0"/>
        </c:dLbls>
        <c:gapWidth val="219"/>
        <c:overlap val="-27"/>
        <c:axId val="106040704"/>
        <c:axId val="106058880"/>
      </c:barChart>
      <c:catAx>
        <c:axId val="10604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58880"/>
        <c:crosses val="autoZero"/>
        <c:auto val="1"/>
        <c:lblAlgn val="ctr"/>
        <c:lblOffset val="100"/>
        <c:noMultiLvlLbl val="0"/>
      </c:catAx>
      <c:valAx>
        <c:axId val="1060588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4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July.xlsx]SituationAnalysis!PivotTable19</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SituationAnalysis!$C$282</c:f>
              <c:strCache>
                <c:ptCount val="1"/>
                <c:pt idx="0">
                  <c:v>% Coverage Permanent Latrine</c:v>
                </c:pt>
              </c:strCache>
            </c:strRef>
          </c:tx>
          <c:spPr>
            <a:solidFill>
              <a:schemeClr val="accent1"/>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SituationAnalysis!$C$283:$C$293</c:f>
              <c:numCache>
                <c:formatCode>0%</c:formatCode>
                <c:ptCount val="10"/>
                <c:pt idx="0">
                  <c:v>0.73387978142076504</c:v>
                </c:pt>
                <c:pt idx="1">
                  <c:v>0.81111818037219663</c:v>
                </c:pt>
                <c:pt idx="2">
                  <c:v>0.89789789789789787</c:v>
                </c:pt>
                <c:pt idx="3">
                  <c:v>0.59884987366036424</c:v>
                </c:pt>
                <c:pt idx="4">
                  <c:v>0.54573229873908824</c:v>
                </c:pt>
                <c:pt idx="5">
                  <c:v>0.7180812404102398</c:v>
                </c:pt>
                <c:pt idx="6">
                  <c:v>0.39910089910089908</c:v>
                </c:pt>
                <c:pt idx="7">
                  <c:v>0.15217391304347827</c:v>
                </c:pt>
                <c:pt idx="8">
                  <c:v>0.16443987667009249</c:v>
                </c:pt>
                <c:pt idx="9">
                  <c:v>0.35633055344958303</c:v>
                </c:pt>
              </c:numCache>
            </c:numRef>
          </c:val>
        </c:ser>
        <c:ser>
          <c:idx val="1"/>
          <c:order val="1"/>
          <c:tx>
            <c:strRef>
              <c:f>SituationAnalysis!$D$282</c:f>
              <c:strCache>
                <c:ptCount val="1"/>
                <c:pt idx="0">
                  <c:v>%  Coverage Emergency latrine</c:v>
                </c:pt>
              </c:strCache>
            </c:strRef>
          </c:tx>
          <c:spPr>
            <a:solidFill>
              <a:schemeClr val="accent2"/>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SituationAnalysis!$D$283:$D$293</c:f>
              <c:numCache>
                <c:formatCode>0%</c:formatCode>
                <c:ptCount val="10"/>
                <c:pt idx="0">
                  <c:v>6.2295081967213117E-2</c:v>
                </c:pt>
                <c:pt idx="1">
                  <c:v>8.4619055193255924E-2</c:v>
                </c:pt>
                <c:pt idx="2">
                  <c:v>0.1021021021021021</c:v>
                </c:pt>
                <c:pt idx="3">
                  <c:v>0.21286050361592754</c:v>
                </c:pt>
                <c:pt idx="4">
                  <c:v>0.45426770126091176</c:v>
                </c:pt>
                <c:pt idx="5">
                  <c:v>0.19082613260114673</c:v>
                </c:pt>
                <c:pt idx="6">
                  <c:v>0.42407592407592409</c:v>
                </c:pt>
                <c:pt idx="7">
                  <c:v>0.6968944099378882</c:v>
                </c:pt>
                <c:pt idx="8">
                  <c:v>0.48612538540596095</c:v>
                </c:pt>
                <c:pt idx="9">
                  <c:v>0.48332069749810463</c:v>
                </c:pt>
              </c:numCache>
            </c:numRef>
          </c:val>
        </c:ser>
        <c:dLbls>
          <c:showLegendKey val="0"/>
          <c:showVal val="0"/>
          <c:showCatName val="0"/>
          <c:showSerName val="0"/>
          <c:showPercent val="0"/>
          <c:showBubbleSize val="0"/>
        </c:dLbls>
        <c:gapWidth val="150"/>
        <c:shape val="box"/>
        <c:axId val="106101760"/>
        <c:axId val="106107648"/>
        <c:axId val="0"/>
      </c:bar3DChart>
      <c:catAx>
        <c:axId val="1061017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07648"/>
        <c:crosses val="autoZero"/>
        <c:auto val="1"/>
        <c:lblAlgn val="ctr"/>
        <c:lblOffset val="100"/>
        <c:noMultiLvlLbl val="0"/>
      </c:catAx>
      <c:valAx>
        <c:axId val="106107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0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0" i="1"/>
              <a:t>119,500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5.7287410567956533E-2"/>
                  <c:y val="0.1817993782279495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indicator'!$C$46:$C$49</c:f>
              <c:numCache>
                <c:formatCode>0%</c:formatCode>
                <c:ptCount val="4"/>
                <c:pt idx="0">
                  <c:v>0.76055137756536406</c:v>
                </c:pt>
                <c:pt idx="1">
                  <c:v>0.23944862243463594</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July.xlsx]SituationAnalysis!PivotTable15</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SituationAnalysis!$C$194:$C$195</c:f>
              <c:strCache>
                <c:ptCount val="1"/>
                <c:pt idx="0">
                  <c:v>GCA</c:v>
                </c:pt>
              </c:strCache>
            </c:strRef>
          </c:tx>
          <c:spPr>
            <a:solidFill>
              <a:schemeClr val="accent1"/>
            </a:solidFill>
            <a:ln>
              <a:noFill/>
            </a:ln>
            <a:effectLst/>
            <a:sp3d/>
          </c:spPr>
          <c:invertIfNegative val="0"/>
          <c:cat>
            <c:strRef>
              <c:f>SituationAnalysis!$B$196:$B$214</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SituationAnalysis!$C$196:$C$214</c:f>
              <c:numCache>
                <c:formatCode>0</c:formatCode>
                <c:ptCount val="18"/>
                <c:pt idx="0">
                  <c:v>207.35000000000002</c:v>
                </c:pt>
                <c:pt idx="1">
                  <c:v>36.549999999999997</c:v>
                </c:pt>
                <c:pt idx="2">
                  <c:v>48.7</c:v>
                </c:pt>
                <c:pt idx="3">
                  <c:v>0.85</c:v>
                </c:pt>
                <c:pt idx="4">
                  <c:v>143.25</c:v>
                </c:pt>
                <c:pt idx="5">
                  <c:v>210.89999999999998</c:v>
                </c:pt>
                <c:pt idx="6">
                  <c:v>15.299999999999999</c:v>
                </c:pt>
                <c:pt idx="7">
                  <c:v>9.9499999999999993</c:v>
                </c:pt>
                <c:pt idx="8">
                  <c:v>0</c:v>
                </c:pt>
                <c:pt idx="9">
                  <c:v>158.00000000000003</c:v>
                </c:pt>
                <c:pt idx="10">
                  <c:v>27.299999999999997</c:v>
                </c:pt>
                <c:pt idx="11">
                  <c:v>53.949999999999989</c:v>
                </c:pt>
                <c:pt idx="12">
                  <c:v>63.35</c:v>
                </c:pt>
                <c:pt idx="13">
                  <c:v>2.35</c:v>
                </c:pt>
                <c:pt idx="14">
                  <c:v>9.9</c:v>
                </c:pt>
                <c:pt idx="15">
                  <c:v>2.9000000000000004</c:v>
                </c:pt>
                <c:pt idx="16">
                  <c:v>64.400000000000006</c:v>
                </c:pt>
                <c:pt idx="17">
                  <c:v>19.600000000000001</c:v>
                </c:pt>
              </c:numCache>
            </c:numRef>
          </c:val>
        </c:ser>
        <c:ser>
          <c:idx val="1"/>
          <c:order val="1"/>
          <c:tx>
            <c:strRef>
              <c:f>SituationAnalysis!$D$194:$D$195</c:f>
              <c:strCache>
                <c:ptCount val="1"/>
                <c:pt idx="0">
                  <c:v>NGCA</c:v>
                </c:pt>
              </c:strCache>
            </c:strRef>
          </c:tx>
          <c:spPr>
            <a:solidFill>
              <a:schemeClr val="accent2"/>
            </a:solidFill>
            <a:ln>
              <a:noFill/>
            </a:ln>
            <a:effectLst/>
            <a:sp3d/>
          </c:spPr>
          <c:invertIfNegative val="0"/>
          <c:cat>
            <c:strRef>
              <c:f>SituationAnalysis!$B$196:$B$214</c:f>
              <c:strCache>
                <c:ptCount val="18"/>
                <c:pt idx="0">
                  <c:v>Bhamo</c:v>
                </c:pt>
                <c:pt idx="1">
                  <c:v>Chipwi</c:v>
                </c:pt>
                <c:pt idx="2">
                  <c:v>Hpakan</c:v>
                </c:pt>
                <c:pt idx="3">
                  <c:v>Khaunglanhpu</c:v>
                </c:pt>
                <c:pt idx="4">
                  <c:v>Kutkai</c:v>
                </c:pt>
                <c:pt idx="5">
                  <c:v>Mansi</c:v>
                </c:pt>
                <c:pt idx="6">
                  <c:v>Manton</c:v>
                </c:pt>
                <c:pt idx="7">
                  <c:v>Mogaung</c:v>
                </c:pt>
                <c:pt idx="8">
                  <c:v>Mohnyin</c:v>
                </c:pt>
                <c:pt idx="9">
                  <c:v>Momauk</c:v>
                </c:pt>
                <c:pt idx="10">
                  <c:v>Muse</c:v>
                </c:pt>
                <c:pt idx="11">
                  <c:v>Myitkyina</c:v>
                </c:pt>
                <c:pt idx="12">
                  <c:v>Namkham</c:v>
                </c:pt>
                <c:pt idx="13">
                  <c:v>Namtu</c:v>
                </c:pt>
                <c:pt idx="14">
                  <c:v>Puta-O</c:v>
                </c:pt>
                <c:pt idx="15">
                  <c:v>Shwegu</c:v>
                </c:pt>
                <c:pt idx="16">
                  <c:v>Waingmaw</c:v>
                </c:pt>
                <c:pt idx="17">
                  <c:v>Hseni</c:v>
                </c:pt>
              </c:strCache>
            </c:strRef>
          </c:cat>
          <c:val>
            <c:numRef>
              <c:f>SituationAnalysis!$D$196:$D$214</c:f>
              <c:numCache>
                <c:formatCode>0</c:formatCode>
                <c:ptCount val="18"/>
                <c:pt idx="1">
                  <c:v>43.65</c:v>
                </c:pt>
                <c:pt idx="5">
                  <c:v>93.050000000000011</c:v>
                </c:pt>
                <c:pt idx="6">
                  <c:v>22.3</c:v>
                </c:pt>
                <c:pt idx="9">
                  <c:v>81.8</c:v>
                </c:pt>
                <c:pt idx="11">
                  <c:v>0.39999999999999991</c:v>
                </c:pt>
                <c:pt idx="16">
                  <c:v>479.75</c:v>
                </c:pt>
              </c:numCache>
            </c:numRef>
          </c:val>
        </c:ser>
        <c:dLbls>
          <c:showLegendKey val="0"/>
          <c:showVal val="0"/>
          <c:showCatName val="0"/>
          <c:showSerName val="0"/>
          <c:showPercent val="0"/>
          <c:showBubbleSize val="0"/>
        </c:dLbls>
        <c:gapWidth val="150"/>
        <c:shape val="box"/>
        <c:axId val="106142336"/>
        <c:axId val="106160512"/>
        <c:axId val="0"/>
      </c:bar3DChart>
      <c:catAx>
        <c:axId val="106142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60512"/>
        <c:crosses val="autoZero"/>
        <c:auto val="1"/>
        <c:lblAlgn val="ctr"/>
        <c:lblOffset val="100"/>
        <c:noMultiLvlLbl val="0"/>
      </c:catAx>
      <c:valAx>
        <c:axId val="10616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4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July.xlsx]SituationAnalysis!PivotTable32</c:name>
    <c:fmtId val="35"/>
  </c:pivotSource>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en-US" sz="1600">
                <a:solidFill>
                  <a:sysClr val="windowText" lastClr="000000"/>
                </a:solidFill>
              </a:rPr>
              <a:t>Project</a:t>
            </a:r>
            <a:r>
              <a:rPr lang="en-US" sz="1600" baseline="0">
                <a:solidFill>
                  <a:sysClr val="windowText" lastClr="000000"/>
                </a:solidFill>
              </a:rPr>
              <a:t> Gap Areas</a:t>
            </a:r>
          </a:p>
        </c:rich>
      </c:tx>
      <c:layout>
        <c:manualLayout>
          <c:xMode val="edge"/>
          <c:yMode val="edge"/>
          <c:x val="0.35950712211420871"/>
          <c:y val="6.4494450684174393E-2"/>
        </c:manualLayout>
      </c:layout>
      <c:overlay val="0"/>
      <c:spPr>
        <a:noFill/>
        <a:ln>
          <a:noFill/>
        </a:ln>
        <a:effectLst/>
      </c:spPr>
    </c:title>
    <c:autoTitleDeleted val="0"/>
    <c:pivotFmts>
      <c:pivotFmt>
        <c:idx val="0"/>
        <c:spPr>
          <a:solidFill>
            <a:schemeClr val="accent2">
              <a:lumMod val="75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ndard"/>
        <c:varyColors val="0"/>
        <c:ser>
          <c:idx val="0"/>
          <c:order val="0"/>
          <c:tx>
            <c:strRef>
              <c:f>SituationAnalysis!$C$712</c:f>
              <c:strCache>
                <c:ptCount val="1"/>
                <c:pt idx="0">
                  <c:v>Total</c:v>
                </c:pt>
              </c:strCache>
            </c:strRef>
          </c:tx>
          <c:spPr>
            <a:solidFill>
              <a:schemeClr val="accent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multiLvlStrRef>
              <c:f>SituationAnalysis!$B$713:$B$719</c:f>
              <c:multiLvlStrCache>
                <c:ptCount val="5"/>
                <c:lvl>
                  <c:pt idx="0">
                    <c:v>Hpakan</c:v>
                  </c:pt>
                  <c:pt idx="1">
                    <c:v>Khaunglanhpu</c:v>
                  </c:pt>
                  <c:pt idx="2">
                    <c:v>Manton</c:v>
                  </c:pt>
                  <c:pt idx="3">
                    <c:v>Mogaung</c:v>
                  </c:pt>
                  <c:pt idx="4">
                    <c:v>Puta-O</c:v>
                  </c:pt>
                </c:lvl>
                <c:lvl>
                  <c:pt idx="0">
                    <c:v>Gap</c:v>
                  </c:pt>
                </c:lvl>
              </c:multiLvlStrCache>
            </c:multiLvlStrRef>
          </c:cat>
          <c:val>
            <c:numRef>
              <c:f>SituationAnalysis!$C$713:$C$719</c:f>
              <c:numCache>
                <c:formatCode>General</c:formatCode>
                <c:ptCount val="5"/>
                <c:pt idx="0">
                  <c:v>19</c:v>
                </c:pt>
                <c:pt idx="1">
                  <c:v>1</c:v>
                </c:pt>
                <c:pt idx="2">
                  <c:v>1</c:v>
                </c:pt>
                <c:pt idx="3">
                  <c:v>2</c:v>
                </c:pt>
                <c:pt idx="4">
                  <c:v>2</c:v>
                </c:pt>
              </c:numCache>
            </c:numRef>
          </c:val>
        </c:ser>
        <c:dLbls>
          <c:showLegendKey val="0"/>
          <c:showVal val="0"/>
          <c:showCatName val="0"/>
          <c:showSerName val="0"/>
          <c:showPercent val="0"/>
          <c:showBubbleSize val="0"/>
        </c:dLbls>
        <c:gapWidth val="150"/>
        <c:shape val="box"/>
        <c:axId val="106190720"/>
        <c:axId val="106192256"/>
        <c:axId val="106047680"/>
      </c:bar3DChart>
      <c:catAx>
        <c:axId val="10619072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92256"/>
        <c:crosses val="autoZero"/>
        <c:auto val="1"/>
        <c:lblAlgn val="ctr"/>
        <c:lblOffset val="100"/>
        <c:noMultiLvlLbl val="0"/>
      </c:catAx>
      <c:valAx>
        <c:axId val="106192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90720"/>
        <c:crosses val="autoZero"/>
        <c:crossBetween val="between"/>
      </c:valAx>
      <c:serAx>
        <c:axId val="106047680"/>
        <c:scaling>
          <c:orientation val="minMax"/>
        </c:scaling>
        <c:delete val="1"/>
        <c:axPos val="b"/>
        <c:majorTickMark val="out"/>
        <c:minorTickMark val="none"/>
        <c:tickLblPos val="nextTo"/>
        <c:crossAx val="106192256"/>
        <c:crosses val="autoZero"/>
      </c:serAx>
      <c:spPr>
        <a:noFill/>
        <a:ln>
          <a:noFill/>
        </a:ln>
        <a:effectLst>
          <a:innerShdw blurRad="63500" dist="50800" dir="10800000">
            <a:prstClr val="black"/>
          </a:innerShdw>
        </a:effectLst>
      </c:spPr>
    </c:plotArea>
    <c:legend>
      <c:legendPos val="b"/>
      <c:layout>
        <c:manualLayout>
          <c:xMode val="edge"/>
          <c:yMode val="edge"/>
          <c:x val="0.45217843293225346"/>
          <c:y val="0.86429250349344944"/>
          <c:w val="0.15374949426551013"/>
          <c:h val="6.40469957463568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25400" dist="50800" dir="5400000" sx="101000" sy="101000" algn="ctr" rotWithShape="0">
        <a:srgbClr val="000000">
          <a:alpha val="52000"/>
        </a:srgbClr>
      </a:outerShdw>
    </a:effectLst>
    <a:scene3d>
      <a:camera prst="orthographicFront"/>
      <a:lightRig rig="threePt" dir="t"/>
    </a:scene3d>
    <a:sp3d prstMaterial="dkEdge">
      <a:bevelT w="152400" h="50800" prst="softRoun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analysis!PivotTable2</c:name>
    <c:fmtId val="8"/>
  </c:pivotSource>
  <c:chart>
    <c:title>
      <c:tx>
        <c:rich>
          <a:bodyPr/>
          <a:lstStyle/>
          <a:p>
            <a:pPr>
              <a:defRPr sz="1400"/>
            </a:pPr>
            <a:r>
              <a:rPr lang="en-US" sz="1400"/>
              <a:t>DONORS</a:t>
            </a:r>
            <a:r>
              <a:rPr lang="en-US" sz="1400" baseline="0"/>
              <a:t> FUNDING</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15"/>
        <c:dLbl>
          <c:idx val="0"/>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16"/>
        <c:dLbl>
          <c:idx val="0"/>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17"/>
        <c:dLbl>
          <c:idx val="0"/>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18"/>
        <c:dLbl>
          <c:idx val="0"/>
          <c:layout>
            <c:manualLayout>
              <c:x val="1.3367944941996755E-2"/>
              <c:y val="3.7459007768794947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0"/>
        <c:dLbl>
          <c:idx val="0"/>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1"/>
        <c:dLbl>
          <c:idx val="0"/>
          <c:layout>
            <c:manualLayout>
              <c:x val="0.13819829296147143"/>
              <c:y val="-6.9367842800273569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3"/>
        <c:dLbl>
          <c:idx val="0"/>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4"/>
        <c:dLbl>
          <c:idx val="0"/>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5"/>
        <c:dLbl>
          <c:idx val="0"/>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6"/>
        <c:dLbl>
          <c:idx val="0"/>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7"/>
        <c:dLbl>
          <c:idx val="0"/>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8"/>
        <c:dLbl>
          <c:idx val="0"/>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9"/>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30"/>
        <c:dLbl>
          <c:idx val="0"/>
          <c:layout>
            <c:manualLayout>
              <c:x val="-5.9089529362264831E-2"/>
              <c:y val="0.1029536327446819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analysis'!$C$8:$C$9</c:f>
              <c:strCache>
                <c:ptCount val="1"/>
                <c:pt idx="0">
                  <c:v>Total</c:v>
                </c:pt>
              </c:strCache>
            </c:strRef>
          </c:tx>
          <c:explosion val="25"/>
          <c:dLbls>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2"/>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3"/>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4"/>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5"/>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6"/>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8"/>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9"/>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0"/>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1"/>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2"/>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spPr>
              <a:noFill/>
              <a:ln>
                <a:noFill/>
              </a:ln>
              <a:effectLst/>
            </c:spPr>
            <c:txPr>
              <a:bodyPr/>
              <a:lstStyle/>
              <a:p>
                <a:pPr>
                  <a:defRPr/>
                </a:pPr>
                <a:endParaRPr lang="en-US"/>
              </a:p>
            </c:txPr>
            <c:showLegendKey val="0"/>
            <c:showVal val="1"/>
            <c:showCatName val="1"/>
            <c:showSerName val="0"/>
            <c:showPercent val="1"/>
            <c:showBubbleSize val="0"/>
            <c:separator>
</c:separator>
            <c:showLeaderLines val="1"/>
          </c:dLbls>
          <c:cat>
            <c:strRef>
              <c:f>'Funds analysis'!$B$10:$B$28</c:f>
              <c:strCache>
                <c:ptCount val="18"/>
                <c:pt idx="0">
                  <c:v>ECHO</c:v>
                </c:pt>
                <c:pt idx="1">
                  <c:v>Germany</c:v>
                </c:pt>
                <c:pt idx="2">
                  <c:v>OFDA</c:v>
                </c:pt>
                <c:pt idx="3">
                  <c:v>CERF</c:v>
                </c:pt>
                <c:pt idx="4">
                  <c:v>Canada</c:v>
                </c:pt>
                <c:pt idx="5">
                  <c:v>Australian</c:v>
                </c:pt>
                <c:pt idx="6">
                  <c:v>France</c:v>
                </c:pt>
                <c:pt idx="7">
                  <c:v>Sweden</c:v>
                </c:pt>
                <c:pt idx="8">
                  <c:v>CIDA</c:v>
                </c:pt>
                <c:pt idx="9">
                  <c:v>Japan</c:v>
                </c:pt>
                <c:pt idx="10">
                  <c:v>SC seed funding</c:v>
                </c:pt>
                <c:pt idx="11">
                  <c:v>SIDA</c:v>
                </c:pt>
                <c:pt idx="12">
                  <c:v>Start fund</c:v>
                </c:pt>
                <c:pt idx="13">
                  <c:v>DFAT</c:v>
                </c:pt>
                <c:pt idx="14">
                  <c:v>ERF</c:v>
                </c:pt>
                <c:pt idx="15">
                  <c:v>FCA</c:v>
                </c:pt>
                <c:pt idx="16">
                  <c:v>HIDA( HOPE)</c:v>
                </c:pt>
                <c:pt idx="17">
                  <c:v>DIFID</c:v>
                </c:pt>
              </c:strCache>
            </c:strRef>
          </c:cat>
          <c:val>
            <c:numRef>
              <c:f>'Funds analysis'!$C$10:$C$28</c:f>
              <c:numCache>
                <c:formatCode>#,##0</c:formatCode>
                <c:ptCount val="18"/>
                <c:pt idx="0">
                  <c:v>4429713</c:v>
                </c:pt>
                <c:pt idx="1">
                  <c:v>414423</c:v>
                </c:pt>
                <c:pt idx="2">
                  <c:v>3761179</c:v>
                </c:pt>
                <c:pt idx="3">
                  <c:v>2195052.61</c:v>
                </c:pt>
                <c:pt idx="4">
                  <c:v>292113</c:v>
                </c:pt>
                <c:pt idx="5">
                  <c:v>515029</c:v>
                </c:pt>
                <c:pt idx="6">
                  <c:v>197000</c:v>
                </c:pt>
                <c:pt idx="7">
                  <c:v>156270</c:v>
                </c:pt>
                <c:pt idx="8">
                  <c:v>396792</c:v>
                </c:pt>
                <c:pt idx="9">
                  <c:v>750000</c:v>
                </c:pt>
                <c:pt idx="10">
                  <c:v>17000</c:v>
                </c:pt>
                <c:pt idx="11">
                  <c:v>80400</c:v>
                </c:pt>
                <c:pt idx="12">
                  <c:v>43482</c:v>
                </c:pt>
                <c:pt idx="13">
                  <c:v>711973</c:v>
                </c:pt>
                <c:pt idx="14">
                  <c:v>346135</c:v>
                </c:pt>
                <c:pt idx="15">
                  <c:v>400000</c:v>
                </c:pt>
                <c:pt idx="17">
                  <c:v>399283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analysis!PivotTable3</c:name>
    <c:fmtId val="3"/>
  </c:pivotSource>
  <c:chart>
    <c:title>
      <c:tx>
        <c:rich>
          <a:bodyPr/>
          <a:lstStyle/>
          <a:p>
            <a:pPr>
              <a:defRPr sz="1400"/>
            </a:pPr>
            <a:r>
              <a:rPr lang="en-US" sz="1400"/>
              <a:t>FUNDS REPARTITION BY SUB-SECTOR</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6.8367719857802605E-3"/>
              <c:y val="-0.1852885779173976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5.1789407714310023E-2"/>
              <c:y val="-3.4154288952517081E-3"/>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3"/>
        <c:dLbl>
          <c:idx val="0"/>
          <c:layout>
            <c:manualLayout>
              <c:x val="-0.23264034794902508"/>
              <c:y val="-2.0951518134096875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4"/>
        <c:dLbl>
          <c:idx val="0"/>
          <c:layout>
            <c:manualLayout>
              <c:x val="-2.5536879585812373E-2"/>
              <c:y val="-4.3686620138391793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analysis'!$C$140</c:f>
              <c:strCache>
                <c:ptCount val="1"/>
                <c:pt idx="0">
                  <c:v>Total</c:v>
                </c:pt>
              </c:strCache>
            </c:strRef>
          </c:tx>
          <c:explosion val="25"/>
          <c:dLbls>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en-US"/>
              </a:p>
            </c:txPr>
            <c:showLegendKey val="0"/>
            <c:showVal val="0"/>
            <c:showCatName val="1"/>
            <c:showSerName val="0"/>
            <c:showPercent val="0"/>
            <c:showBubbleSize val="0"/>
            <c:showLeaderLines val="1"/>
          </c:dLbls>
          <c:cat>
            <c:strRef>
              <c:f>'Funds analysis'!$B$141:$B$143</c:f>
              <c:strCache>
                <c:ptCount val="3"/>
                <c:pt idx="0">
                  <c:v>Average of Approximate % of fund dedicated to sanitation</c:v>
                </c:pt>
                <c:pt idx="1">
                  <c:v>Average of Approximate % fund dedicated to Water access</c:v>
                </c:pt>
                <c:pt idx="2">
                  <c:v>Average of Approximate % of fund dedicated to HP</c:v>
                </c:pt>
              </c:strCache>
            </c:strRef>
          </c:cat>
          <c:val>
            <c:numRef>
              <c:f>'Funds analysis'!$C$141:$C$143</c:f>
              <c:numCache>
                <c:formatCode>0%</c:formatCode>
                <c:ptCount val="3"/>
                <c:pt idx="0">
                  <c:v>0.33978156056371661</c:v>
                </c:pt>
                <c:pt idx="1">
                  <c:v>0.28053791756058799</c:v>
                </c:pt>
                <c:pt idx="2">
                  <c:v>0.35099321453511412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analysis!PivotTable6</c:name>
    <c:fmtId val="2"/>
  </c:pivotSource>
  <c:chart>
    <c:title>
      <c:tx>
        <c:rich>
          <a:bodyPr/>
          <a:lstStyle/>
          <a:p>
            <a:pPr>
              <a:defRPr sz="1400"/>
            </a:pPr>
            <a:r>
              <a:rPr lang="en-US" sz="1400"/>
              <a:t>NB OF BENEFICIARIES PER SUB-SECTOR</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analysis'!$C$153:$C$154</c:f>
              <c:strCache>
                <c:ptCount val="1"/>
                <c:pt idx="0">
                  <c:v>2012</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analysis'!$C$155:$C$157</c:f>
              <c:numCache>
                <c:formatCode>0</c:formatCode>
                <c:ptCount val="3"/>
                <c:pt idx="0">
                  <c:v>273381</c:v>
                </c:pt>
                <c:pt idx="1">
                  <c:v>269017</c:v>
                </c:pt>
                <c:pt idx="2">
                  <c:v>292077</c:v>
                </c:pt>
              </c:numCache>
            </c:numRef>
          </c:val>
        </c:ser>
        <c:ser>
          <c:idx val="1"/>
          <c:order val="1"/>
          <c:tx>
            <c:strRef>
              <c:f>'Funds analysis'!$D$153:$D$154</c:f>
              <c:strCache>
                <c:ptCount val="1"/>
                <c:pt idx="0">
                  <c:v>2013</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analysis'!$D$155:$D$157</c:f>
              <c:numCache>
                <c:formatCode>0</c:formatCode>
                <c:ptCount val="3"/>
                <c:pt idx="0">
                  <c:v>57928</c:v>
                </c:pt>
                <c:pt idx="1">
                  <c:v>72891</c:v>
                </c:pt>
                <c:pt idx="2">
                  <c:v>79187</c:v>
                </c:pt>
              </c:numCache>
            </c:numRef>
          </c:val>
        </c:ser>
        <c:ser>
          <c:idx val="2"/>
          <c:order val="2"/>
          <c:tx>
            <c:strRef>
              <c:f>'Funds analysis'!$E$153:$E$154</c:f>
              <c:strCache>
                <c:ptCount val="1"/>
                <c:pt idx="0">
                  <c:v>2014</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analysis'!$E$155:$E$157</c:f>
              <c:numCache>
                <c:formatCode>0</c:formatCode>
                <c:ptCount val="3"/>
                <c:pt idx="0">
                  <c:v>136152</c:v>
                </c:pt>
                <c:pt idx="1">
                  <c:v>139508</c:v>
                </c:pt>
                <c:pt idx="2">
                  <c:v>141595</c:v>
                </c:pt>
              </c:numCache>
            </c:numRef>
          </c:val>
        </c:ser>
        <c:ser>
          <c:idx val="3"/>
          <c:order val="3"/>
          <c:tx>
            <c:strRef>
              <c:f>'Funds analysis'!$F$153:$F$154</c:f>
              <c:strCache>
                <c:ptCount val="1"/>
                <c:pt idx="0">
                  <c:v>2015</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analysis'!$F$155:$F$157</c:f>
              <c:numCache>
                <c:formatCode>0</c:formatCode>
                <c:ptCount val="3"/>
                <c:pt idx="0">
                  <c:v>74915</c:v>
                </c:pt>
                <c:pt idx="1">
                  <c:v>64953</c:v>
                </c:pt>
                <c:pt idx="2">
                  <c:v>81577</c:v>
                </c:pt>
              </c:numCache>
            </c:numRef>
          </c:val>
        </c:ser>
        <c:dLbls>
          <c:showLegendKey val="0"/>
          <c:showVal val="0"/>
          <c:showCatName val="0"/>
          <c:showSerName val="0"/>
          <c:showPercent val="0"/>
          <c:showBubbleSize val="0"/>
        </c:dLbls>
        <c:gapWidth val="150"/>
        <c:shape val="box"/>
        <c:axId val="106655104"/>
        <c:axId val="106656896"/>
        <c:axId val="0"/>
      </c:bar3DChart>
      <c:catAx>
        <c:axId val="106655104"/>
        <c:scaling>
          <c:orientation val="minMax"/>
        </c:scaling>
        <c:delete val="0"/>
        <c:axPos val="b"/>
        <c:numFmt formatCode="General" sourceLinked="0"/>
        <c:majorTickMark val="out"/>
        <c:minorTickMark val="none"/>
        <c:tickLblPos val="nextTo"/>
        <c:crossAx val="106656896"/>
        <c:crosses val="autoZero"/>
        <c:auto val="1"/>
        <c:lblAlgn val="ctr"/>
        <c:lblOffset val="100"/>
        <c:noMultiLvlLbl val="0"/>
      </c:catAx>
      <c:valAx>
        <c:axId val="106656896"/>
        <c:scaling>
          <c:orientation val="minMax"/>
        </c:scaling>
        <c:delete val="0"/>
        <c:axPos val="l"/>
        <c:majorGridlines/>
        <c:numFmt formatCode="0" sourceLinked="1"/>
        <c:majorTickMark val="out"/>
        <c:minorTickMark val="none"/>
        <c:tickLblPos val="nextTo"/>
        <c:crossAx val="106655104"/>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analysis!PivotTable7</c:name>
    <c:fmtId val="3"/>
  </c:pivotSource>
  <c:chart>
    <c:title>
      <c:tx>
        <c:rich>
          <a:bodyPr/>
          <a:lstStyle/>
          <a:p>
            <a:pPr>
              <a:defRPr sz="1400"/>
            </a:pPr>
            <a:r>
              <a:rPr lang="en-US" sz="1400"/>
              <a:t>NB OF BENEFICIARIES</a:t>
            </a:r>
            <a:r>
              <a:rPr lang="en-US" sz="1400" baseline="0"/>
              <a:t> IN HOST COMMUNITIES</a:t>
            </a:r>
            <a:endParaRPr lang="en-US" sz="14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bar3DChart>
        <c:barDir val="col"/>
        <c:grouping val="clustered"/>
        <c:varyColors val="0"/>
        <c:ser>
          <c:idx val="0"/>
          <c:order val="0"/>
          <c:tx>
            <c:strRef>
              <c:f>'Funds analysis'!$C$169:$C$170</c:f>
              <c:strCache>
                <c:ptCount val="1"/>
                <c:pt idx="0">
                  <c:v>2012</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analysis'!$C$171:$C$173</c:f>
              <c:numCache>
                <c:formatCode>0</c:formatCode>
                <c:ptCount val="3"/>
                <c:pt idx="0">
                  <c:v>2500</c:v>
                </c:pt>
                <c:pt idx="1">
                  <c:v>2500</c:v>
                </c:pt>
                <c:pt idx="2">
                  <c:v>2500</c:v>
                </c:pt>
              </c:numCache>
            </c:numRef>
          </c:val>
        </c:ser>
        <c:ser>
          <c:idx val="1"/>
          <c:order val="1"/>
          <c:tx>
            <c:strRef>
              <c:f>'Funds analysis'!$D$169:$D$170</c:f>
              <c:strCache>
                <c:ptCount val="1"/>
                <c:pt idx="0">
                  <c:v>2013</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analysis'!$D$171:$D$173</c:f>
              <c:numCache>
                <c:formatCode>0</c:formatCode>
                <c:ptCount val="3"/>
                <c:pt idx="0">
                  <c:v>22000</c:v>
                </c:pt>
                <c:pt idx="1">
                  <c:v>8788</c:v>
                </c:pt>
                <c:pt idx="2">
                  <c:v>30788</c:v>
                </c:pt>
              </c:numCache>
            </c:numRef>
          </c:val>
        </c:ser>
        <c:ser>
          <c:idx val="2"/>
          <c:order val="2"/>
          <c:tx>
            <c:strRef>
              <c:f>'Funds analysis'!$E$169:$E$170</c:f>
              <c:strCache>
                <c:ptCount val="1"/>
                <c:pt idx="0">
                  <c:v>2014</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analysis'!$E$171:$E$173</c:f>
              <c:numCache>
                <c:formatCode>0</c:formatCode>
                <c:ptCount val="3"/>
                <c:pt idx="0">
                  <c:v>0</c:v>
                </c:pt>
                <c:pt idx="1">
                  <c:v>0</c:v>
                </c:pt>
                <c:pt idx="2">
                  <c:v>2418</c:v>
                </c:pt>
              </c:numCache>
            </c:numRef>
          </c:val>
        </c:ser>
        <c:ser>
          <c:idx val="3"/>
          <c:order val="3"/>
          <c:tx>
            <c:strRef>
              <c:f>'Funds analysis'!$F$169:$F$170</c:f>
              <c:strCache>
                <c:ptCount val="1"/>
                <c:pt idx="0">
                  <c:v>2015</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analysis'!$F$171:$F$173</c:f>
              <c:numCache>
                <c:formatCode>0</c:formatCode>
                <c:ptCount val="3"/>
                <c:pt idx="0">
                  <c:v>1910</c:v>
                </c:pt>
                <c:pt idx="1">
                  <c:v>1910</c:v>
                </c:pt>
                <c:pt idx="2">
                  <c:v>1910</c:v>
                </c:pt>
              </c:numCache>
            </c:numRef>
          </c:val>
        </c:ser>
        <c:dLbls>
          <c:showLegendKey val="0"/>
          <c:showVal val="0"/>
          <c:showCatName val="0"/>
          <c:showSerName val="0"/>
          <c:showPercent val="0"/>
          <c:showBubbleSize val="0"/>
        </c:dLbls>
        <c:gapWidth val="150"/>
        <c:shape val="box"/>
        <c:axId val="107089920"/>
        <c:axId val="107091456"/>
        <c:axId val="0"/>
      </c:bar3DChart>
      <c:catAx>
        <c:axId val="107089920"/>
        <c:scaling>
          <c:orientation val="minMax"/>
        </c:scaling>
        <c:delete val="0"/>
        <c:axPos val="b"/>
        <c:numFmt formatCode="General" sourceLinked="0"/>
        <c:majorTickMark val="out"/>
        <c:minorTickMark val="none"/>
        <c:tickLblPos val="nextTo"/>
        <c:crossAx val="107091456"/>
        <c:crosses val="autoZero"/>
        <c:auto val="1"/>
        <c:lblAlgn val="ctr"/>
        <c:lblOffset val="100"/>
        <c:noMultiLvlLbl val="0"/>
      </c:catAx>
      <c:valAx>
        <c:axId val="107091456"/>
        <c:scaling>
          <c:orientation val="minMax"/>
        </c:scaling>
        <c:delete val="0"/>
        <c:axPos val="l"/>
        <c:majorGridlines/>
        <c:numFmt formatCode="0" sourceLinked="1"/>
        <c:majorTickMark val="out"/>
        <c:minorTickMark val="none"/>
        <c:tickLblPos val="nextTo"/>
        <c:crossAx val="107089920"/>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analysis!PivotTable9</c:name>
    <c:fmtId val="18"/>
  </c:pivotSource>
  <c:chart>
    <c:title>
      <c:tx>
        <c:rich>
          <a:bodyPr/>
          <a:lstStyle/>
          <a:p>
            <a:pPr>
              <a:defRPr sz="1400"/>
            </a:pPr>
            <a:r>
              <a:rPr lang="en-US" sz="1400"/>
              <a:t>GEOGRAPHIC FUND REPARTITION</a:t>
            </a:r>
          </a:p>
        </c:rich>
      </c:tx>
      <c:layout>
        <c:manualLayout>
          <c:xMode val="edge"/>
          <c:yMode val="edge"/>
          <c:x val="0.29850830967484726"/>
          <c:y val="6.746031746031745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11104427968349607"/>
              <c:y val="0.16601674790651169"/>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6.9129453448780326E-2"/>
          <c:y val="0.24709286339207598"/>
          <c:w val="0.52417359288422283"/>
          <c:h val="0.75199107425401612"/>
        </c:manualLayout>
      </c:layout>
      <c:pie3DChart>
        <c:varyColors val="1"/>
        <c:ser>
          <c:idx val="0"/>
          <c:order val="0"/>
          <c:tx>
            <c:strRef>
              <c:f>'Funds analysis'!$C$108</c:f>
              <c:strCache>
                <c:ptCount val="1"/>
                <c:pt idx="0">
                  <c:v>Total</c:v>
                </c:pt>
              </c:strCache>
            </c:strRef>
          </c:tx>
          <c:dPt>
            <c:idx val="0"/>
            <c:bubble3D val="0"/>
            <c:explosion val="14"/>
          </c:dPt>
          <c:dLbls>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analysis'!$B$109:$B$110</c:f>
              <c:strCache>
                <c:ptCount val="2"/>
                <c:pt idx="0">
                  <c:v>Average of Approximative % of NGCA beneficiaries</c:v>
                </c:pt>
                <c:pt idx="1">
                  <c:v>Average of Approximative % of GCA beneficiaries</c:v>
                </c:pt>
              </c:strCache>
            </c:strRef>
          </c:cat>
          <c:val>
            <c:numRef>
              <c:f>'Funds analysis'!$C$109:$C$110</c:f>
              <c:numCache>
                <c:formatCode>0%</c:formatCode>
                <c:ptCount val="2"/>
                <c:pt idx="0">
                  <c:v>0.45509928457266513</c:v>
                </c:pt>
                <c:pt idx="1">
                  <c:v>357.95309961793021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analysis!PivotTable4</c:name>
    <c:fmtId val="11"/>
  </c:pivotSource>
  <c:chart>
    <c:title>
      <c:tx>
        <c:rich>
          <a:bodyPr/>
          <a:lstStyle/>
          <a:p>
            <a:pPr>
              <a:defRPr sz="1400"/>
            </a:pPr>
            <a:r>
              <a:rPr lang="en-US" sz="1400"/>
              <a:t>FUND RECEIVED PER YEAR (US$)</a:t>
            </a:r>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analysis'!$C$56:$C$57</c:f>
              <c:strCache>
                <c:ptCount val="1"/>
                <c:pt idx="0">
                  <c:v>Total</c:v>
                </c:pt>
              </c:strCache>
            </c:strRef>
          </c:tx>
          <c:invertIfNegative val="0"/>
          <c:cat>
            <c:strRef>
              <c:f>'Funds analysis'!$B$58:$B$62</c:f>
              <c:strCache>
                <c:ptCount val="4"/>
                <c:pt idx="0">
                  <c:v>2012</c:v>
                </c:pt>
                <c:pt idx="1">
                  <c:v>2013</c:v>
                </c:pt>
                <c:pt idx="2">
                  <c:v>2014</c:v>
                </c:pt>
                <c:pt idx="3">
                  <c:v>2015</c:v>
                </c:pt>
              </c:strCache>
            </c:strRef>
          </c:cat>
          <c:val>
            <c:numRef>
              <c:f>'Funds analysis'!$C$58:$C$62</c:f>
              <c:numCache>
                <c:formatCode>#,##0</c:formatCode>
                <c:ptCount val="4"/>
                <c:pt idx="0">
                  <c:v>3335112.61</c:v>
                </c:pt>
                <c:pt idx="1">
                  <c:v>4596720</c:v>
                </c:pt>
                <c:pt idx="2">
                  <c:v>4695578</c:v>
                </c:pt>
                <c:pt idx="3">
                  <c:v>2478434</c:v>
                </c:pt>
              </c:numCache>
            </c:numRef>
          </c:val>
        </c:ser>
        <c:dLbls>
          <c:showLegendKey val="0"/>
          <c:showVal val="0"/>
          <c:showCatName val="0"/>
          <c:showSerName val="0"/>
          <c:showPercent val="0"/>
          <c:showBubbleSize val="0"/>
        </c:dLbls>
        <c:gapWidth val="150"/>
        <c:shape val="box"/>
        <c:axId val="107154816"/>
        <c:axId val="107156608"/>
        <c:axId val="0"/>
      </c:bar3DChart>
      <c:catAx>
        <c:axId val="107154816"/>
        <c:scaling>
          <c:orientation val="minMax"/>
        </c:scaling>
        <c:delete val="0"/>
        <c:axPos val="b"/>
        <c:numFmt formatCode="General" sourceLinked="1"/>
        <c:majorTickMark val="out"/>
        <c:minorTickMark val="none"/>
        <c:tickLblPos val="nextTo"/>
        <c:txPr>
          <a:bodyPr/>
          <a:lstStyle/>
          <a:p>
            <a:pPr>
              <a:defRPr sz="1000"/>
            </a:pPr>
            <a:endParaRPr lang="en-US"/>
          </a:p>
        </c:txPr>
        <c:crossAx val="107156608"/>
        <c:crosses val="autoZero"/>
        <c:auto val="0"/>
        <c:lblAlgn val="ctr"/>
        <c:lblOffset val="100"/>
        <c:noMultiLvlLbl val="0"/>
      </c:catAx>
      <c:valAx>
        <c:axId val="107156608"/>
        <c:scaling>
          <c:orientation val="minMax"/>
          <c:max val="6000000"/>
        </c:scaling>
        <c:delete val="0"/>
        <c:axPos val="l"/>
        <c:majorGridlines/>
        <c:numFmt formatCode="#,##0" sourceLinked="1"/>
        <c:majorTickMark val="out"/>
        <c:minorTickMark val="none"/>
        <c:tickLblPos val="nextTo"/>
        <c:txPr>
          <a:bodyPr/>
          <a:lstStyle/>
          <a:p>
            <a:pPr>
              <a:defRPr sz="1000"/>
            </a:pPr>
            <a:endParaRPr lang="en-US"/>
          </a:p>
        </c:txPr>
        <c:crossAx val="107154816"/>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analysis!PivotTable5</c:name>
    <c:fmtId val="8"/>
  </c:pivotSource>
  <c:chart>
    <c:title>
      <c:tx>
        <c:rich>
          <a:bodyPr/>
          <a:lstStyle/>
          <a:p>
            <a:pPr>
              <a:defRPr sz="1400"/>
            </a:pPr>
            <a:r>
              <a:rPr lang="en-US" sz="1400"/>
              <a:t>APPROXIMATE FUND USE/ENGAGED PER YEAR</a:t>
            </a:r>
            <a:r>
              <a:rPr lang="en-US" sz="1400" baseline="0"/>
              <a:t>(US$)</a:t>
            </a:r>
            <a:endParaRPr lang="en-US" sz="1400"/>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2174530.0636635181</c:v>
                </c:pt>
                <c:pt idx="1">
                  <c:v>1331418.2826844645</c:v>
                </c:pt>
                <c:pt idx="2">
                  <c:v>923764.65365201782</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75653</c:v>
                </c:pt>
              </c:numCache>
            </c:numRef>
          </c:val>
        </c:ser>
        <c:ser>
          <c:idx val="2"/>
          <c:order val="2"/>
          <c:tx>
            <c:strRef>
              <c:f>'Funds analysis'!$E$69:$E$70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1067394.5833333333</c:v>
                </c:pt>
                <c:pt idx="1">
                  <c:v>968695.31498302927</c:v>
                </c:pt>
                <c:pt idx="2">
                  <c:v>1725089.1016836374</c:v>
                </c:pt>
              </c:numCache>
            </c:numRef>
          </c:val>
        </c:ser>
        <c:ser>
          <c:idx val="3"/>
          <c:order val="3"/>
          <c:tx>
            <c:strRef>
              <c:f>'Funds analysis'!$F$69:$F$70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1172664.4566898956</c:v>
                </c:pt>
                <c:pt idx="1">
                  <c:v>1022388.1533101045</c:v>
                </c:pt>
                <c:pt idx="2">
                  <c:v>0</c:v>
                </c:pt>
              </c:numCache>
            </c:numRef>
          </c:val>
        </c:ser>
        <c:ser>
          <c:idx val="4"/>
          <c:order val="4"/>
          <c:tx>
            <c:strRef>
              <c:f>'Funds analysis'!$G$69:$G$70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292113</c:v>
                </c:pt>
                <c:pt idx="1">
                  <c:v>0</c:v>
                </c:pt>
                <c:pt idx="2">
                  <c:v>0</c:v>
                </c:pt>
              </c:numCache>
            </c:numRef>
          </c:val>
        </c:ser>
        <c:ser>
          <c:idx val="5"/>
          <c:order val="5"/>
          <c:tx>
            <c:strRef>
              <c:f>'Funds analysis'!$H$69:$H$70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414065.16519823787</c:v>
                </c:pt>
                <c:pt idx="1">
                  <c:v>100963.83480176212</c:v>
                </c:pt>
                <c:pt idx="2">
                  <c:v>0</c:v>
                </c:pt>
              </c:numCache>
            </c:numRef>
          </c:val>
        </c:ser>
        <c:ser>
          <c:idx val="6"/>
          <c:order val="6"/>
          <c:tx>
            <c:strRef>
              <c:f>'Funds analysis'!$I$69:$I$70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197000</c:v>
                </c:pt>
                <c:pt idx="1">
                  <c:v>0</c:v>
                </c:pt>
                <c:pt idx="2">
                  <c:v>0</c:v>
                </c:pt>
              </c:numCache>
            </c:numRef>
          </c:val>
        </c:ser>
        <c:ser>
          <c:idx val="7"/>
          <c:order val="7"/>
          <c:tx>
            <c:strRef>
              <c:f>'Funds analysis'!$J$69:$J$70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106270</c:v>
                </c:pt>
                <c:pt idx="1">
                  <c:v>50000</c:v>
                </c:pt>
                <c:pt idx="2">
                  <c:v>0</c:v>
                </c:pt>
              </c:numCache>
            </c:numRef>
          </c:val>
        </c:ser>
        <c:ser>
          <c:idx val="8"/>
          <c:order val="8"/>
          <c:tx>
            <c:strRef>
              <c:f>'Funds analysis'!$K$69:$K$70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153948.79955947137</c:v>
                </c:pt>
                <c:pt idx="1">
                  <c:v>37538.200440528635</c:v>
                </c:pt>
                <c:pt idx="2">
                  <c:v>205305</c:v>
                </c:pt>
              </c:numCache>
            </c:numRef>
          </c:val>
        </c:ser>
        <c:ser>
          <c:idx val="9"/>
          <c:order val="9"/>
          <c:tx>
            <c:strRef>
              <c:f>'Funds analysis'!$L$69:$L$70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0</c:v>
                </c:pt>
                <c:pt idx="1">
                  <c:v>564560.43956043955</c:v>
                </c:pt>
                <c:pt idx="2">
                  <c:v>185439.56043956045</c:v>
                </c:pt>
              </c:numCache>
            </c:numRef>
          </c:val>
        </c:ser>
        <c:ser>
          <c:idx val="10"/>
          <c:order val="10"/>
          <c:tx>
            <c:strRef>
              <c:f>'Funds analysis'!$M$69:$M$70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0</c:v>
                </c:pt>
                <c:pt idx="1">
                  <c:v>17000</c:v>
                </c:pt>
                <c:pt idx="2">
                  <c:v>0</c:v>
                </c:pt>
              </c:numCache>
            </c:numRef>
          </c:val>
        </c:ser>
        <c:ser>
          <c:idx val="11"/>
          <c:order val="11"/>
          <c:tx>
            <c:strRef>
              <c:f>'Funds analysis'!$N$69:$N$70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80400</c:v>
                </c:pt>
                <c:pt idx="2">
                  <c:v>0</c:v>
                </c:pt>
              </c:numCache>
            </c:numRef>
          </c:val>
        </c:ser>
        <c:ser>
          <c:idx val="12"/>
          <c:order val="12"/>
          <c:tx>
            <c:strRef>
              <c:f>'Funds analysis'!$O$69:$O$70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43482</c:v>
                </c:pt>
                <c:pt idx="2">
                  <c:v>0</c:v>
                </c:pt>
              </c:numCache>
            </c:numRef>
          </c:val>
        </c:ser>
        <c:ser>
          <c:idx val="13"/>
          <c:order val="13"/>
          <c:tx>
            <c:strRef>
              <c:f>'Funds analysis'!$P$69:$P$70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439801.04303797468</c:v>
                </c:pt>
                <c:pt idx="2">
                  <c:v>272171.95696202532</c:v>
                </c:pt>
              </c:numCache>
            </c:numRef>
          </c:val>
        </c:ser>
        <c:ser>
          <c:idx val="14"/>
          <c:order val="14"/>
          <c:tx>
            <c:strRef>
              <c:f>'Funds analysis'!$Q$69:$Q$70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161000.81218274112</c:v>
                </c:pt>
                <c:pt idx="2">
                  <c:v>185134.18781725888</c:v>
                </c:pt>
              </c:numCache>
            </c:numRef>
          </c:val>
        </c:ser>
        <c:ser>
          <c:idx val="15"/>
          <c:order val="15"/>
          <c:tx>
            <c:strRef>
              <c:f>'Funds analysis'!$R$69:$R$70</c:f>
              <c:strCache>
                <c:ptCount val="1"/>
                <c:pt idx="0">
                  <c:v>FCA</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0</c:v>
                </c:pt>
                <c:pt idx="2">
                  <c:v>400000</c:v>
                </c:pt>
              </c:numCache>
            </c:numRef>
          </c:val>
        </c:ser>
        <c:ser>
          <c:idx val="16"/>
          <c:order val="16"/>
          <c:tx>
            <c:strRef>
              <c:f>'Funds analysis'!$S$69:$S$70</c:f>
              <c:strCache>
                <c:ptCount val="1"/>
                <c:pt idx="0">
                  <c:v>HIDA( HOPE)</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0</c:v>
                </c:pt>
                <c:pt idx="1">
                  <c:v>0</c:v>
                </c:pt>
                <c:pt idx="2">
                  <c:v>0</c:v>
                </c:pt>
              </c:numCache>
            </c:numRef>
          </c:val>
        </c:ser>
        <c:ser>
          <c:idx val="17"/>
          <c:order val="17"/>
          <c:tx>
            <c:strRef>
              <c:f>'Funds analysis'!$T$69:$T$70</c:f>
              <c:strCache>
                <c:ptCount val="1"/>
                <c:pt idx="0">
                  <c:v>DIFID</c:v>
                </c:pt>
              </c:strCache>
            </c:strRef>
          </c:tx>
          <c:invertIfNegative val="0"/>
          <c:cat>
            <c:strRef>
              <c:f>'Funds analysis'!$B$71:$B$73</c:f>
              <c:strCache>
                <c:ptCount val="3"/>
                <c:pt idx="0">
                  <c:v>Before 2014</c:v>
                </c:pt>
                <c:pt idx="1">
                  <c:v>2014</c:v>
                </c:pt>
                <c:pt idx="2">
                  <c:v>2015</c:v>
                </c:pt>
              </c:strCache>
            </c:strRef>
          </c:cat>
          <c:val>
            <c:numRef>
              <c:f>'Funds analysis'!$T$71:$T$73</c:f>
              <c:numCache>
                <c:formatCode>#,##0</c:formatCode>
                <c:ptCount val="3"/>
                <c:pt idx="0">
                  <c:v>165239.41391941393</c:v>
                </c:pt>
                <c:pt idx="1">
                  <c:v>79925.586080586087</c:v>
                </c:pt>
                <c:pt idx="2">
                  <c:v>154118</c:v>
                </c:pt>
              </c:numCache>
            </c:numRef>
          </c:val>
        </c:ser>
        <c:dLbls>
          <c:showLegendKey val="0"/>
          <c:showVal val="0"/>
          <c:showCatName val="0"/>
          <c:showSerName val="0"/>
          <c:showPercent val="0"/>
          <c:showBubbleSize val="0"/>
        </c:dLbls>
        <c:gapWidth val="150"/>
        <c:shape val="box"/>
        <c:axId val="107219584"/>
        <c:axId val="107225472"/>
        <c:axId val="0"/>
      </c:bar3DChart>
      <c:catAx>
        <c:axId val="107219584"/>
        <c:scaling>
          <c:orientation val="minMax"/>
        </c:scaling>
        <c:delete val="0"/>
        <c:axPos val="b"/>
        <c:numFmt formatCode="General" sourceLinked="1"/>
        <c:majorTickMark val="out"/>
        <c:minorTickMark val="none"/>
        <c:tickLblPos val="nextTo"/>
        <c:txPr>
          <a:bodyPr/>
          <a:lstStyle/>
          <a:p>
            <a:pPr>
              <a:defRPr sz="1000"/>
            </a:pPr>
            <a:endParaRPr lang="en-US"/>
          </a:p>
        </c:txPr>
        <c:crossAx val="107225472"/>
        <c:crosses val="autoZero"/>
        <c:auto val="0"/>
        <c:lblAlgn val="ctr"/>
        <c:lblOffset val="100"/>
        <c:noMultiLvlLbl val="0"/>
      </c:catAx>
      <c:valAx>
        <c:axId val="107225472"/>
        <c:scaling>
          <c:orientation val="minMax"/>
          <c:max val="8000000"/>
        </c:scaling>
        <c:delete val="0"/>
        <c:axPos val="l"/>
        <c:majorGridlines/>
        <c:numFmt formatCode="#,##0" sourceLinked="1"/>
        <c:majorTickMark val="out"/>
        <c:minorTickMark val="none"/>
        <c:tickLblPos val="nextTo"/>
        <c:txPr>
          <a:bodyPr/>
          <a:lstStyle/>
          <a:p>
            <a:pPr>
              <a:defRPr sz="1000"/>
            </a:pPr>
            <a:endParaRPr lang="en-US"/>
          </a:p>
        </c:txPr>
        <c:crossAx val="107219584"/>
        <c:crosses val="autoZero"/>
        <c:crossBetween val="between"/>
      </c:valAx>
      <c:spPr>
        <a:noFill/>
        <a:ln w="25400">
          <a:noFill/>
        </a:ln>
      </c:spPr>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analysis!PivotTable8</c:name>
    <c:fmtId val="4"/>
  </c:pivotSource>
  <c:chart>
    <c:title>
      <c:tx>
        <c:rich>
          <a:bodyPr/>
          <a:lstStyle/>
          <a:p>
            <a:pPr>
              <a:defRPr sz="1400"/>
            </a:pPr>
            <a:r>
              <a:rPr lang="en-US" sz="1400"/>
              <a:t>GEOGRAPHIC FUND REPARTITION</a:t>
            </a:r>
          </a:p>
        </c:rich>
      </c:tx>
      <c:layout>
        <c:manualLayout>
          <c:xMode val="edge"/>
          <c:yMode val="edge"/>
          <c:x val="0.29358796296296297"/>
          <c:y val="8.3333333333333329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2.3360126859142606E-2"/>
              <c:y val="2.658886389201349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analysis'!$C$94</c:f>
              <c:strCache>
                <c:ptCount val="1"/>
                <c:pt idx="0">
                  <c:v>Total</c:v>
                </c:pt>
              </c:strCache>
            </c:strRef>
          </c:tx>
          <c:explosion val="17"/>
          <c:dLbls>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analysis'!$B$95:$B$97</c:f>
              <c:strCache>
                <c:ptCount val="3"/>
                <c:pt idx="0">
                  <c:v>% fund attributed for Northern Shan</c:v>
                </c:pt>
                <c:pt idx="1">
                  <c:v> % fund attributed for South Kachin</c:v>
                </c:pt>
                <c:pt idx="2">
                  <c:v> % funds attributed for North kachin</c:v>
                </c:pt>
              </c:strCache>
            </c:strRef>
          </c:cat>
          <c:val>
            <c:numRef>
              <c:f>'Funds analysis'!$C$95:$C$97</c:f>
              <c:numCache>
                <c:formatCode>0%</c:formatCode>
                <c:ptCount val="3"/>
                <c:pt idx="0">
                  <c:v>0.1938129196660123</c:v>
                </c:pt>
                <c:pt idx="1">
                  <c:v>0.5113476526802645</c:v>
                </c:pt>
                <c:pt idx="2">
                  <c:v>0.31563953694991337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Water target pop.:</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1" baseline="0">
                <a:effectLst/>
              </a:rPr>
              <a:t>99,500</a:t>
            </a:r>
            <a:endParaRPr lang="en-US" sz="600" b="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Water 100% covered:</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831427358592615E-2"/>
                  <c:y val="0.1950663557806414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indicator'!$C$54:$C$57</c:f>
              <c:numCache>
                <c:formatCode>0%</c:formatCode>
                <c:ptCount val="4"/>
                <c:pt idx="0">
                  <c:v>0.73535165401555624</c:v>
                </c:pt>
                <c:pt idx="1">
                  <c:v>0.26464834598444376</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analysis!PivotTable1</c:name>
    <c:fmtId val="6"/>
  </c:pivotSource>
  <c:chart>
    <c:title>
      <c:tx>
        <c:rich>
          <a:bodyPr/>
          <a:lstStyle/>
          <a:p>
            <a:pPr>
              <a:defRPr sz="1400"/>
            </a:pPr>
            <a:r>
              <a:rPr lang="en-US" sz="1400"/>
              <a:t>TYPOLOGY OF THE BENEFICIARIES TARGETTED</a:t>
            </a:r>
          </a:p>
        </c:rich>
      </c:tx>
      <c:layout>
        <c:manualLayout>
          <c:xMode val="edge"/>
          <c:yMode val="edge"/>
          <c:x val="0.2591588160854893"/>
          <c:y val="7.1216061954364446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39169113981490949"/>
              <c:y val="0.17380657421940873"/>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9.2938311688311695E-2"/>
          <c:y val="0.30739015942611786"/>
          <c:w val="0.8303571428571429"/>
          <c:h val="0.69036795132898343"/>
        </c:manualLayout>
      </c:layout>
      <c:pie3DChart>
        <c:varyColors val="1"/>
        <c:ser>
          <c:idx val="0"/>
          <c:order val="0"/>
          <c:tx>
            <c:strRef>
              <c:f>'Funds analysis'!$C$124</c:f>
              <c:strCache>
                <c:ptCount val="1"/>
                <c:pt idx="0">
                  <c:v>Total</c:v>
                </c:pt>
              </c:strCache>
            </c:strRef>
          </c:tx>
          <c:dPt>
            <c:idx val="1"/>
            <c:bubble3D val="0"/>
            <c:explosion val="15"/>
          </c:dPt>
          <c:dLbls>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analysis'!$B$125:$B$126</c:f>
              <c:strCache>
                <c:ptCount val="2"/>
                <c:pt idx="0">
                  <c:v>Average of Approximate % of beneficiaries in host community</c:v>
                </c:pt>
                <c:pt idx="1">
                  <c:v>Average of Approximate % of beneficiaries in camps</c:v>
                </c:pt>
              </c:strCache>
            </c:strRef>
          </c:cat>
          <c:val>
            <c:numRef>
              <c:f>'Funds analysis'!$C$125:$C$126</c:f>
              <c:numCache>
                <c:formatCode>0%</c:formatCode>
                <c:ptCount val="2"/>
                <c:pt idx="0">
                  <c:v>3.6226415094339624E-2</c:v>
                </c:pt>
                <c:pt idx="1">
                  <c:v>0.96490909090909094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July.xlsx]Funds analysis!PivotTable10</c:name>
    <c:fmtId val="57"/>
  </c:pivotSource>
  <c:chart>
    <c:title>
      <c:tx>
        <c:rich>
          <a:bodyPr/>
          <a:lstStyle/>
          <a:p>
            <a:pPr>
              <a:defRPr sz="1400"/>
            </a:pPr>
            <a:r>
              <a:rPr lang="en-US" sz="1400"/>
              <a:t>DONORS</a:t>
            </a:r>
            <a:r>
              <a:rPr lang="en-US" sz="1400" baseline="0"/>
              <a:t> FUNDING </a:t>
            </a:r>
            <a:r>
              <a:rPr lang="en-US" sz="1400" baseline="0">
                <a:solidFill>
                  <a:srgbClr val="FF0000"/>
                </a:solidFill>
              </a:rPr>
              <a:t>in 2014 (up to July)</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41"/>
        <c:dLbl>
          <c:idx val="0"/>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42"/>
        <c:dLbl>
          <c:idx val="0"/>
          <c:layout>
            <c:manualLayout>
              <c:x val="-2.998614728544137E-2"/>
              <c:y val="-4.245830629745890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3"/>
        <c:dLbl>
          <c:idx val="0"/>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44"/>
        <c:dLbl>
          <c:idx val="0"/>
          <c:layout>
            <c:manualLayout>
              <c:x val="1.389760761506958E-2"/>
              <c:y val="-5.3465268400469987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5"/>
        <c:dLbl>
          <c:idx val="0"/>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analysis'!$C$33:$C$34</c:f>
              <c:strCache>
                <c:ptCount val="1"/>
                <c:pt idx="0">
                  <c:v>Total</c:v>
                </c:pt>
              </c:strCache>
            </c:strRef>
          </c:tx>
          <c:explosion val="20"/>
          <c:dLbls>
            <c:dLbl>
              <c:idx val="4"/>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5"/>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dLbls>
          <c:cat>
            <c:strRef>
              <c:f>'Funds analysis'!$B$35:$B$45</c:f>
              <c:strCache>
                <c:ptCount val="10"/>
                <c:pt idx="0">
                  <c:v>ECHO</c:v>
                </c:pt>
                <c:pt idx="1">
                  <c:v>OFDA</c:v>
                </c:pt>
                <c:pt idx="2">
                  <c:v>CERF</c:v>
                </c:pt>
                <c:pt idx="3">
                  <c:v>CIDA</c:v>
                </c:pt>
                <c:pt idx="4">
                  <c:v>Start fund</c:v>
                </c:pt>
                <c:pt idx="5">
                  <c:v>Australian</c:v>
                </c:pt>
                <c:pt idx="6">
                  <c:v>SC seed funding</c:v>
                </c:pt>
                <c:pt idx="7">
                  <c:v>Sweden</c:v>
                </c:pt>
                <c:pt idx="8">
                  <c:v>ERF</c:v>
                </c:pt>
                <c:pt idx="9">
                  <c:v>DIFID</c:v>
                </c:pt>
              </c:strCache>
            </c:strRef>
          </c:cat>
          <c:val>
            <c:numRef>
              <c:f>'Funds analysis'!$C$35:$C$45</c:f>
              <c:numCache>
                <c:formatCode>#,##0</c:formatCode>
                <c:ptCount val="10"/>
                <c:pt idx="0">
                  <c:v>723675.93633648218</c:v>
                </c:pt>
                <c:pt idx="1">
                  <c:v>585345.41666666674</c:v>
                </c:pt>
                <c:pt idx="2">
                  <c:v>1022388.1533101045</c:v>
                </c:pt>
                <c:pt idx="3">
                  <c:v>37538.200440528635</c:v>
                </c:pt>
                <c:pt idx="4">
                  <c:v>43482</c:v>
                </c:pt>
                <c:pt idx="5">
                  <c:v>100963.83480176212</c:v>
                </c:pt>
                <c:pt idx="6">
                  <c:v>17000</c:v>
                </c:pt>
                <c:pt idx="7">
                  <c:v>50000</c:v>
                </c:pt>
                <c:pt idx="8">
                  <c:v>78945</c:v>
                </c:pt>
                <c:pt idx="9">
                  <c:v>79925.586080586087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Sanitation target:</a:t>
            </a: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Sanitation 100% covered:</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 </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930994576686513E-2"/>
                  <c:y val="0.181799378227949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indicator'!$C$61:$C$64</c:f>
              <c:numCache>
                <c:formatCode>0%</c:formatCode>
                <c:ptCount val="4"/>
                <c:pt idx="0">
                  <c:v>0.6804013213382063</c:v>
                </c:pt>
                <c:pt idx="1">
                  <c:v>0.3195986786617937</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HP target:</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HP population covered:</a:t>
            </a:r>
            <a:endParaRPr lang="en-US" sz="600">
              <a:effectLst/>
            </a:endParaRPr>
          </a:p>
        </c:rich>
      </c:tx>
      <c:layout>
        <c:manualLayout>
          <c:xMode val="edge"/>
          <c:yMode val="edge"/>
          <c:x val="0.15545063932946532"/>
          <c:y val="0.52055127947985091"/>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6128348100990472"/>
                  <c:y val="0.12873146801718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indicator'!$C$68:$C$71</c:f>
              <c:numCache>
                <c:formatCode>0%</c:formatCode>
                <c:ptCount val="4"/>
                <c:pt idx="0">
                  <c:v>0.43989554048355356</c:v>
                </c:pt>
                <c:pt idx="1">
                  <c:v>0.56010445951644638</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July.xlsx]SituationAnalysis!PivotTable11</c:name>
    <c:fmtId val="41"/>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Location coverage</a:t>
            </a:r>
          </a:p>
        </c:rich>
      </c:tx>
      <c:layout>
        <c:manualLayout>
          <c:xMode val="edge"/>
          <c:yMode val="edge"/>
          <c:x val="0.38397627461921596"/>
          <c:y val="0"/>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8.497364994729989E-2"/>
          <c:y val="0.14921451891684268"/>
          <c:w val="0.91502635005270005"/>
          <c:h val="0.63521157416298568"/>
        </c:manualLayout>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130</c:v>
                </c:pt>
                <c:pt idx="1">
                  <c:v>24</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13</c:v>
                </c:pt>
                <c:pt idx="1">
                  <c:v>1</c:v>
                </c:pt>
              </c:numCache>
            </c:numRef>
          </c:val>
        </c:ser>
        <c:dLbls>
          <c:showLegendKey val="0"/>
          <c:showVal val="1"/>
          <c:showCatName val="0"/>
          <c:showSerName val="0"/>
          <c:showPercent val="0"/>
          <c:showBubbleSize val="0"/>
        </c:dLbls>
        <c:gapWidth val="150"/>
        <c:shape val="box"/>
        <c:axId val="102102528"/>
        <c:axId val="102104064"/>
        <c:axId val="0"/>
      </c:bar3DChart>
      <c:catAx>
        <c:axId val="1021025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104064"/>
        <c:crosses val="autoZero"/>
        <c:auto val="1"/>
        <c:lblAlgn val="ctr"/>
        <c:lblOffset val="100"/>
        <c:noMultiLvlLbl val="0"/>
      </c:catAx>
      <c:valAx>
        <c:axId val="10210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102528"/>
        <c:crosses val="autoZero"/>
        <c:crossBetween val="between"/>
      </c:valAx>
      <c:spPr>
        <a:noFill/>
        <a:ln>
          <a:noFill/>
        </a:ln>
        <a:effectLst/>
      </c:spPr>
    </c:plotArea>
    <c:legend>
      <c:legendPos val="b"/>
      <c:layout>
        <c:manualLayout>
          <c:xMode val="edge"/>
          <c:yMode val="edge"/>
          <c:x val="0.28426643519953709"/>
          <c:y val="0.84550967714401548"/>
          <c:w val="0.39997106660879989"/>
          <c:h val="0.143650214454900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[4Ws WaSH Matrix, Kachin North Shan, July.xlsx]SituationAnalysis!PivotTable1</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a:t>
            </a:r>
          </a:p>
        </c:rich>
      </c:tx>
      <c:layout>
        <c:manualLayout>
          <c:xMode val="edge"/>
          <c:yMode val="edge"/>
          <c:x val="0.3826745468274998"/>
          <c:y val="3.7988295498143829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
        <c:idx val="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240869603153294E-2"/>
          <c:y val="0.13495147055077236"/>
          <c:w val="0.90775913039684675"/>
          <c:h val="0.63329908391159795"/>
        </c:manualLayout>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cat>
            <c:strRef>
              <c:f>SituationAnalysis!$B$14:$B$16</c:f>
              <c:strCache>
                <c:ptCount val="2"/>
                <c:pt idx="0">
                  <c:v>GCA</c:v>
                </c:pt>
                <c:pt idx="1">
                  <c:v>NGCA</c:v>
                </c:pt>
              </c:strCache>
            </c:strRef>
          </c:cat>
          <c:val>
            <c:numRef>
              <c:f>SituationAnalysis!$C$14:$C$16</c:f>
              <c:numCache>
                <c:formatCode>0%</c:formatCode>
                <c:ptCount val="2"/>
                <c:pt idx="0">
                  <c:v>0.96217982566904681</c:v>
                </c:pt>
                <c:pt idx="1">
                  <c:v>1</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cat>
            <c:strRef>
              <c:f>SituationAnalysis!$B$14:$B$16</c:f>
              <c:strCache>
                <c:ptCount val="2"/>
                <c:pt idx="0">
                  <c:v>GCA</c:v>
                </c:pt>
                <c:pt idx="1">
                  <c:v>NGCA</c:v>
                </c:pt>
              </c:strCache>
            </c:strRef>
          </c:cat>
          <c:val>
            <c:numRef>
              <c:f>SituationAnalysis!$D$14:$D$16</c:f>
              <c:numCache>
                <c:formatCode>0%</c:formatCode>
                <c:ptCount val="2"/>
                <c:pt idx="0">
                  <c:v>0.84094405032486164</c:v>
                </c:pt>
                <c:pt idx="1">
                  <c:v>0.97596201404688887</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cat>
            <c:strRef>
              <c:f>SituationAnalysis!$B$14:$B$16</c:f>
              <c:strCache>
                <c:ptCount val="2"/>
                <c:pt idx="0">
                  <c:v>GCA</c:v>
                </c:pt>
                <c:pt idx="1">
                  <c:v>NGCA</c:v>
                </c:pt>
              </c:strCache>
            </c:strRef>
          </c:cat>
          <c:val>
            <c:numRef>
              <c:f>SituationAnalysis!$E$14:$E$16</c:f>
              <c:numCache>
                <c:formatCode>0%</c:formatCode>
                <c:ptCount val="2"/>
                <c:pt idx="0">
                  <c:v>0.61064811626145055</c:v>
                </c:pt>
                <c:pt idx="1">
                  <c:v>0.53262769149602662</c:v>
                </c:pt>
              </c:numCache>
            </c:numRef>
          </c:val>
        </c:ser>
        <c:dLbls>
          <c:showLegendKey val="0"/>
          <c:showVal val="0"/>
          <c:showCatName val="0"/>
          <c:showSerName val="0"/>
          <c:showPercent val="0"/>
          <c:showBubbleSize val="0"/>
        </c:dLbls>
        <c:gapWidth val="150"/>
        <c:shape val="box"/>
        <c:axId val="102566912"/>
        <c:axId val="102589184"/>
        <c:axId val="0"/>
      </c:bar3DChart>
      <c:catAx>
        <c:axId val="1025669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589184"/>
        <c:crosses val="autoZero"/>
        <c:auto val="1"/>
        <c:lblAlgn val="ctr"/>
        <c:lblOffset val="100"/>
        <c:noMultiLvlLbl val="0"/>
      </c:catAx>
      <c:valAx>
        <c:axId val="102589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02566912"/>
        <c:crosses val="autoZero"/>
        <c:crossBetween val="between"/>
        <c:majorUnit val="0.2"/>
      </c:valAx>
      <c:spPr>
        <a:noFill/>
        <a:ln>
          <a:noFill/>
        </a:ln>
        <a:effectLst/>
      </c:spPr>
    </c:plotArea>
    <c:legend>
      <c:legendPos val="b"/>
      <c:layout>
        <c:manualLayout>
          <c:xMode val="edge"/>
          <c:yMode val="edge"/>
          <c:x val="5.8994800668652654E-2"/>
          <c:y val="0.83329923830418273"/>
          <c:w val="0.91804606723201132"/>
          <c:h val="0.1568968325589258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image" Target="../media/image3.png"/><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1" Type="http://schemas.openxmlformats.org/officeDocument/2006/relationships/image" Target="../media/image4.jpg"/><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5</xdr:col>
      <xdr:colOff>116633</xdr:colOff>
      <xdr:row>2</xdr:row>
      <xdr:rowOff>48597</xdr:rowOff>
    </xdr:from>
    <xdr:to>
      <xdr:col>12</xdr:col>
      <xdr:colOff>66733</xdr:colOff>
      <xdr:row>33</xdr:row>
      <xdr:rowOff>68036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8240" y="437373"/>
          <a:ext cx="4236350" cy="6045459"/>
        </a:xfrm>
        <a:prstGeom prst="rect">
          <a:avLst/>
        </a:prstGeom>
      </xdr:spPr>
    </xdr:pic>
    <xdr:clientData/>
  </xdr:twoCellAnchor>
  <xdr:twoCellAnchor editAs="oneCell">
    <xdr:from>
      <xdr:col>0</xdr:col>
      <xdr:colOff>57149</xdr:colOff>
      <xdr:row>0</xdr:row>
      <xdr:rowOff>24530</xdr:rowOff>
    </xdr:from>
    <xdr:to>
      <xdr:col>2</xdr:col>
      <xdr:colOff>89070</xdr:colOff>
      <xdr:row>2</xdr:row>
      <xdr:rowOff>41215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49" y="24530"/>
          <a:ext cx="1250022" cy="40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571501</xdr:colOff>
      <xdr:row>0</xdr:row>
      <xdr:rowOff>87313</xdr:rowOff>
    </xdr:from>
    <xdr:to>
      <xdr:col>14</xdr:col>
      <xdr:colOff>1066800</xdr:colOff>
      <xdr:row>1</xdr:row>
      <xdr:rowOff>161989</xdr:rowOff>
    </xdr:to>
    <xdr:sp macro="" textlink="">
      <xdr:nvSpPr>
        <xdr:cNvPr id="4" name="TextBox 3"/>
        <xdr:cNvSpPr txBox="1"/>
      </xdr:nvSpPr>
      <xdr:spPr>
        <a:xfrm>
          <a:off x="1181101" y="87313"/>
          <a:ext cx="8420099"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a:solidFill>
                <a:schemeClr val="bg1"/>
              </a:solidFill>
            </a:rPr>
            <a:t>		MYANMAR</a:t>
          </a:r>
          <a:r>
            <a:rPr lang="en-US" sz="1100" b="1" baseline="0">
              <a:solidFill>
                <a:schemeClr val="bg1"/>
              </a:solidFill>
            </a:rPr>
            <a:t> MONTHLY SNAPSHOT</a:t>
          </a:r>
          <a:r>
            <a:rPr lang="en-US" sz="1100" b="1" i="1" baseline="0">
              <a:solidFill>
                <a:schemeClr val="bg1"/>
              </a:solidFill>
            </a:rPr>
            <a:t>: </a:t>
          </a:r>
          <a:r>
            <a:rPr lang="en-US" sz="1100" b="1" i="1" baseline="0">
              <a:solidFill>
                <a:sysClr val="windowText" lastClr="000000"/>
              </a:solidFill>
            </a:rPr>
            <a:t>KACHIN</a:t>
          </a:r>
          <a:r>
            <a:rPr lang="en-US" sz="1100" b="1" i="1" baseline="0">
              <a:solidFill>
                <a:schemeClr val="bg1"/>
              </a:solidFill>
            </a:rPr>
            <a:t>	</a:t>
          </a:r>
          <a:r>
            <a:rPr lang="en-US" sz="1100" b="1" baseline="0">
              <a:solidFill>
                <a:schemeClr val="bg1"/>
              </a:solidFill>
            </a:rPr>
            <a:t>		August 2015</a:t>
          </a:r>
          <a:endParaRPr lang="en-US" sz="1100" b="1">
            <a:solidFill>
              <a:schemeClr val="bg1"/>
            </a:solidFill>
          </a:endParaRPr>
        </a:p>
      </xdr:txBody>
    </xdr:sp>
    <xdr:clientData/>
  </xdr:twoCellAnchor>
  <xdr:twoCellAnchor>
    <xdr:from>
      <xdr:col>0</xdr:col>
      <xdr:colOff>96838</xdr:colOff>
      <xdr:row>2</xdr:row>
      <xdr:rowOff>60326</xdr:rowOff>
    </xdr:from>
    <xdr:to>
      <xdr:col>4</xdr:col>
      <xdr:colOff>71437</xdr:colOff>
      <xdr:row>3</xdr:row>
      <xdr:rowOff>117476</xdr:rowOff>
    </xdr:to>
    <xdr:sp macro="" textlink="">
      <xdr:nvSpPr>
        <xdr:cNvPr id="5" name="TextBox 4"/>
        <xdr:cNvSpPr txBox="1"/>
      </xdr:nvSpPr>
      <xdr:spPr>
        <a:xfrm>
          <a:off x="96838" y="441326"/>
          <a:ext cx="2412999" cy="24765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 OF THE MONTH</a:t>
          </a:r>
          <a:endParaRPr lang="en-US">
            <a:effectLst/>
          </a:endParaRPr>
        </a:p>
        <a:p>
          <a:pPr algn="ctr"/>
          <a:endParaRPr lang="en-US" sz="1100"/>
        </a:p>
      </xdr:txBody>
    </xdr:sp>
    <xdr:clientData/>
  </xdr:twoCellAnchor>
  <xdr:twoCellAnchor>
    <xdr:from>
      <xdr:col>7</xdr:col>
      <xdr:colOff>569913</xdr:colOff>
      <xdr:row>33</xdr:row>
      <xdr:rowOff>166688</xdr:rowOff>
    </xdr:from>
    <xdr:to>
      <xdr:col>10</xdr:col>
      <xdr:colOff>403226</xdr:colOff>
      <xdr:row>38</xdr:row>
      <xdr:rowOff>203201</xdr:rowOff>
    </xdr:to>
    <xdr:sp macro="" textlink="">
      <xdr:nvSpPr>
        <xdr:cNvPr id="6" name="TextBox 5"/>
        <xdr:cNvSpPr txBox="1"/>
      </xdr:nvSpPr>
      <xdr:spPr>
        <a:xfrm>
          <a:off x="4837113" y="6453188"/>
          <a:ext cx="1662113" cy="989013"/>
        </a:xfrm>
        <a:prstGeom prst="rect">
          <a:avLst/>
        </a:prstGeom>
        <a:solidFill>
          <a:schemeClr val="lt1"/>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chemeClr val="bg1">
                  <a:lumMod val="50000"/>
                </a:schemeClr>
              </a:solidFill>
            </a:rPr>
            <a:t>Limitation of analysis:</a:t>
          </a:r>
        </a:p>
        <a:p>
          <a:pPr marL="171450" lvl="0" indent="-171450">
            <a:buFont typeface="Wingdings" panose="05000000000000000000" pitchFamily="2" charset="2"/>
            <a:buChar char="ü"/>
          </a:pPr>
          <a:r>
            <a:rPr lang="en-US" sz="600" i="1">
              <a:solidFill>
                <a:schemeClr val="bg1">
                  <a:lumMod val="50000"/>
                </a:schemeClr>
              </a:solidFill>
            </a:rPr>
            <a:t>Some location remain undocumented due to access</a:t>
          </a:r>
          <a:endParaRPr lang="en-US" sz="600" i="1" baseline="0">
            <a:solidFill>
              <a:schemeClr val="bg1">
                <a:lumMod val="50000"/>
              </a:schemeClr>
            </a:solidFill>
          </a:endParaRPr>
        </a:p>
        <a:p>
          <a:pPr marL="171450" lvl="0" indent="-171450">
            <a:buFont typeface="Wingdings" panose="05000000000000000000" pitchFamily="2" charset="2"/>
            <a:buChar char="ü"/>
          </a:pPr>
          <a:r>
            <a:rPr lang="en-US" sz="600" i="1" baseline="0">
              <a:solidFill>
                <a:schemeClr val="bg1">
                  <a:lumMod val="50000"/>
                </a:schemeClr>
              </a:solidFill>
            </a:rPr>
            <a:t>Wash in school for surrounding camp location under evaluation</a:t>
          </a:r>
        </a:p>
        <a:p>
          <a:pPr marL="171450" lvl="0" indent="-171450">
            <a:buFont typeface="Wingdings" panose="05000000000000000000" pitchFamily="2" charset="2"/>
            <a:buChar char="ü"/>
          </a:pPr>
          <a:r>
            <a:rPr lang="en-US" sz="600" i="1" baseline="0">
              <a:solidFill>
                <a:schemeClr val="bg1">
                  <a:lumMod val="50000"/>
                </a:schemeClr>
              </a:solidFill>
            </a:rPr>
            <a:t>Good Water access reported do not report enough closely about safe drinking water remaing low</a:t>
          </a:r>
        </a:p>
        <a:p>
          <a:pPr marL="171450" lvl="0" indent="-171450">
            <a:buFont typeface="Wingdings" panose="05000000000000000000" pitchFamily="2" charset="2"/>
            <a:buChar char="ü"/>
          </a:pPr>
          <a:r>
            <a:rPr lang="en-US" sz="600" i="1" baseline="0">
              <a:solidFill>
                <a:schemeClr val="bg1">
                  <a:lumMod val="50000"/>
                </a:schemeClr>
              </a:solidFill>
            </a:rPr>
            <a:t>Target 20,000 small scale emergency monitored aside </a:t>
          </a:r>
          <a:endParaRPr lang="en-US" sz="600" i="1">
            <a:solidFill>
              <a:schemeClr val="bg1">
                <a:lumMod val="50000"/>
              </a:schemeClr>
            </a:solidFill>
          </a:endParaRPr>
        </a:p>
      </xdr:txBody>
    </xdr:sp>
    <xdr:clientData/>
  </xdr:twoCellAnchor>
  <xdr:twoCellAnchor editAs="oneCell">
    <xdr:from>
      <xdr:col>11</xdr:col>
      <xdr:colOff>38100</xdr:colOff>
      <xdr:row>24</xdr:row>
      <xdr:rowOff>114300</xdr:rowOff>
    </xdr:from>
    <xdr:to>
      <xdr:col>14</xdr:col>
      <xdr:colOff>981075</xdr:colOff>
      <xdr:row>31</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19</xdr:row>
      <xdr:rowOff>123824</xdr:rowOff>
    </xdr:from>
    <xdr:to>
      <xdr:col>4</xdr:col>
      <xdr:colOff>352424</xdr:colOff>
      <xdr:row>26</xdr:row>
      <xdr:rowOff>61913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109536</xdr:colOff>
      <xdr:row>26</xdr:row>
      <xdr:rowOff>109538</xdr:rowOff>
    </xdr:from>
    <xdr:to>
      <xdr:col>5</xdr:col>
      <xdr:colOff>304800</xdr:colOff>
      <xdr:row>33</xdr:row>
      <xdr:rowOff>28576</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114300</xdr:colOff>
      <xdr:row>33</xdr:row>
      <xdr:rowOff>171450</xdr:rowOff>
    </xdr:from>
    <xdr:to>
      <xdr:col>1</xdr:col>
      <xdr:colOff>604837</xdr:colOff>
      <xdr:row>38</xdr:row>
      <xdr:rowOff>176214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452438</xdr:colOff>
      <xdr:row>38</xdr:row>
      <xdr:rowOff>9524</xdr:rowOff>
    </xdr:from>
    <xdr:to>
      <xdr:col>1</xdr:col>
      <xdr:colOff>266700</xdr:colOff>
      <xdr:row>38</xdr:row>
      <xdr:rowOff>128587</xdr:rowOff>
    </xdr:to>
    <xdr:sp macro="" textlink="'Cluster indicator'!E12">
      <xdr:nvSpPr>
        <xdr:cNvPr id="8" name="TextBox 7"/>
        <xdr:cNvSpPr txBox="1"/>
      </xdr:nvSpPr>
      <xdr:spPr>
        <a:xfrm>
          <a:off x="452438" y="7248524"/>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630FB4C-A9CF-4FA4-933F-9885606CD943}" type="TxLink">
            <a:rPr lang="en-US" sz="600" b="1" i="0" u="none" strike="noStrike">
              <a:solidFill>
                <a:srgbClr val="000000"/>
              </a:solidFill>
              <a:latin typeface="Calibri"/>
            </a:rPr>
            <a:pPr/>
            <a:t>86,569</a:t>
          </a:fld>
          <a:endParaRPr lang="en-US" sz="600" b="1"/>
        </a:p>
      </xdr:txBody>
    </xdr:sp>
    <xdr:clientData/>
  </xdr:twoCellAnchor>
  <xdr:twoCellAnchor>
    <xdr:from>
      <xdr:col>2</xdr:col>
      <xdr:colOff>76200</xdr:colOff>
      <xdr:row>33</xdr:row>
      <xdr:rowOff>176212</xdr:rowOff>
    </xdr:from>
    <xdr:to>
      <xdr:col>3</xdr:col>
      <xdr:colOff>566737</xdr:colOff>
      <xdr:row>38</xdr:row>
      <xdr:rowOff>180976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33337</xdr:colOff>
      <xdr:row>33</xdr:row>
      <xdr:rowOff>185737</xdr:rowOff>
    </xdr:from>
    <xdr:to>
      <xdr:col>5</xdr:col>
      <xdr:colOff>523874</xdr:colOff>
      <xdr:row>38</xdr:row>
      <xdr:rowOff>190501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595313</xdr:colOff>
      <xdr:row>34</xdr:row>
      <xdr:rowOff>0</xdr:rowOff>
    </xdr:from>
    <xdr:to>
      <xdr:col>7</xdr:col>
      <xdr:colOff>476250</xdr:colOff>
      <xdr:row>38</xdr:row>
      <xdr:rowOff>195264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409575</xdr:colOff>
      <xdr:row>38</xdr:row>
      <xdr:rowOff>23812</xdr:rowOff>
    </xdr:from>
    <xdr:to>
      <xdr:col>3</xdr:col>
      <xdr:colOff>223837</xdr:colOff>
      <xdr:row>38</xdr:row>
      <xdr:rowOff>142875</xdr:rowOff>
    </xdr:to>
    <xdr:sp macro="" textlink="'Cluster indicator'!D54">
      <xdr:nvSpPr>
        <xdr:cNvPr id="22" name="TextBox 21"/>
        <xdr:cNvSpPr txBox="1"/>
      </xdr:nvSpPr>
      <xdr:spPr>
        <a:xfrm>
          <a:off x="1628775" y="7262812"/>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AB9415C-020F-42BB-A239-EF1F33996FC5}" type="TxLink">
            <a:rPr lang="en-US" sz="600" b="1" i="0" u="none" strike="noStrike">
              <a:solidFill>
                <a:srgbClr val="000000"/>
              </a:solidFill>
              <a:latin typeface="Calibri"/>
            </a:rPr>
            <a:pPr/>
            <a:t>83,701</a:t>
          </a:fld>
          <a:endParaRPr lang="en-US" sz="600" b="1"/>
        </a:p>
      </xdr:txBody>
    </xdr:sp>
    <xdr:clientData/>
  </xdr:twoCellAnchor>
  <xdr:twoCellAnchor>
    <xdr:from>
      <xdr:col>6</xdr:col>
      <xdr:colOff>338138</xdr:colOff>
      <xdr:row>38</xdr:row>
      <xdr:rowOff>28575</xdr:rowOff>
    </xdr:from>
    <xdr:to>
      <xdr:col>7</xdr:col>
      <xdr:colOff>152400</xdr:colOff>
      <xdr:row>38</xdr:row>
      <xdr:rowOff>147638</xdr:rowOff>
    </xdr:to>
    <xdr:sp macro="" textlink="'Cluster indicator'!D68">
      <xdr:nvSpPr>
        <xdr:cNvPr id="23" name="TextBox 21"/>
        <xdr:cNvSpPr txBox="1"/>
      </xdr:nvSpPr>
      <xdr:spPr>
        <a:xfrm>
          <a:off x="3995738" y="7267575"/>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905C41DC-F653-4825-9021-EDD28F93D8F3}" type="TxLink">
            <a:rPr lang="en-US" sz="600" b="1" i="0" u="none" strike="noStrike">
              <a:solidFill>
                <a:srgbClr val="000000"/>
              </a:solidFill>
              <a:latin typeface="Calibri"/>
            </a:rPr>
            <a:pPr/>
            <a:t>50,071</a:t>
          </a:fld>
          <a:endParaRPr lang="en-US" sz="600" b="1"/>
        </a:p>
      </xdr:txBody>
    </xdr:sp>
    <xdr:clientData/>
  </xdr:twoCellAnchor>
  <xdr:twoCellAnchor editAs="oneCell">
    <xdr:from>
      <xdr:col>0</xdr:col>
      <xdr:colOff>104775</xdr:colOff>
      <xdr:row>13</xdr:row>
      <xdr:rowOff>9525</xdr:rowOff>
    </xdr:from>
    <xdr:to>
      <xdr:col>4</xdr:col>
      <xdr:colOff>85725</xdr:colOff>
      <xdr:row>19</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107156</xdr:colOff>
      <xdr:row>3</xdr:row>
      <xdr:rowOff>130967</xdr:rowOff>
    </xdr:from>
    <xdr:to>
      <xdr:col>4</xdr:col>
      <xdr:colOff>61913</xdr:colOff>
      <xdr:row>12</xdr:row>
      <xdr:rowOff>142874</xdr:rowOff>
    </xdr:to>
    <xdr:sp macro="" textlink="">
      <xdr:nvSpPr>
        <xdr:cNvPr id="25" name="TextBox 24"/>
        <xdr:cNvSpPr txBox="1"/>
      </xdr:nvSpPr>
      <xdr:spPr>
        <a:xfrm>
          <a:off x="107156" y="702467"/>
          <a:ext cx="2393157" cy="172640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Join WASH-Shelter site planning in Sar Maw Village of Mogaung Township for the setting up of new camp sheltering IDPs coming from other temporary location, </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Response to the flooding in Mogaung township by the setting up  of  temporary emergency water supply,</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Training of WASH cluster members of data management and 4W monitoring tool in Kachin and NSS</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Follow up situation of Sumprabum conflict  situation, North Kachin, through inter cluster meetings,</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WASH situation monitoring and water quality data collection  in several IDPs locations</a:t>
          </a:r>
        </a:p>
        <a:p>
          <a:pPr marL="171450" lvl="0" indent="-171450">
            <a:buFont typeface="Wingdings" panose="05000000000000000000" pitchFamily="2" charset="2"/>
            <a:buChar char="Ø"/>
          </a:pPr>
          <a:endParaRPr lang="en-US" sz="600" baseline="0">
            <a:solidFill>
              <a:schemeClr val="dk1"/>
            </a:solidFill>
            <a:effectLst/>
            <a:latin typeface="+mn-lt"/>
            <a:ea typeface="+mn-ea"/>
            <a:cs typeface="+mn-cs"/>
          </a:endParaRPr>
        </a:p>
        <a:p>
          <a:pPr marL="171450" lvl="0" indent="-171450">
            <a:buFont typeface="Wingdings" panose="05000000000000000000" pitchFamily="2" charset="2"/>
            <a:buChar char="Ø"/>
          </a:pPr>
          <a:endParaRPr lang="en-US" sz="600" baseline="0">
            <a:solidFill>
              <a:schemeClr val="dk1"/>
            </a:solidFill>
            <a:effectLst/>
            <a:latin typeface="+mn-lt"/>
            <a:ea typeface="+mn-ea"/>
            <a:cs typeface="+mn-cs"/>
          </a:endParaRPr>
        </a:p>
      </xdr:txBody>
    </xdr:sp>
    <xdr:clientData/>
  </xdr:twoCellAnchor>
  <xdr:twoCellAnchor editAs="oneCell">
    <xdr:from>
      <xdr:col>11</xdr:col>
      <xdr:colOff>0</xdr:colOff>
      <xdr:row>2</xdr:row>
      <xdr:rowOff>85726</xdr:rowOff>
    </xdr:from>
    <xdr:to>
      <xdr:col>14</xdr:col>
      <xdr:colOff>990601</xdr:colOff>
      <xdr:row>9</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11</xdr:col>
      <xdr:colOff>19050</xdr:colOff>
      <xdr:row>9</xdr:row>
      <xdr:rowOff>161925</xdr:rowOff>
    </xdr:from>
    <xdr:to>
      <xdr:col>14</xdr:col>
      <xdr:colOff>990600</xdr:colOff>
      <xdr:row>16</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19050</xdr:colOff>
      <xdr:row>17</xdr:row>
      <xdr:rowOff>28576</xdr:rowOff>
    </xdr:from>
    <xdr:to>
      <xdr:col>14</xdr:col>
      <xdr:colOff>990600</xdr:colOff>
      <xdr:row>24</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28575</xdr:colOff>
      <xdr:row>31</xdr:row>
      <xdr:rowOff>161925</xdr:rowOff>
    </xdr:from>
    <xdr:to>
      <xdr:col>14</xdr:col>
      <xdr:colOff>981075</xdr:colOff>
      <xdr:row>38</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4</xdr:col>
      <xdr:colOff>133239</xdr:colOff>
      <xdr:row>2</xdr:row>
      <xdr:rowOff>166688</xdr:rowOff>
    </xdr:from>
    <xdr:to>
      <xdr:col>5</xdr:col>
      <xdr:colOff>543858</xdr:colOff>
      <xdr:row>16</xdr:row>
      <xdr:rowOff>89298</xdr:rowOff>
    </xdr:to>
    <xdr:pic>
      <xdr:nvPicPr>
        <xdr:cNvPr id="27" name="Picture 26"/>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62114" y="547688"/>
          <a:ext cx="1017838" cy="2589610"/>
        </a:xfrm>
        <a:prstGeom prst="rect">
          <a:avLst/>
        </a:prstGeom>
        <a:noFill/>
        <a:ln>
          <a:solidFill>
            <a:schemeClr val="lt1">
              <a:shade val="50000"/>
            </a:schemeClr>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0.34488</cdr:x>
      <cdr:y>0.82919</cdr:y>
    </cdr:from>
    <cdr:to>
      <cdr:x>0.73016</cdr:x>
      <cdr:y>0.95356</cdr:y>
    </cdr:to>
    <cdr:sp macro="" textlink="'Cluster indicator'!$D$61">
      <cdr:nvSpPr>
        <cdr:cNvPr id="2" name="TextBox 21"/>
        <cdr:cNvSpPr txBox="1"/>
      </cdr:nvSpPr>
      <cdr:spPr>
        <a:xfrm xmlns:a="http://schemas.openxmlformats.org/drawingml/2006/main">
          <a:off x="379413" y="793750"/>
          <a:ext cx="423862" cy="1190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73BCBE89-6460-4F7E-813B-9F37582DAAB4}" type="TxLink">
            <a:rPr lang="en-US" sz="600" b="1" i="0" u="none" strike="noStrike">
              <a:solidFill>
                <a:srgbClr val="000000"/>
              </a:solidFill>
              <a:latin typeface="Calibri"/>
            </a:rPr>
            <a:pPr/>
            <a:t>77,446</a:t>
          </a:fld>
          <a:endParaRPr lang="en-US" sz="600" b="1"/>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14</xdr:col>
      <xdr:colOff>1559710</xdr:colOff>
      <xdr:row>1</xdr:row>
      <xdr:rowOff>83622</xdr:rowOff>
    </xdr:from>
    <xdr:to>
      <xdr:col>19</xdr:col>
      <xdr:colOff>0</xdr:colOff>
      <xdr:row>31</xdr:row>
      <xdr:rowOff>668833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8398" y="524153"/>
          <a:ext cx="6346040" cy="6990774"/>
        </a:xfrm>
        <a:prstGeom prst="rect">
          <a:avLst/>
        </a:prstGeom>
      </xdr:spPr>
    </xdr:pic>
    <xdr:clientData/>
  </xdr:twoCellAnchor>
  <xdr:twoCellAnchor editAs="oneCell">
    <xdr:from>
      <xdr:col>3</xdr:col>
      <xdr:colOff>228600</xdr:colOff>
      <xdr:row>497</xdr:row>
      <xdr:rowOff>152400</xdr:rowOff>
    </xdr:from>
    <xdr:to>
      <xdr:col>12</xdr:col>
      <xdr:colOff>681445</xdr:colOff>
      <xdr:row>580</xdr:row>
      <xdr:rowOff>63500</xdr:rowOff>
    </xdr:to>
    <xdr:graphicFrame macro="">
      <xdr:nvGraphicFramePr>
        <xdr:cNvPr id="46"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114299</xdr:colOff>
      <xdr:row>6</xdr:row>
      <xdr:rowOff>177799</xdr:rowOff>
    </xdr:from>
    <xdr:to>
      <xdr:col>13</xdr:col>
      <xdr:colOff>1997867</xdr:colOff>
      <xdr:row>25</xdr:row>
      <xdr:rowOff>47625</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333375</xdr:colOff>
      <xdr:row>29</xdr:row>
      <xdr:rowOff>12699</xdr:rowOff>
    </xdr:from>
    <xdr:to>
      <xdr:col>14</xdr:col>
      <xdr:colOff>583406</xdr:colOff>
      <xdr:row>48</xdr:row>
      <xdr:rowOff>0</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357187</xdr:colOff>
      <xdr:row>56</xdr:row>
      <xdr:rowOff>139699</xdr:rowOff>
    </xdr:from>
    <xdr:to>
      <xdr:col>13</xdr:col>
      <xdr:colOff>2667000</xdr:colOff>
      <xdr:row>73</xdr:row>
      <xdr:rowOff>166686</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76198</xdr:colOff>
      <xdr:row>111</xdr:row>
      <xdr:rowOff>155574</xdr:rowOff>
    </xdr:from>
    <xdr:to>
      <xdr:col>13</xdr:col>
      <xdr:colOff>2166936</xdr:colOff>
      <xdr:row>127</xdr:row>
      <xdr:rowOff>154781</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57149</xdr:colOff>
      <xdr:row>130</xdr:row>
      <xdr:rowOff>114298</xdr:rowOff>
    </xdr:from>
    <xdr:to>
      <xdr:col>13</xdr:col>
      <xdr:colOff>2416967</xdr:colOff>
      <xdr:row>143</xdr:row>
      <xdr:rowOff>130967</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295275</xdr:colOff>
      <xdr:row>249</xdr:row>
      <xdr:rowOff>136525</xdr:rowOff>
    </xdr:from>
    <xdr:to>
      <xdr:col>13</xdr:col>
      <xdr:colOff>2345530</xdr:colOff>
      <xdr:row>271</xdr:row>
      <xdr:rowOff>11906</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295274</xdr:colOff>
      <xdr:row>297</xdr:row>
      <xdr:rowOff>101600</xdr:rowOff>
    </xdr:from>
    <xdr:to>
      <xdr:col>13</xdr:col>
      <xdr:colOff>2333624</xdr:colOff>
      <xdr:row>311</xdr:row>
      <xdr:rowOff>47625</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276225</xdr:colOff>
      <xdr:row>346</xdr:row>
      <xdr:rowOff>9525</xdr:rowOff>
    </xdr:from>
    <xdr:to>
      <xdr:col>13</xdr:col>
      <xdr:colOff>2007393</xdr:colOff>
      <xdr:row>365</xdr:row>
      <xdr:rowOff>47625</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200025</xdr:colOff>
      <xdr:row>374</xdr:row>
      <xdr:rowOff>146050</xdr:rowOff>
    </xdr:from>
    <xdr:to>
      <xdr:col>13</xdr:col>
      <xdr:colOff>2016918</xdr:colOff>
      <xdr:row>392</xdr:row>
      <xdr:rowOff>107156</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266700</xdr:colOff>
      <xdr:row>397</xdr:row>
      <xdr:rowOff>95250</xdr:rowOff>
    </xdr:from>
    <xdr:to>
      <xdr:col>13</xdr:col>
      <xdr:colOff>1978818</xdr:colOff>
      <xdr:row>413</xdr:row>
      <xdr:rowOff>57150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247650</xdr:colOff>
      <xdr:row>418</xdr:row>
      <xdr:rowOff>25400</xdr:rowOff>
    </xdr:from>
    <xdr:to>
      <xdr:col>13</xdr:col>
      <xdr:colOff>1838324</xdr:colOff>
      <xdr:row>434</xdr:row>
      <xdr:rowOff>114300</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219075</xdr:colOff>
      <xdr:row>439</xdr:row>
      <xdr:rowOff>92075</xdr:rowOff>
    </xdr:from>
    <xdr:to>
      <xdr:col>13</xdr:col>
      <xdr:colOff>1928811</xdr:colOff>
      <xdr:row>457</xdr:row>
      <xdr:rowOff>178593</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6</xdr:col>
      <xdr:colOff>230981</xdr:colOff>
      <xdr:row>458</xdr:row>
      <xdr:rowOff>121444</xdr:rowOff>
    </xdr:from>
    <xdr:to>
      <xdr:col>13</xdr:col>
      <xdr:colOff>1716880</xdr:colOff>
      <xdr:row>475</xdr:row>
      <xdr:rowOff>45244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592932</xdr:colOff>
      <xdr:row>170</xdr:row>
      <xdr:rowOff>6350</xdr:rowOff>
    </xdr:from>
    <xdr:to>
      <xdr:col>13</xdr:col>
      <xdr:colOff>1854994</xdr:colOff>
      <xdr:row>178</xdr:row>
      <xdr:rowOff>136072</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141287</xdr:colOff>
      <xdr:row>313</xdr:row>
      <xdr:rowOff>71437</xdr:rowOff>
    </xdr:from>
    <xdr:to>
      <xdr:col>14</xdr:col>
      <xdr:colOff>951926</xdr:colOff>
      <xdr:row>324</xdr:row>
      <xdr:rowOff>59531</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155573</xdr:colOff>
      <xdr:row>585</xdr:row>
      <xdr:rowOff>3175</xdr:rowOff>
    </xdr:from>
    <xdr:to>
      <xdr:col>13</xdr:col>
      <xdr:colOff>2074068</xdr:colOff>
      <xdr:row>600</xdr:row>
      <xdr:rowOff>180975</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6</xdr:col>
      <xdr:colOff>133349</xdr:colOff>
      <xdr:row>607</xdr:row>
      <xdr:rowOff>31750</xdr:rowOff>
    </xdr:from>
    <xdr:to>
      <xdr:col>13</xdr:col>
      <xdr:colOff>2083594</xdr:colOff>
      <xdr:row>621</xdr:row>
      <xdr:rowOff>107950</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6</xdr:col>
      <xdr:colOff>184148</xdr:colOff>
      <xdr:row>624</xdr:row>
      <xdr:rowOff>0</xdr:rowOff>
    </xdr:from>
    <xdr:to>
      <xdr:col>13</xdr:col>
      <xdr:colOff>2045492</xdr:colOff>
      <xdr:row>638</xdr:row>
      <xdr:rowOff>76200</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209548</xdr:colOff>
      <xdr:row>646</xdr:row>
      <xdr:rowOff>104774</xdr:rowOff>
    </xdr:from>
    <xdr:to>
      <xdr:col>13</xdr:col>
      <xdr:colOff>2166936</xdr:colOff>
      <xdr:row>667</xdr:row>
      <xdr:rowOff>47625</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260348</xdr:colOff>
      <xdr:row>674</xdr:row>
      <xdr:rowOff>101600</xdr:rowOff>
    </xdr:from>
    <xdr:to>
      <xdr:col>13</xdr:col>
      <xdr:colOff>2007392</xdr:colOff>
      <xdr:row>688</xdr:row>
      <xdr:rowOff>177800</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257175</xdr:colOff>
      <xdr:row>694</xdr:row>
      <xdr:rowOff>165100</xdr:rowOff>
    </xdr:from>
    <xdr:to>
      <xdr:col>13</xdr:col>
      <xdr:colOff>2055018</xdr:colOff>
      <xdr:row>709</xdr:row>
      <xdr:rowOff>171450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xdr:col>
      <xdr:colOff>609599</xdr:colOff>
      <xdr:row>154</xdr:row>
      <xdr:rowOff>133350</xdr:rowOff>
    </xdr:from>
    <xdr:to>
      <xdr:col>13</xdr:col>
      <xdr:colOff>1874043</xdr:colOff>
      <xdr:row>169</xdr:row>
      <xdr:rowOff>19050</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xdr:col>
      <xdr:colOff>1000126</xdr:colOff>
      <xdr:row>226</xdr:row>
      <xdr:rowOff>130969</xdr:rowOff>
    </xdr:from>
    <xdr:to>
      <xdr:col>12</xdr:col>
      <xdr:colOff>261938</xdr:colOff>
      <xdr:row>245</xdr:row>
      <xdr:rowOff>26194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xdr:col>
      <xdr:colOff>107156</xdr:colOff>
      <xdr:row>325</xdr:row>
      <xdr:rowOff>35718</xdr:rowOff>
    </xdr:from>
    <xdr:to>
      <xdr:col>14</xdr:col>
      <xdr:colOff>1379634</xdr:colOff>
      <xdr:row>341</xdr:row>
      <xdr:rowOff>35718</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0</xdr:col>
      <xdr:colOff>552449</xdr:colOff>
      <xdr:row>79</xdr:row>
      <xdr:rowOff>152400</xdr:rowOff>
    </xdr:from>
    <xdr:to>
      <xdr:col>23</xdr:col>
      <xdr:colOff>388144</xdr:colOff>
      <xdr:row>103</xdr:row>
      <xdr:rowOff>47626</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304799</xdr:colOff>
      <xdr:row>278</xdr:row>
      <xdr:rowOff>76200</xdr:rowOff>
    </xdr:from>
    <xdr:to>
      <xdr:col>13</xdr:col>
      <xdr:colOff>2264567</xdr:colOff>
      <xdr:row>288</xdr:row>
      <xdr:rowOff>38100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xdr:col>
      <xdr:colOff>371475</xdr:colOff>
      <xdr:row>191</xdr:row>
      <xdr:rowOff>19049</xdr:rowOff>
    </xdr:from>
    <xdr:to>
      <xdr:col>13</xdr:col>
      <xdr:colOff>2216943</xdr:colOff>
      <xdr:row>212</xdr:row>
      <xdr:rowOff>180974</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6</xdr:col>
      <xdr:colOff>300908</xdr:colOff>
      <xdr:row>711</xdr:row>
      <xdr:rowOff>130969</xdr:rowOff>
    </xdr:from>
    <xdr:to>
      <xdr:col>13</xdr:col>
      <xdr:colOff>2410993</xdr:colOff>
      <xdr:row>733</xdr:row>
      <xdr:rowOff>95250</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666749</xdr:colOff>
      <xdr:row>9</xdr:row>
      <xdr:rowOff>35717</xdr:rowOff>
    </xdr:from>
    <xdr:to>
      <xdr:col>16</xdr:col>
      <xdr:colOff>66674</xdr:colOff>
      <xdr:row>10</xdr:row>
      <xdr:rowOff>169067</xdr:rowOff>
    </xdr:to>
    <xdr:sp macro="" textlink="">
      <xdr:nvSpPr>
        <xdr:cNvPr id="37" name="Text Box 2"/>
        <xdr:cNvSpPr txBox="1">
          <a:spLocks noChangeArrowheads="1"/>
        </xdr:cNvSpPr>
      </xdr:nvSpPr>
      <xdr:spPr bwMode="auto">
        <a:xfrm>
          <a:off x="15013780" y="3071811"/>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1</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16</xdr:col>
      <xdr:colOff>654843</xdr:colOff>
      <xdr:row>10</xdr:row>
      <xdr:rowOff>107154</xdr:rowOff>
    </xdr:from>
    <xdr:to>
      <xdr:col>16</xdr:col>
      <xdr:colOff>1435893</xdr:colOff>
      <xdr:row>12</xdr:row>
      <xdr:rowOff>50004</xdr:rowOff>
    </xdr:to>
    <xdr:sp macro="" textlink="">
      <xdr:nvSpPr>
        <xdr:cNvPr id="38" name="Text Box 2"/>
        <xdr:cNvSpPr txBox="1">
          <a:spLocks noChangeArrowheads="1"/>
        </xdr:cNvSpPr>
      </xdr:nvSpPr>
      <xdr:spPr bwMode="auto">
        <a:xfrm>
          <a:off x="16382999" y="3333748"/>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2</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15</xdr:col>
      <xdr:colOff>1057275</xdr:colOff>
      <xdr:row>12</xdr:row>
      <xdr:rowOff>569117</xdr:rowOff>
    </xdr:from>
    <xdr:to>
      <xdr:col>16</xdr:col>
      <xdr:colOff>457200</xdr:colOff>
      <xdr:row>14</xdr:row>
      <xdr:rowOff>130967</xdr:rowOff>
    </xdr:to>
    <xdr:sp macro="" textlink="">
      <xdr:nvSpPr>
        <xdr:cNvPr id="39" name="Text Box 2"/>
        <xdr:cNvSpPr txBox="1">
          <a:spLocks noChangeArrowheads="1"/>
        </xdr:cNvSpPr>
      </xdr:nvSpPr>
      <xdr:spPr bwMode="auto">
        <a:xfrm>
          <a:off x="15273338" y="4176711"/>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3</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15</xdr:col>
      <xdr:colOff>1369218</xdr:colOff>
      <xdr:row>20</xdr:row>
      <xdr:rowOff>190498</xdr:rowOff>
    </xdr:from>
    <xdr:to>
      <xdr:col>16</xdr:col>
      <xdr:colOff>769143</xdr:colOff>
      <xdr:row>22</xdr:row>
      <xdr:rowOff>133348</xdr:rowOff>
    </xdr:to>
    <xdr:sp macro="" textlink="">
      <xdr:nvSpPr>
        <xdr:cNvPr id="41" name="Text Box 2"/>
        <xdr:cNvSpPr txBox="1">
          <a:spLocks noChangeArrowheads="1"/>
        </xdr:cNvSpPr>
      </xdr:nvSpPr>
      <xdr:spPr bwMode="auto">
        <a:xfrm>
          <a:off x="15716249" y="5703092"/>
          <a:ext cx="781050" cy="323850"/>
        </a:xfrm>
        <a:prstGeom prst="rect">
          <a:avLst/>
        </a:prstGeom>
        <a:noFill/>
        <a:ln w="9525">
          <a:noFill/>
          <a:miter lim="800000"/>
          <a:headEnd/>
          <a:tailEnd/>
        </a:ln>
        <a:effectLst/>
      </xdr:spPr>
      <xdr:txBody>
        <a:bodyPr rot="0" vert="horz" wrap="square" lIns="91440" tIns="45720" rIns="91440" bIns="45720" anchor="t" anchorCtr="0">
          <a:noAutofit/>
        </a:bodyPr>
        <a:lstStyle/>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Cluster 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15000"/>
            </a:lnSpc>
            <a:spcBef>
              <a:spcPts val="0"/>
            </a:spcBef>
            <a:spcAft>
              <a:spcPts val="1000"/>
            </a:spcAft>
          </a:pPr>
          <a:r>
            <a:rPr lang="en-GB" sz="1100" b="1">
              <a:effectLst>
                <a:glow rad="101600">
                  <a:schemeClr val="accent5">
                    <a:satMod val="175000"/>
                    <a:alpha val="40000"/>
                  </a:schemeClr>
                </a:glow>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741680</xdr:colOff>
      <xdr:row>4</xdr:row>
      <xdr:rowOff>10160</xdr:rowOff>
    </xdr:from>
    <xdr:to>
      <xdr:col>13</xdr:col>
      <xdr:colOff>373380</xdr:colOff>
      <xdr:row>21</xdr:row>
      <xdr:rowOff>147320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767080</xdr:colOff>
      <xdr:row>134</xdr:row>
      <xdr:rowOff>147320</xdr:rowOff>
    </xdr:from>
    <xdr:to>
      <xdr:col>12</xdr:col>
      <xdr:colOff>444500</xdr:colOff>
      <xdr:row>145</xdr:row>
      <xdr:rowOff>172720</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139700</xdr:colOff>
      <xdr:row>148</xdr:row>
      <xdr:rowOff>199390</xdr:rowOff>
    </xdr:from>
    <xdr:to>
      <xdr:col>15</xdr:col>
      <xdr:colOff>627380</xdr:colOff>
      <xdr:row>160</xdr:row>
      <xdr:rowOff>149860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91440</xdr:colOff>
      <xdr:row>165</xdr:row>
      <xdr:rowOff>125730</xdr:rowOff>
    </xdr:from>
    <xdr:to>
      <xdr:col>16</xdr:col>
      <xdr:colOff>63500</xdr:colOff>
      <xdr:row>178</xdr:row>
      <xdr:rowOff>63500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782955</xdr:colOff>
      <xdr:row>104</xdr:row>
      <xdr:rowOff>12700</xdr:rowOff>
    </xdr:from>
    <xdr:to>
      <xdr:col>12</xdr:col>
      <xdr:colOff>482600</xdr:colOff>
      <xdr:row>117</xdr:row>
      <xdr:rowOff>101600</xdr:rowOff>
    </xdr:to>
    <xdr:graphicFrame macro="">
      <xdr:nvGraphicFramePr>
        <xdr:cNvPr id="6"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769620</xdr:colOff>
      <xdr:row>52</xdr:row>
      <xdr:rowOff>111760</xdr:rowOff>
    </xdr:from>
    <xdr:to>
      <xdr:col>13</xdr:col>
      <xdr:colOff>38100</xdr:colOff>
      <xdr:row>58</xdr:row>
      <xdr:rowOff>12700</xdr:rowOff>
    </xdr:to>
    <xdr:graphicFrame macro="">
      <xdr:nvGraphicFramePr>
        <xdr:cNvPr id="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2717800</xdr:colOff>
      <xdr:row>73</xdr:row>
      <xdr:rowOff>114934</xdr:rowOff>
    </xdr:from>
    <xdr:to>
      <xdr:col>12</xdr:col>
      <xdr:colOff>330200</xdr:colOff>
      <xdr:row>86</xdr:row>
      <xdr:rowOff>152399</xdr:rowOff>
    </xdr:to>
    <xdr:graphicFrame macro="">
      <xdr:nvGraphicFramePr>
        <xdr:cNvPr id="8"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533400</xdr:colOff>
      <xdr:row>89</xdr:row>
      <xdr:rowOff>101600</xdr:rowOff>
    </xdr:from>
    <xdr:to>
      <xdr:col>12</xdr:col>
      <xdr:colOff>370840</xdr:colOff>
      <xdr:row>101</xdr:row>
      <xdr:rowOff>30480</xdr:rowOff>
    </xdr:to>
    <xdr:graphicFrame macro="">
      <xdr:nvGraphicFramePr>
        <xdr:cNvPr id="9"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779780</xdr:colOff>
      <xdr:row>120</xdr:row>
      <xdr:rowOff>10160</xdr:rowOff>
    </xdr:from>
    <xdr:to>
      <xdr:col>12</xdr:col>
      <xdr:colOff>421640</xdr:colOff>
      <xdr:row>134</xdr:row>
      <xdr:rowOff>55880</xdr:rowOff>
    </xdr:to>
    <xdr:graphicFrame macro="">
      <xdr:nvGraphicFramePr>
        <xdr:cNvPr id="10"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751840</xdr:colOff>
      <xdr:row>27</xdr:row>
      <xdr:rowOff>497840</xdr:rowOff>
    </xdr:from>
    <xdr:to>
      <xdr:col>13</xdr:col>
      <xdr:colOff>81280</xdr:colOff>
      <xdr:row>49</xdr:row>
      <xdr:rowOff>128905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D%20270/AppData/Roaming/Microsoft/Excel/AppData/Local/Temp/notesC2BC19/15-10-2013_4W_Wash_Matrix_Summary_Rakh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Analysis"/>
      <sheetName val="List"/>
      <sheetName val="CalculateSheet"/>
      <sheetName val="temp Database"/>
    </sheetNames>
    <sheetDataSet>
      <sheetData sheetId="0"/>
      <sheetData sheetId="1"/>
      <sheetData sheetId="2"/>
      <sheetData sheetId="3">
        <row r="3">
          <cell r="B3" t="str">
            <v>Yes</v>
          </cell>
        </row>
        <row r="4">
          <cell r="B4" t="str">
            <v>No</v>
          </cell>
        </row>
        <row r="5">
          <cell r="B5" t="str">
            <v>Never deployed</v>
          </cell>
        </row>
        <row r="6">
          <cell r="B6" t="str">
            <v>Done</v>
          </cell>
        </row>
      </sheetData>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233.559858217595" createdVersion="5" refreshedVersion="5" minRefreshableVersion="3" recordCount="175">
  <cacheSource type="worksheet">
    <worksheetSource ref="B4:CG179" sheet="Database"/>
  </cacheSource>
  <cacheFields count="94">
    <cacheField name="Township" numFmtId="0">
      <sharedItems count="20">
        <s v="Chipwi"/>
        <s v="Hpakan"/>
        <s v="Khaunglanhpu"/>
        <s v="Mogaung"/>
        <s v="Mohnyin"/>
        <s v="Momauk"/>
        <s v="Myitkyina"/>
        <s v="Puta-O"/>
        <s v="Waingmaw"/>
        <s v="Bhamo"/>
        <s v="Mansi"/>
        <s v="Shwegu"/>
        <s v="Muse"/>
        <s v="Namkham"/>
        <s v="Kutkai"/>
        <s v="Hseni"/>
        <s v="Manton"/>
        <s v="Namtu"/>
        <s v="Machanbaw" u="1"/>
        <s v="Sumprabum" u="1"/>
      </sharedItems>
    </cacheField>
    <cacheField name="Camp_P_Code" numFmtId="0">
      <sharedItems containsBlank="1"/>
    </cacheField>
    <cacheField name="Zoning cluster location" numFmtId="0">
      <sharedItems count="10">
        <s v="Cluster 10"/>
        <s v="Cluster 1"/>
        <s v="Cluster 3"/>
        <s v="Cluster 6"/>
        <s v="Cluster 5"/>
        <s v="Cluster 2"/>
        <s v="Cluster 4"/>
        <s v="Cluster 7"/>
        <s v="Cluster 8"/>
        <s v="Cluster 9"/>
      </sharedItems>
    </cacheField>
    <cacheField name="Site" numFmtId="0">
      <sharedItems count="195">
        <s v="Chipwi KBC camp"/>
        <s v="Hpare Hkyer - BP6"/>
        <s v="Lhaovao Baptist Church (LBC)"/>
        <s v="Pan Wa"/>
        <s v="5 Ward Baptist Church(lon Khin)"/>
        <s v="5 Ward RC Church(lon Khin)"/>
        <s v="AG Church, Hmaw Si Sa"/>
        <s v="AG Church, Maw Wan"/>
        <s v="Baptist Church, Hmaw Si Sar(Lon Khin)"/>
        <s v="Baptist Church, Naung Hmee VT"/>
        <s v="Baptist Church, Sai Ra village"/>
        <s v="Chin Church, Seik Mu"/>
        <s v="Dhama Rakhita, Nyein Chan Tar Yar Ward(Lon Khin)"/>
        <s v="Hlaing Naung Baptist"/>
        <s v="Hmaw Wan, Anglican"/>
        <s v="Hpakant Baptist Church, Nam Ma Hpit"/>
        <s v="Lisu Baptist Church, Maw Shan Vil,. Seik Mu"/>
        <s v="Lisu Baptist Church, Maw Wan Ward"/>
        <s v="Maw Wan, Mu-yin Baptist Church"/>
        <s v="Nam Ma Phyit, COC"/>
        <s v="Nant Ma Hpit Catholic Church"/>
        <s v="Rawan Baptist Church, Maw Shan Vil., Seik Mu"/>
        <s v="Sai Nai Baptish Church, Maw Shan Vil., Seki Mu"/>
        <s v="Ward 2 Sai Taung Baptist Church, Seik Mu "/>
        <s v="Yumar Baptist Church"/>
        <s v="La Ja"/>
        <s v="Kyun Taw Baptist Church "/>
        <s v="Mang Hawng Baptist Church"/>
        <s v="Nat Gyi Kone Baptist Church "/>
        <s v="Nawng Ing (Indawgyi) Baptist Church  "/>
        <s v="St. Patrick Catholic Church "/>
        <s v="Dum Bung "/>
        <s v="Hpun Lum Yang "/>
        <s v="Du Kahtawng Qtr. 14"/>
        <s v="Du Kahtawng Qtr. 4"/>
        <s v="Du Kahtawng Qtr. 5"/>
        <s v="Jan Mai Kawng Baptist Church"/>
        <s v="Jan Mai Kawng Catholic Church"/>
        <s v="Kyun Pin Thar Baptist Church"/>
        <s v="Lawk Awng Mare D. (Sinbo Area)"/>
        <s v="Le Kone Bethlehem Church"/>
        <s v="Le Kone Ziun Baptist Church "/>
        <s v="Maliyang Baptist Church"/>
        <s v="Man Hkring Baptist Church"/>
        <s v="Maw Hpawng Hka Nan Baptist Church"/>
        <s v="Maw Hpawng Lhaovo Baptist Church"/>
        <s v="Nan Kway St. John Catholic Church"/>
        <s v="Njang Dung Baptist Church "/>
        <s v="Pa Dauk Myaing(Pa La Na)"/>
        <s v="Shatapru Sut Ngai Tawng"/>
        <s v="Shatapru Thida Aye Baptist Church"/>
        <s v="Shwe Zet Baptist Church"/>
        <s v="Tat Kone Baptist Church"/>
        <s v="Tat Kone (Ra Da Kawng)"/>
        <s v="Tat Kone COC Baptist / Tat Kone Htoi San"/>
        <s v="Tat Kone Emanuel Church"/>
        <s v="Tat Kone Galile Baptist Church"/>
        <s v="Tat Kone San Pya Baptist Church"/>
        <s v="Wun Tho Buddhist Monastery"/>
        <s v="Doke Htan Ward"/>
        <s v="Lung Sut"/>
        <s v="Border Post 8"/>
        <s v="Hkat Cho "/>
        <s v="Hkau Shau (BP 12)"/>
        <s v="Mading Baptist Church"/>
        <s v="Maga Yang "/>
        <s v="Maina AG Church"/>
        <s v="Maina Catholic Church (St. Joseph)"/>
        <s v="Maina KBC (Bawng Ring)"/>
        <s v="Maina Lawang Baptist Church"/>
        <s v="Pajau / Jan Mai"/>
        <s v="Post 6 Camp"/>
        <s v="Qtr. 2 Lhaovo Baptist Church"/>
        <s v="Qtr. 2 Myoma Baptist Church"/>
        <s v="Qtr. 3 Mu-yin  Baptist Church"/>
        <s v="Qtr. 4 Monestry (Thargaya Thayett Taw)"/>
        <s v="Shing Jai"/>
        <s v="Thargaya Lisu Baptist Church"/>
        <s v="Waingmaw AG Church"/>
        <s v="Waingmaw Baptist Zonal Office"/>
        <s v="Woi Chyai (Mong Lai)"/>
        <s v="Woi Chyai  host families"/>
        <s v="Woi Chyai "/>
        <s v="Zai Awng / Mung Ga Zup"/>
        <s v="Chipwi (School coumpound)"/>
        <s v="Girl Boarding house, A Len Bum"/>
        <s v="Boys Boarding house, A Len Bum"/>
        <s v="N-Lwe Yan"/>
        <s v="Nawng Hee Village"/>
        <s v="Ku Day Maw KBC"/>
        <s v="Pan Wa (Saw Zam) camp "/>
        <s v="Sar Maw-ICM"/>
        <s v="Sar Hmaw - KBC"/>
        <s v="Ma Hawng RC "/>
        <s v="Aung Thar Church"/>
        <s v="Htoi San Church*"/>
        <s v="Lisu Boarding-House"/>
        <s v="Mu-yin Baptist Church"/>
        <s v="Nant Hlaing Church"/>
        <s v="Yoe Kyi Monastery"/>
        <s v="Mansi Baptist Church*"/>
        <s v="Agritural Compound (KBC)"/>
        <s v="Kachin Su Baptist Church (ECCD)"/>
        <s v="Khar Nan (1) Baptist Church"/>
        <s v="Man Bung Catholic compound"/>
        <s v="Mandalay Monestry"/>
        <s v="Momauk Baptist Church"/>
        <s v="Shwe Gu Baptist Church"/>
        <s v="Shwe Gu Catholic Church"/>
        <s v="AD-2000 Tharthana Compound*"/>
        <s v="AD-2000 Extension camp"/>
        <s v="Phan Khar Kone*"/>
        <s v="Robert Church*"/>
        <s v="Ta Gun Taing Monastery (Shwe Kyi Na)"/>
        <s v="Je Yang Hka "/>
        <s v="Loi Je Baptist Church"/>
        <s v="Loi Je Catholic Church"/>
        <s v="Loi Je Lisu  (1) Camp"/>
        <s v="Loi Je Lisu  (2) Camp"/>
        <s v="Loi Je Lisu  (3) Camp"/>
        <s v="Loi Je Lisu  (4) Camp"/>
        <s v="Loi Je Nyaung Na Pin "/>
        <s v="Loi Je Seng Ja "/>
        <s v="Man Bung Edin Baptist Church"/>
        <s v="Ni Thaw Ka Monestry"/>
        <s v="Maing Khaung Baptist Church"/>
        <s v="Maing Khaung Catholic Church"/>
        <s v="Momauk Host Families"/>
        <s v="Bhamo Host Families"/>
        <s v="Bum Tsit Pa * (1)"/>
        <s v="Bum Tsit Pa * (2)"/>
        <s v="Bum Tsit Pa * (3)"/>
        <s v="Lana Zup Ja *"/>
        <s v="Nhkawng Pa "/>
        <s v="Pa Kahtawng 2"/>
        <s v="Pa Kahtawng 1B"/>
        <s v="Pa Kahtawng 1 A"/>
        <s v="Pa Kahtawng Primary House"/>
        <s v="Pa Kahtawng Boarding Middle School "/>
        <s v="Pa Kahtawng Boarding High School "/>
        <s v="Pa Kahtawng Host Families"/>
        <s v="Mansi Host Families"/>
        <s v="Khun Sint Village"/>
        <s v="Mai Khat "/>
        <s v="Man Nawng "/>
        <s v="Myo Thit "/>
        <s v="Tarli "/>
        <s v="Shwegu Host Families"/>
        <s v="Loi Je RC Boarding School"/>
        <s v="Clutural Compound"/>
        <s v="MWG -RC2"/>
        <s v="Muse KBC Church"/>
        <s v="Muse RC Church"/>
        <s v="Man Wing Baptist Church*"/>
        <s v="Man Wing Catholic Church*"/>
        <s v="Nam Hkam - Nay Win Ni (Palawng)"/>
        <s v="Nam Hkam (KBC Jaw Wang)"/>
        <s v="Nam Hkam Catholic Church ( St. Thomas I)"/>
        <s v="Nam Hkawng/Manaung kaung"/>
        <s v="Bang Lung"/>
        <s v="Jaw 2"/>
        <s v="Kone Khem Camp"/>
        <s v="Kutkai downtown (KBC Church)"/>
        <s v="Kutkai downtown (RC Church)"/>
        <s v="Mine Yu Lay village"/>
        <s v="Mungji Pa Dabang (Baptist Church)         "/>
        <s v="Mungji Pa Dabang (RC Church)         "/>
        <s v="Nam Hpak Ka Mare "/>
        <s v="Narte"/>
        <s v="Mandung - Jinghpaw"/>
        <s v="Mandung - RC"/>
        <s v="Pan Ku"/>
        <s v="Zup Aung Camp"/>
        <s v="Namtu Baptist"/>
        <s v="(Nam Hoi) Host families"/>
        <s v="Phan Khar Kone" u="1"/>
        <s v="IDP School, A Len Bum" u="1"/>
        <s v="Cultural Compound" u="1"/>
        <s v="Machanbaw-KBC" u="1"/>
        <s v="Nam Hka Mare (west of Man Wing)" u="1"/>
        <s v="Phar Kay/Nant Waing " u="1"/>
        <s v="Lana Zup Ja" u="1"/>
        <s v="Loi Je Lisu Camp" u="1"/>
        <s v="Inn Lel Yan" u="1"/>
        <s v="Nam Sa Larp" u="1"/>
        <s v="Nam Ja Rap" u="1"/>
        <s v="Lone Sut" u="1"/>
        <s v="Robert Church" u="1"/>
        <s v="Momauk Catholic Church (St. Patrick)" u="1"/>
        <s v="Host Families" u="1"/>
        <s v="Pa Kahtawng Primary school" u="1"/>
        <s v="Laiza Market 3 / Laiza Gat" u="1"/>
        <s v="Myay Myint Baptist Church" u="1"/>
        <s v="Naung Khaing" u="1"/>
        <s v="Sumprabum" u="1"/>
      </sharedItems>
    </cacheField>
    <cacheField name="GPS x" numFmtId="0">
      <sharedItems containsString="0" containsBlank="1" containsNumber="1" minValue="96.269199999999998" maxValue="98.475719999999995"/>
    </cacheField>
    <cacheField name="GPS y" numFmtId="0">
      <sharedItems containsString="0" containsBlank="1" containsNumber="1" minValue="23.092880000000001" maxValue="27.310880000000001"/>
    </cacheField>
    <cacheField name="Location type" numFmtId="0">
      <sharedItems count="3">
        <s v="Camp"/>
        <s v="Village"/>
        <s v="School"/>
      </sharedItems>
    </cacheField>
    <cacheField name="Type" numFmtId="0">
      <sharedItems count="2">
        <s v="GCA"/>
        <s v="NGCA"/>
      </sharedItems>
    </cacheField>
    <cacheField name="Nb of affected household" numFmtId="0">
      <sharedItems containsString="0" containsBlank="1" containsNumber="1" containsInteger="1" minValue="0" maxValue="1548"/>
    </cacheField>
    <cacheField name="IDPs Pop" numFmtId="0">
      <sharedItems containsSemiMixedTypes="0" containsString="0" containsNumber="1" containsInteger="1" minValue="4" maxValue="7247"/>
    </cacheField>
    <cacheField name="Total PoP" numFmtId="0">
      <sharedItems containsSemiMixedTypes="0" containsString="0" containsNumber="1" containsInteger="1" minValue="4" maxValue="7247"/>
    </cacheField>
    <cacheField name="Camps treshold" numFmtId="0">
      <sharedItems containsBlank="1" count="6">
        <s v="2. Medium"/>
        <s v="1. Small"/>
        <s v="3. Large"/>
        <s v="4. Big"/>
        <s v="5. Massive"/>
        <m u="1"/>
      </sharedItems>
    </cacheField>
    <cacheField name="Donor" numFmtId="0">
      <sharedItems containsBlank="1"/>
    </cacheField>
    <cacheField name="Camp manager defined by UNHCR" numFmtId="0">
      <sharedItems containsBlank="1"/>
    </cacheField>
    <cacheField name="Focal point Agency" numFmtId="0">
      <sharedItems count="9">
        <s v="Shalom"/>
        <s v="KBC"/>
        <s v="KMSS"/>
        <s v="None"/>
        <s v="Metta"/>
        <s v="SI"/>
        <s v="Cesvi"/>
        <s v="WPN"/>
        <s v="SCI"/>
      </sharedItems>
    </cacheField>
    <cacheField name="Targetted" numFmtId="0">
      <sharedItems count="2">
        <s v="Covered"/>
        <s v="Not covered"/>
      </sharedItems>
    </cacheField>
    <cacheField name="Ending date funds/project coverage" numFmtId="0">
      <sharedItems containsDate="1" containsBlank="1" containsMixedTypes="1" minDate="2015-07-31T00:00:00" maxDate="2016-06-01T00:00:00"/>
    </cacheField>
    <cacheField name="Source of Data" numFmtId="0">
      <sharedItems/>
    </cacheField>
    <cacheField name="Documented" numFmtId="15">
      <sharedItems count="2">
        <s v="Documented"/>
        <s v="Not documented"/>
      </sharedItems>
    </cacheField>
    <cacheField name="litres/day produce  _x000a_Water treatment station " numFmtId="0">
      <sharedItems containsSemiMixedTypes="0" containsString="0" containsNumber="1" containsInteger="1" minValue="0" maxValue="0"/>
    </cacheField>
    <cacheField name="litres deliver during the month_x000a_Water/Boat trucking " numFmtId="0">
      <sharedItems containsSemiMixedTypes="0" containsString="0" containsNumber="1" containsInteger="1" minValue="0" maxValue="47630"/>
    </cacheField>
    <cacheField name="Exit strategy plan from emergency supply " numFmtId="0">
      <sharedItems/>
    </cacheField>
    <cacheField name="# Open hand Dug wells (without hand pump)" numFmtId="0">
      <sharedItems containsSemiMixedTypes="0" containsString="0" containsNumber="1" containsInteger="1" minValue="0" maxValue="150"/>
    </cacheField>
    <cacheField name="# Hand pump (on well or borehole)" numFmtId="0">
      <sharedItems containsSemiMixedTypes="0" containsString="0" containsNumber="1" containsInteger="1" minValue="0" maxValue="105"/>
    </cacheField>
    <cacheField name="litres/Day provided with Overhead or storage tank with reticulation/ Water  gravity system           ( Yield x average running hours)" numFmtId="0">
      <sharedItems containsSemiMixedTypes="0" containsString="0" containsNumber="1" containsInteger="1" minValue="0" maxValue="216000"/>
    </cacheField>
    <cacheField name="% Water harvesting system HH coverage" numFmtId="9">
      <sharedItems containsSemiMixedTypes="0" containsString="0" containsNumber="1" minValue="0" maxValue="1"/>
    </cacheField>
    <cacheField name="% Household covered with Household filtration " numFmtId="9">
      <sharedItems containsSemiMixedTypes="0" containsString="0" containsNumber="1" minValue="0" maxValue="1"/>
    </cacheField>
    <cacheField name="Actual water needs coverage" numFmtId="9">
      <sharedItems containsSemiMixedTypes="0" containsString="0" containsNumber="1" minValue="0" maxValue="1"/>
    </cacheField>
    <cacheField name="Population for Actual water needs coverage" numFmtId="1">
      <sharedItems containsSemiMixedTypes="0" containsString="0" containsNumber="1" minValue="0" maxValue="7247"/>
    </cacheField>
    <cacheField name="Access of safe water drinking permanent water point" numFmtId="9">
      <sharedItems containsSemiMixedTypes="0" containsString="0" containsNumber="1" minValue="0" maxValue="1"/>
    </cacheField>
    <cacheField name="Population for access of safe water drinking permanent water point" numFmtId="1">
      <sharedItems containsSemiMixedTypes="0" containsString="0" containsNumber="1" minValue="0" maxValue="7247"/>
    </cacheField>
    <cacheField name="Potential % of actual need coverage including houshold treatment solution" numFmtId="9">
      <sharedItems containsSemiMixedTypes="0" containsString="0" containsNumber="1" minValue="0" maxValue="1"/>
    </cacheField>
    <cacheField name="Population for Potential % of actual need coverage including houshold treatment solution" numFmtId="1">
      <sharedItems containsSemiMixedTypes="0" containsString="0" containsNumber="1" minValue="0" maxValue="7247"/>
    </cacheField>
    <cacheField name="Rank coverage" numFmtId="0">
      <sharedItems count="6">
        <s v="80-100%"/>
        <s v="0-10%"/>
        <s v="45-60%"/>
        <s v="30-45%" u="1"/>
        <s v="15-30%" u="1"/>
        <s v="60-80%" u="1"/>
      </sharedItems>
    </cacheField>
    <cacheField name="% of actual need covered by emergency facilities" numFmtId="9">
      <sharedItems containsSemiMixedTypes="0" containsString="0" containsNumber="1" containsInteger="1" minValue="0" maxValue="0"/>
    </cacheField>
    <cacheField name="Population for of actual need covered by emergency facilities" numFmtId="1">
      <sharedItems containsSemiMixedTypes="0" containsString="0" containsNumber="1" containsInteger="1" minValue="0" maxValue="0"/>
    </cacheField>
    <cacheField name="Potential Number permanent water point missing" numFmtId="1">
      <sharedItems containsSemiMixedTypes="0" containsString="0" containsNumber="1" minValue="0" maxValue="13.1175"/>
    </cacheField>
    <cacheField name="Number family having ceramic filter" numFmtId="1">
      <sharedItems containsSemiMixedTypes="0" containsString="0" containsNumber="1" minValue="0" maxValue="659"/>
    </cacheField>
    <cacheField name="nb of persons having rain harvest acess" numFmtId="1">
      <sharedItems containsSemiMixedTypes="0" containsString="0" containsNumber="1" minValue="0" maxValue="3781"/>
    </cacheField>
    <cacheField name="% Estimated need coverage at the end of project" numFmtId="9">
      <sharedItems containsSemiMixedTypes="0" containsString="0" containsNumber="1" containsInteger="1" minValue="0" maxValue="1"/>
    </cacheField>
    <cacheField name="Population for Estimated need coverage in 2 months" numFmtId="0">
      <sharedItems containsSemiMixedTypes="0" containsString="0" containsNumber="1" containsInteger="1" minValue="0" maxValue="7247"/>
    </cacheField>
    <cacheField name="Comments" numFmtId="0">
      <sharedItems containsBlank="1"/>
    </cacheField>
    <cacheField name="Total # Emergency Latrines built since camp opening" numFmtId="0">
      <sharedItems containsSemiMixedTypes="0" containsString="0" containsNumber="1" containsInteger="1" minValue="0" maxValue="573"/>
    </cacheField>
    <cacheField name="# Emergency latrines still functional" numFmtId="0">
      <sharedItems containsSemiMixedTypes="0" containsString="0" containsNumber="1" containsInteger="1" minValue="0" maxValue="276"/>
    </cacheField>
    <cacheField name="# Semi permanent latrine functional" numFmtId="0">
      <sharedItems containsSemiMixedTypes="0" containsString="0" containsNumber="1" containsInteger="1" minValue="0" maxValue="659"/>
    </cacheField>
    <cacheField name="Latrines gender sperated" numFmtId="0">
      <sharedItems containsBlank="1" count="7">
        <s v="Latrine shared by families , not separated"/>
        <s v="Separate, clearly perceived"/>
        <s v="Not separated yet"/>
        <s v="Separate, but not clearly perceived"/>
        <s v="separated"/>
        <m u="1"/>
        <s v="Separated, clearly perceived" u="1"/>
      </sharedItems>
    </cacheField>
    <cacheField name="% Latrine needs coverage" numFmtId="9">
      <sharedItems containsSemiMixedTypes="0" containsString="0" containsNumber="1" minValue="0" maxValue="1"/>
    </cacheField>
    <cacheField name="Population for % Latrine needs coverage" numFmtId="1">
      <sharedItems containsSemiMixedTypes="0" containsString="0" containsNumber="1" minValue="0" maxValue="7247"/>
    </cacheField>
    <cacheField name="% Emergency latrines" numFmtId="9">
      <sharedItems containsSemiMixedTypes="0" containsString="0" containsNumber="1" minValue="0" maxValue="1"/>
    </cacheField>
    <cacheField name="Population for % Emergency latrines" numFmtId="1">
      <sharedItems containsSemiMixedTypes="0" containsString="0" containsNumber="1" minValue="0" maxValue="2810"/>
    </cacheField>
    <cacheField name="% Semi permanent latrine" numFmtId="9">
      <sharedItems containsSemiMixedTypes="0" containsString="0" containsNumber="1" minValue="0" maxValue="1"/>
    </cacheField>
    <cacheField name="Population for % Semi permanent latrine" numFmtId="1">
      <sharedItems containsSemiMixedTypes="0" containsString="0" containsNumber="1" minValue="0" maxValue="7247"/>
    </cacheField>
    <cacheField name="# Additional latrines needs identified for community center as TLS, heath center…" numFmtId="0">
      <sharedItems containsString="0" containsBlank="1" containsNumber="1" containsInteger="1" minValue="0" maxValue="18"/>
    </cacheField>
    <cacheField name="% Estimated coverage of latrine need at the end of project" numFmtId="9">
      <sharedItems containsSemiMixedTypes="0" containsString="0" containsNumber="1" minValue="0" maxValue="1"/>
    </cacheField>
    <cacheField name="Population for % Estimated coverage of latrine need at the end of project" numFmtId="1">
      <sharedItems containsString="0" containsBlank="1" containsNumber="1" minValue="0" maxValue="7247"/>
    </cacheField>
    <cacheField name="# Semi permanent latrines missing" numFmtId="1">
      <sharedItems containsString="0" containsBlank="1" containsNumber="1" minValue="0" maxValue="140.5"/>
    </cacheField>
    <cacheField name="# of Bathing space (1 unit for 100 persons)" numFmtId="0">
      <sharedItems containsSemiMixedTypes="0" containsString="0" containsNumber="1" containsInteger="1" minValue="0" maxValue="213"/>
    </cacheField>
    <cacheField name="Bathing space gender separated" numFmtId="0">
      <sharedItems containsBlank="1"/>
    </cacheField>
    <cacheField name="Coverage Bathing %" numFmtId="9">
      <sharedItems containsSemiMixedTypes="0" containsString="0" containsNumber="1" minValue="0" maxValue="1"/>
    </cacheField>
    <cacheField name="Population Coverage Bathing %" numFmtId="1">
      <sharedItems containsSemiMixedTypes="0" containsString="0" containsNumber="1" minValue="0" maxValue="5000"/>
    </cacheField>
    <cacheField name="Nb of missing bathing space" numFmtId="1">
      <sharedItems containsSemiMixedTypes="0" containsString="0" containsNumber="1" minValue="0" maxValue="35.409999999999997"/>
    </cacheField>
    <cacheField name="Estimated coverage of bathroom at the end of project with gender speration" numFmtId="9">
      <sharedItems containsSemiMixedTypes="0" containsString="0" containsNumber="1" minValue="0" maxValue="1"/>
    </cacheField>
    <cacheField name="Population for  Estimated coverage of bathroom need at the end of projects  % with gender speration" numFmtId="1">
      <sharedItems containsSemiMixedTypes="0" containsString="0" containsNumber="1" minValue="0" maxValue="5000.4299999999994"/>
    </cacheField>
    <cacheField name="# Hand washing station funtional" numFmtId="0">
      <sharedItems containsSemiMixedTypes="0" containsString="0" containsNumber="1" containsInteger="1" minValue="0" maxValue="102"/>
    </cacheField>
    <cacheField name="Coverage hand wash station %" numFmtId="9">
      <sharedItems containsSemiMixedTypes="0" containsString="0" containsNumber="1" minValue="0" maxValue="1"/>
    </cacheField>
    <cacheField name="Nb of missing hand washing station" numFmtId="1">
      <sharedItems containsSemiMixedTypes="0" containsString="0" containsNumber="1" minValue="0" maxValue="35.409999999999997"/>
    </cacheField>
    <cacheField name="Estimated coverage need of hand washing station at the end of project" numFmtId="9">
      <sharedItems containsSemiMixedTypes="0" containsString="0" containsNumber="1" minValue="0" maxValue="1"/>
    </cacheField>
    <cacheField name="Comments2" numFmtId="0">
      <sharedItems containsBlank="1" longText="1"/>
    </cacheField>
    <cacheField name="Date Last Full Hygiene Kit distribution" numFmtId="169">
      <sharedItems containsNonDate="0" containsDate="1" containsString="0" containsBlank="1" minDate="2012-10-01T00:00:00" maxDate="2015-06-19T00:00:00"/>
    </cacheField>
    <cacheField name="Next distribution to be done" numFmtId="169">
      <sharedItems containsDate="1" containsMixedTypes="1" minDate="2015-12-10T00:00:00" maxDate="2016-06-18T00:00:00"/>
    </cacheField>
    <cacheField name="Total # of Full Hygiene kit distributed during last distribution" numFmtId="0">
      <sharedItems containsSemiMixedTypes="0" containsString="0" containsNumber="1" containsInteger="1" minValue="0" maxValue="1646"/>
    </cacheField>
    <cacheField name="# of month distributed for Refilling Kits since last full kit distribution" numFmtId="0">
      <sharedItems containsString="0" containsBlank="1" containsNumber="1" containsInteger="1" minValue="0" maxValue="20"/>
    </cacheField>
    <cacheField name="Gap of basic hygiene kit" numFmtId="3">
      <sharedItems containsSemiMixedTypes="0" containsString="0" containsNumber="1" containsInteger="1" minValue="0" maxValue="1548"/>
    </cacheField>
    <cacheField name="Coverage Hygiene kits" numFmtId="9">
      <sharedItems containsSemiMixedTypes="0" containsString="0" containsNumber="1" minValue="0" maxValue="1"/>
    </cacheField>
    <cacheField name="Coverage Hygiene kits * Total PoP" numFmtId="1">
      <sharedItems containsSemiMixedTypes="0" containsString="0" containsNumber="1" minValue="0" maxValue="2810"/>
    </cacheField>
    <cacheField name="Gap of month covered by refilled" numFmtId="3">
      <sharedItems containsMixedTypes="1" containsNumber="1" containsInteger="1" minValue="0" maxValue="31" count="33">
        <n v="0"/>
        <n v="4"/>
        <n v="6"/>
        <n v="10"/>
        <s v="Column BN to be completed"/>
        <n v="1"/>
        <n v="2"/>
        <n v="11"/>
        <n v="8"/>
        <n v="7"/>
        <n v="15"/>
        <n v="9"/>
        <n v="12"/>
        <n v="3"/>
        <n v="17"/>
        <n v="5"/>
        <n v="31"/>
        <n v="30"/>
        <n v="13" u="1"/>
        <n v="14" u="1"/>
        <n v="16" u="1"/>
        <n v="18" u="1"/>
        <n v="19" u="1"/>
        <n v="20" u="1"/>
        <n v="21" u="1"/>
        <n v="22" u="1"/>
        <n v="23" u="1"/>
        <n v="24" u="1"/>
        <n v="25" u="1"/>
        <n v="26" u="1"/>
        <n v="27" u="1"/>
        <n v="28" u="1"/>
        <n v="29" u="1"/>
      </sharedItems>
    </cacheField>
    <cacheField name="Comments3" numFmtId="0">
      <sharedItems containsBlank="1"/>
    </cacheField>
    <cacheField name="Approximative % of household receiving monthly HP senzitisation directly with NGO" numFmtId="9">
      <sharedItems containsSemiMixedTypes="0" containsString="0" containsNumber="1" minValue="0" maxValue="1"/>
    </cacheField>
    <cacheField name="Population receiving HP at HH level" numFmtId="3">
      <sharedItems containsString="0" containsBlank="1" containsNumber="1" minValue="0" maxValue="2810"/>
    </cacheField>
    <cacheField name="Nb  community HP trainer trained by NGO" numFmtId="0">
      <sharedItems containsSemiMixedTypes="0" containsString="0" containsNumber="1" containsInteger="1" minValue="0" maxValue="25"/>
    </cacheField>
    <cacheField name="Ratio between population and nb of community HP" numFmtId="0">
      <sharedItems/>
    </cacheField>
    <cacheField name="Incinerator operational" numFmtId="0">
      <sharedItems containsSemiMixedTypes="0" containsString="0" containsNumber="1" containsInteger="1" minValue="0" maxValue="6"/>
    </cacheField>
    <cacheField name="Community management organise and efficient in camps" numFmtId="0">
      <sharedItems containsBlank="1" count="15">
        <s v="Functional and efficient"/>
        <s v="Set up but low results "/>
        <s v="Not yet set up"/>
        <s v="Not yet planned"/>
        <m/>
        <s v="already set up" u="1"/>
        <s v="Functional and efficient. The number of people actually leaving in the camp is 93 HH (so around 500 people) " u="1"/>
        <s v="Functioning and efficient" u="1"/>
        <s v="N/A" u="1"/>
        <s v="Functional and not efficient" u="1"/>
        <s v="Alredy set up" u="1"/>
        <s v="Funcyioning and low effivient" u="1"/>
        <s v="NA" u="1"/>
        <s v="No WASH committee" u="1"/>
        <s v="functioning but not efficient" u="1"/>
      </sharedItems>
    </cacheField>
    <cacheField name="Comment" numFmtId="0">
      <sharedItems containsBlank="1"/>
    </cacheField>
    <cacheField name="Water Need coverage %" numFmtId="0" formula="'Population for Potential % of actual need coverage including houshold treatment solution'/'Total PoP'" databaseField="0"/>
    <cacheField name="Latrine need coverage %" numFmtId="0" formula="'Population for % Latrine needs coverage'/'Total PoP'" databaseField="0"/>
    <cacheField name="Bathroom need coverage" numFmtId="0" formula="'Population Coverage Bathing %'/'Total PoP'" databaseField="0"/>
    <cacheField name="Coverage Permanent Latrine %" numFmtId="0" formula="'Population for % Semi permanent latrine'/'Total PoP'" databaseField="0"/>
    <cacheField name="Coverage Emergency latrine %" numFmtId="0" formula="'Population for % Emergency latrines'/'Total PoP'" databaseField="0"/>
    <cacheField name="Coverage Full HK %" numFmtId="0" formula="'Coverage Hygiene kits * Total PoP'/'Total PoP'" databaseField="0"/>
    <cacheField name="Coverage HP session at HH level %" numFmtId="0" formula="'Population receiving HP at HH level'/'Total PoP'" databaseField="0"/>
    <cacheField name="Coverage projection end of project" numFmtId="0" formula=" ('Population for Estimated need coverage in 2 months'-'Population for Potential % of actual need coverage including houshold treatment solution') /'Total PoP'" databaseField="0"/>
    <cacheField name="Projection latrine need coverage EOP" numFmtId="0" formula="('Population for % Estimated coverage of latrine need at the end of project'-'Population for % Latrine needs coverage')/'Total PoP'" databaseField="0"/>
    <cacheField name="Projection Bathrrom coverage EOP" numFmtId="0" formula="('Population for  Estimated coverage of bathroom need at the end of projects  % with gender speration'-'Population Coverage Bathing %')/'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233.559864467592" createdVersion="5" refreshedVersion="5" minRefreshableVersion="3" recordCount="177">
  <cacheSource type="worksheet">
    <worksheetSource ref="B4:R232" sheet="Database"/>
  </cacheSource>
  <cacheFields count="17">
    <cacheField name="Township" numFmtId="0">
      <sharedItems containsBlank="1" count="20">
        <s v="Chipwi"/>
        <s v="Hpakan"/>
        <s v="Khaunglanhpu"/>
        <s v="Mogaung"/>
        <s v="Mohnyin"/>
        <s v="Momauk"/>
        <s v="Myitkyina"/>
        <s v="Puta-O"/>
        <s v="Waingmaw"/>
        <s v="Bhamo"/>
        <s v="Mansi"/>
        <s v="Shwegu"/>
        <s v="Muse"/>
        <s v="Namkham"/>
        <s v="Kutkai"/>
        <s v="Hseni"/>
        <s v="Manton"/>
        <s v="Namtu"/>
        <m/>
        <s v="Machanbaw" u="1"/>
      </sharedItems>
    </cacheField>
    <cacheField name="Camp_P_Code" numFmtId="0">
      <sharedItems containsBlank="1"/>
    </cacheField>
    <cacheField name="Zoning cluster location" numFmtId="0">
      <sharedItems containsBlank="1"/>
    </cacheField>
    <cacheField name="Site" numFmtId="0">
      <sharedItems containsBlank="1"/>
    </cacheField>
    <cacheField name="GPS x" numFmtId="0">
      <sharedItems containsString="0" containsBlank="1" containsNumber="1" minValue="96.269199999999998" maxValue="98.475719999999995"/>
    </cacheField>
    <cacheField name="GPS y" numFmtId="0">
      <sharedItems containsString="0" containsBlank="1" containsNumber="1" minValue="23.092880000000001" maxValue="27.310880000000001"/>
    </cacheField>
    <cacheField name="Location type" numFmtId="0">
      <sharedItems containsBlank="1"/>
    </cacheField>
    <cacheField name="Type" numFmtId="0">
      <sharedItems containsBlank="1"/>
    </cacheField>
    <cacheField name="Nb of affected household" numFmtId="0">
      <sharedItems containsString="0" containsBlank="1" containsNumber="1" containsInteger="1" minValue="0" maxValue="1548"/>
    </cacheField>
    <cacheField name="IDPs Pop" numFmtId="0">
      <sharedItems containsString="0" containsBlank="1" containsNumber="1" containsInteger="1" minValue="4" maxValue="7247"/>
    </cacheField>
    <cacheField name="Total PoP" numFmtId="0">
      <sharedItems containsString="0" containsBlank="1" containsNumber="1" containsInteger="1" minValue="4" maxValue="7247"/>
    </cacheField>
    <cacheField name="Camps treshold" numFmtId="0">
      <sharedItems containsBlank="1"/>
    </cacheField>
    <cacheField name="Donor" numFmtId="0">
      <sharedItems containsBlank="1"/>
    </cacheField>
    <cacheField name="Camp manager defined by UNHCR" numFmtId="0">
      <sharedItems containsBlank="1"/>
    </cacheField>
    <cacheField name="Focal point Agency" numFmtId="0">
      <sharedItems containsBlank="1" count="10">
        <s v="Shalom"/>
        <s v="KBC"/>
        <s v="KMSS"/>
        <s v="None"/>
        <s v="Metta"/>
        <s v="SI"/>
        <s v="Cesvi"/>
        <s v="WPN"/>
        <s v="SCI"/>
        <m/>
      </sharedItems>
    </cacheField>
    <cacheField name="Targetted" numFmtId="0">
      <sharedItems containsBlank="1"/>
    </cacheField>
    <cacheField name="Ending date funds/project coverage" numFmtId="0">
      <sharedItems containsDate="1" containsBlank="1" containsMixedTypes="1" minDate="2015-05-31T00:00:00" maxDate="2016-06-01T00:00:00" count="12">
        <d v="2015-07-31T00:00:00"/>
        <d v="2016-02-29T00:00:00"/>
        <d v="2015-12-31T00:00:00"/>
        <s v="Gap"/>
        <d v="2016-05-31T00:00:00"/>
        <d v="2016-03-30T00:00:00"/>
        <d v="2015-08-31T00:00:00"/>
        <m/>
        <d v="2016-03-31T00:00:00"/>
        <d v="2015-07-20T00:00:00" u="1"/>
        <d v="2015-06-30T00:00:00" u="1"/>
        <d v="2015-05-31T00:00:0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ein Tun Hlaing" refreshedDate="42233.559864699077" createdVersion="5" refreshedVersion="5" minRefreshableVersion="3" recordCount="64">
  <cacheSource type="worksheet">
    <worksheetSource ref="C4:AH68" sheet="Agency funds received"/>
  </cacheSource>
  <cacheFields count="32">
    <cacheField name="Agency leading the project" numFmtId="0">
      <sharedItems count="17">
        <s v="CESVI"/>
        <s v="ADRA"/>
        <s v="DWHH"/>
        <s v="HIDA"/>
        <s v="KBC"/>
        <s v="KMSS"/>
        <s v="Merlin"/>
        <s v="Metta"/>
        <s v="Oxfam GB"/>
        <s v="Plan"/>
        <s v="SCI"/>
        <s v="Shalom"/>
        <s v="Solidarités International"/>
        <s v="Trocaire"/>
        <s v="UNICEF"/>
        <s v="Solidarites" u="1"/>
        <s v="Solidarities" u="1"/>
      </sharedItems>
    </cacheField>
    <cacheField name="Implementing or consortium partner  " numFmtId="0">
      <sharedItems containsBlank="1"/>
    </cacheField>
    <cacheField name="Donor" numFmtId="0">
      <sharedItems count="23">
        <s v="UNICEF"/>
        <s v="ECHO"/>
        <s v="CIDA"/>
        <s v="Germany"/>
        <s v="Canada"/>
        <s v="ERF"/>
        <s v="Start fund"/>
        <s v="FCA"/>
        <s v="HIDA( HOPE)"/>
        <s v="Australian"/>
        <s v="DFAT"/>
        <s v="SC seed funding"/>
        <s v="OFDA"/>
        <s v="SIDA"/>
        <s v="France"/>
        <s v="DIFID"/>
        <s v="Sweden"/>
        <s v="CERF"/>
        <s v="Japan"/>
        <s v="HMSF" u="1"/>
        <s v="DFATD (CIDA)" u="1"/>
        <s v="Irland" u="1"/>
        <s v="OCHA" u="1"/>
      </sharedItems>
    </cacheField>
    <cacheField name="cofunding donors" numFmtId="0">
      <sharedItems containsBlank="1"/>
    </cacheField>
    <cacheField name="Name of the project" numFmtId="0">
      <sharedItems containsBlank="1"/>
    </cacheField>
    <cacheField name="Project start date _x000a_ dd/mm/yy" numFmtId="0">
      <sharedItems containsDate="1" containsMixedTypes="1" minDate="2012-01-04T00:00:00" maxDate="2015-09-02T00:00:00"/>
    </cacheField>
    <cacheField name="Project end date  dd/mm/yy" numFmtId="0">
      <sharedItems containsDate="1" containsBlank="1" containsMixedTypes="1" minDate="2012-04-30T00:00:00" maxDate="2016-06-01T00:00:00"/>
    </cacheField>
    <cacheField name="Status of the project" numFmtId="0">
      <sharedItems/>
    </cacheField>
    <cacheField name="Year fund received" numFmtId="0">
      <sharedItems containsSemiMixedTypes="0" containsString="0" containsNumber="1" containsInteger="1" minValue="2012" maxValue="2015" count="4">
        <n v="2012"/>
        <n v="2013"/>
        <n v="2014"/>
        <n v="2015"/>
      </sharedItems>
    </cacheField>
    <cacheField name="Total Nb of wash beneficiaries" numFmtId="0">
      <sharedItems containsString="0" containsBlank="1" containsNumber="1" containsInteger="1" minValue="0" maxValue="89815"/>
    </cacheField>
    <cacheField name="Approximative % of NGCA beneficiaries" numFmtId="9">
      <sharedItems containsString="0" containsBlank="1" containsNumber="1" minValue="0" maxValue="0.93"/>
    </cacheField>
    <cacheField name="Approximative % of GCA beneficiaries" numFmtId="0">
      <sharedItems containsBlank="1" containsMixedTypes="1" containsNumber="1" minValue="6.9999999999999951E-2" maxValue="18227"/>
    </cacheField>
    <cacheField name="% Northern Shan" numFmtId="9">
      <sharedItems containsString="0" containsBlank="1" containsNumber="1" minValue="0" maxValue="1"/>
    </cacheField>
    <cacheField name="%South Kachin" numFmtId="9">
      <sharedItems containsString="0" containsBlank="1" containsNumber="1" minValue="0" maxValue="1"/>
    </cacheField>
    <cacheField name="%North kachin" numFmtId="9">
      <sharedItems containsString="0" containsBlank="1" containsNumber="1" minValue="0" maxValue="1"/>
    </cacheField>
    <cacheField name="Approximate % of beneficiaries in camps" numFmtId="9">
      <sharedItems containsString="0" containsBlank="1" containsNumber="1" minValue="7.0000000000000007E-2" maxValue="1"/>
    </cacheField>
    <cacheField name="Approximate % of beneficiaries in host community" numFmtId="9">
      <sharedItems containsString="0" containsBlank="1" containsNumber="1" minValue="0" maxValue="0.93"/>
    </cacheField>
    <cacheField name="Nb of sanitation beneficiaries plan" numFmtId="0">
      <sharedItems containsString="0" containsBlank="1" containsNumber="1" containsInteger="1" minValue="0" maxValue="86580"/>
    </cacheField>
    <cacheField name="Nb of water access beneficiaries plan" numFmtId="0">
      <sharedItems containsString="0" containsBlank="1" containsNumber="1" containsInteger="1" minValue="0" maxValue="86822"/>
    </cacheField>
    <cacheField name="Nb of beneficiairies for HE" numFmtId="0">
      <sharedItems containsString="0" containsBlank="1" containsNumber="1" containsInteger="1" minValue="0" maxValue="86822"/>
    </cacheField>
    <cacheField name="Nb of sanitation beneficiaries plan2" numFmtId="0">
      <sharedItems containsString="0" containsBlank="1" containsNumber="1" containsInteger="1" minValue="0" maxValue="22000"/>
    </cacheField>
    <cacheField name="Nb of water access beneficiaries plan2" numFmtId="0">
      <sharedItems containsString="0" containsBlank="1" containsNumber="1" containsInteger="1" minValue="0" maxValue="8788"/>
    </cacheField>
    <cacheField name="Nb of beneficiairies for HE2" numFmtId="0">
      <sharedItems containsString="0" containsBlank="1" containsNumber="1" containsInteger="1" minValue="0" maxValue="30788"/>
    </cacheField>
    <cacheField name="Total budget of the project US$. For only WASH related cost (including related support costs)" numFmtId="3">
      <sharedItems containsString="0" containsBlank="1" containsNumber="1" minValue="3031.5058823529412" maxValue="1652740"/>
    </cacheField>
    <cacheField name="Approximate fund before 2014 regarding project date implementation" numFmtId="3">
      <sharedItems containsSemiMixedTypes="0" containsString="0" containsNumber="1" minValue="0" maxValue="1067394.5833333333"/>
    </cacheField>
    <cacheField name="Approximate fund 2014 regarding project date implementation" numFmtId="3">
      <sharedItems containsSemiMixedTypes="0" containsString="0" containsNumber="1" minValue="0" maxValue="1520909.0013263728" count="47">
        <n v="0"/>
        <n v="176992.66666666666"/>
        <n v="210747.24540901504"/>
        <n v="102605.93571428572"/>
        <n v="201418"/>
        <n v="10128.991780821918"/>
        <n v="337220.99"/>
        <n v="121121.92640883979"/>
        <n v="43482"/>
        <n v="151841.64537444935"/>
        <n v="100963.83480176212"/>
        <n v="37538.200440528635"/>
        <n v="439801.04303797468"/>
        <n v="56456.176470588231"/>
        <n v="17000"/>
        <n v="68330.480733944947"/>
        <n v="80400"/>
        <n v="343632.61410788383"/>
        <n v="180399.7676056338"/>
        <n v="298146.15434083604"/>
        <n v="328256.45604395604"/>
        <n v="216595.33333333337"/>
        <n v="78945"/>
        <n v="82055.812182741123"/>
        <n v="240768.59504132232"/>
        <n v="104552.48618784532"/>
        <n v="315019.41758241761"/>
        <n v="79925.586080586087"/>
        <n v="50000"/>
        <n v="585345.41666666674"/>
        <n v="564560.43956043955"/>
        <n v="700000"/>
        <n v="322388.15331010451"/>
        <n v="1520909.0013263728" u="1"/>
        <n v="972.74010109523078" u="1"/>
        <n v="309421.48760330578" u="1"/>
        <n v="288461.43" u="1"/>
        <n v="350000" u="1"/>
        <n v="750000" u="1"/>
        <n v="455030" u="1"/>
        <n v="200000" u="1"/>
        <n v="92794.488397790061" u="1"/>
        <n v="249000" u="1"/>
        <n v="939498.21854084812" u="1"/>
        <n v="220997.4" u="1"/>
        <n v="216000.29120879126" u="1"/>
        <n v="469947" u="1"/>
      </sharedItems>
    </cacheField>
    <cacheField name="Approximate Fund 2015 regarding project date implementation" numFmtId="3">
      <sharedItems containsSemiMixedTypes="0" containsString="0" containsNumber="1" minValue="0" maxValue="1000000"/>
    </cacheField>
    <cacheField name="Approximate fund % dedicated to camps population only" numFmtId="0">
      <sharedItems containsString="0" containsBlank="1" containsNumber="1" minValue="0.04"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0.95"/>
    </cacheField>
    <cacheField name="Approximate % of fund dedicated to HP" numFmtId="9">
      <sharedItems containsString="0" containsBlank="1" containsNumber="1" minValue="0" maxValue="0.95"/>
    </cacheField>
    <cacheField name="Miscellaneous Comments on projec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
  <r>
    <x v="0"/>
    <s v="MMR001CMP042"/>
    <x v="0"/>
    <x v="0"/>
    <n v="98.131264999999999"/>
    <n v="25.885922999999998"/>
    <x v="0"/>
    <x v="0"/>
    <n v="118"/>
    <n v="538"/>
    <n v="538"/>
    <x v="0"/>
    <s v="AusAid/OXFAM"/>
    <s v="Shalom"/>
    <x v="0"/>
    <x v="0"/>
    <d v="2015-07-31T00:00:00"/>
    <s v="Focal NGO"/>
    <x v="0"/>
    <n v="0"/>
    <n v="0"/>
    <s v="No"/>
    <n v="0"/>
    <n v="0"/>
    <n v="12760"/>
    <n v="0"/>
    <n v="0"/>
    <n v="1"/>
    <n v="538"/>
    <n v="1"/>
    <n v="538"/>
    <n v="1"/>
    <n v="538"/>
    <x v="0"/>
    <n v="0"/>
    <n v="0"/>
    <n v="1.345"/>
    <n v="0"/>
    <n v="0"/>
    <n v="1"/>
    <n v="538"/>
    <m/>
    <n v="19"/>
    <n v="7"/>
    <n v="8"/>
    <x v="0"/>
    <n v="0.55762081784386619"/>
    <n v="300"/>
    <n v="0.26022304832713755"/>
    <n v="140"/>
    <n v="0.29739776951672864"/>
    <n v="160"/>
    <n v="0"/>
    <n v="0.56999999999999995"/>
    <n v="306.65999999999997"/>
    <n v="18.899999999999999"/>
    <n v="4"/>
    <s v="Separate, clearly perceived"/>
    <n v="0.74349442379182151"/>
    <n v="400"/>
    <n v="1.38"/>
    <n v="0.76"/>
    <n v="408.88"/>
    <n v="3"/>
    <n v="0.55762081784386619"/>
    <n v="2.38"/>
    <n v="0.56999999999999995"/>
    <m/>
    <d v="2015-02-13T00:00:00"/>
    <d v="2016-02-13T00:00:00"/>
    <n v="119"/>
    <n v="5"/>
    <n v="0"/>
    <n v="1"/>
    <n v="538"/>
    <x v="0"/>
    <m/>
    <n v="1"/>
    <n v="538"/>
    <n v="2"/>
    <s v="Excellent coverage"/>
    <n v="0"/>
    <x v="0"/>
    <m/>
  </r>
  <r>
    <x v="0"/>
    <s v="MMR001CMP043"/>
    <x v="0"/>
    <x v="1"/>
    <n v="98.475719999999995"/>
    <n v="25.754110000000001"/>
    <x v="0"/>
    <x v="1"/>
    <n v="155"/>
    <n v="873"/>
    <n v="873"/>
    <x v="0"/>
    <s v="CIDA/ADRA"/>
    <s v="KBC"/>
    <x v="1"/>
    <x v="0"/>
    <d v="2016-02-29T00:00:00"/>
    <s v="Focal NGO"/>
    <x v="0"/>
    <n v="0"/>
    <n v="0"/>
    <s v="No"/>
    <n v="0"/>
    <n v="0"/>
    <n v="17062"/>
    <n v="0"/>
    <n v="0"/>
    <n v="1"/>
    <n v="873"/>
    <n v="1"/>
    <n v="873"/>
    <n v="1"/>
    <n v="873"/>
    <x v="0"/>
    <n v="0"/>
    <n v="0"/>
    <n v="2.1825000000000001"/>
    <n v="0"/>
    <n v="0"/>
    <n v="1"/>
    <n v="873"/>
    <m/>
    <n v="42"/>
    <n v="44"/>
    <n v="0"/>
    <x v="0"/>
    <n v="1"/>
    <n v="873"/>
    <n v="1"/>
    <n v="873"/>
    <n v="0"/>
    <n v="0"/>
    <n v="0"/>
    <n v="1"/>
    <n v="873"/>
    <n v="43.65"/>
    <n v="4"/>
    <s v="Not separated yet"/>
    <n v="0.45819014891179838"/>
    <n v="400"/>
    <n v="4.7300000000000004"/>
    <n v="0.5"/>
    <n v="436.5"/>
    <n v="10"/>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55"/>
    <n v="4"/>
    <n v="0"/>
    <n v="1"/>
    <n v="873"/>
    <x v="0"/>
    <m/>
    <n v="1"/>
    <n v="873"/>
    <n v="3"/>
    <s v="Excellent coverage"/>
    <n v="0"/>
    <x v="1"/>
    <m/>
  </r>
  <r>
    <x v="0"/>
    <s v="MMR001CMP195"/>
    <x v="0"/>
    <x v="2"/>
    <m/>
    <m/>
    <x v="0"/>
    <x v="0"/>
    <n v="139"/>
    <n v="640"/>
    <n v="640"/>
    <x v="0"/>
    <s v="AusAid/OXFAM"/>
    <s v="Shalom"/>
    <x v="0"/>
    <x v="0"/>
    <d v="2015-07-31T00:00:00"/>
    <s v="Focal NGO"/>
    <x v="0"/>
    <n v="0"/>
    <n v="0"/>
    <s v="No"/>
    <n v="0"/>
    <n v="0"/>
    <n v="12760"/>
    <n v="0"/>
    <n v="0"/>
    <n v="1"/>
    <n v="640"/>
    <n v="1"/>
    <n v="640"/>
    <n v="1"/>
    <n v="640"/>
    <x v="0"/>
    <n v="0"/>
    <n v="0"/>
    <n v="1.6"/>
    <n v="0"/>
    <n v="0"/>
    <n v="1"/>
    <n v="640"/>
    <m/>
    <n v="5"/>
    <n v="5"/>
    <n v="23"/>
    <x v="0"/>
    <n v="0.875"/>
    <n v="560"/>
    <n v="0.15625"/>
    <n v="100"/>
    <n v="0.71875"/>
    <n v="460"/>
    <n v="0"/>
    <n v="0.89"/>
    <n v="569.6"/>
    <n v="9"/>
    <n v="7"/>
    <s v="Separate, clearly perceived"/>
    <n v="1"/>
    <n v="640"/>
    <n v="0"/>
    <n v="1"/>
    <n v="640"/>
    <n v="5"/>
    <n v="0.78125"/>
    <n v="1.4000000000000004"/>
    <n v="1"/>
    <m/>
    <d v="2015-02-13T00:00:00"/>
    <d v="2016-02-13T00:00:00"/>
    <n v="139"/>
    <n v="5"/>
    <n v="0"/>
    <n v="1"/>
    <n v="640"/>
    <x v="0"/>
    <m/>
    <n v="1"/>
    <n v="640"/>
    <n v="2"/>
    <s v="Excellent coverage"/>
    <n v="0"/>
    <x v="0"/>
    <m/>
  </r>
  <r>
    <x v="0"/>
    <s v="MMR001CMP210"/>
    <x v="0"/>
    <x v="3"/>
    <n v="98.376824999999997"/>
    <n v="25.598251999999999"/>
    <x v="0"/>
    <x v="0"/>
    <n v="68"/>
    <n v="323"/>
    <n v="323"/>
    <x v="0"/>
    <s v="Trocaires"/>
    <s v="KMSS"/>
    <x v="2"/>
    <x v="0"/>
    <d v="2015-12-31T00:00:00"/>
    <s v="Focal NGO"/>
    <x v="0"/>
    <n v="0"/>
    <n v="0"/>
    <s v="No"/>
    <n v="0"/>
    <n v="0"/>
    <n v="20250"/>
    <n v="0"/>
    <n v="1"/>
    <n v="1"/>
    <n v="323"/>
    <n v="1"/>
    <n v="323"/>
    <n v="1"/>
    <n v="323"/>
    <x v="0"/>
    <n v="0"/>
    <n v="0"/>
    <n v="0.8075"/>
    <n v="68"/>
    <n v="0"/>
    <n v="1"/>
    <n v="323"/>
    <m/>
    <n v="8"/>
    <n v="0"/>
    <n v="16"/>
    <x v="1"/>
    <n v="0.99071207430340558"/>
    <n v="320"/>
    <n v="0"/>
    <n v="0"/>
    <n v="0.99071207430340558"/>
    <n v="320"/>
    <n v="0"/>
    <n v="1"/>
    <n v="323"/>
    <n v="0.14999999999999858"/>
    <n v="2"/>
    <s v="Separate, clearly perceived"/>
    <n v="0.61919504643962853"/>
    <n v="200"/>
    <n v="1.23"/>
    <n v="0.62"/>
    <n v="200.26"/>
    <n v="2"/>
    <n v="0.61919504643962853"/>
    <n v="1.23"/>
    <n v="0.62"/>
    <s v="lack of running cost. The HWS facilities have not functioing. Semi-permanent latrines have hard to construct due to logistic constraints."/>
    <d v="2014-05-21T00:00:00"/>
    <s v="To be realised"/>
    <n v="68"/>
    <n v="10"/>
    <n v="68"/>
    <n v="0"/>
    <n v="0"/>
    <x v="1"/>
    <m/>
    <n v="1"/>
    <n v="323"/>
    <n v="0"/>
    <s v="No coverage"/>
    <n v="0"/>
    <x v="1"/>
    <m/>
  </r>
  <r>
    <x v="1"/>
    <s v="MMR001CMP179"/>
    <x v="1"/>
    <x v="4"/>
    <n v="96.355270000000004"/>
    <n v="25.656130000000001"/>
    <x v="0"/>
    <x v="0"/>
    <n v="77"/>
    <n v="360"/>
    <n v="360"/>
    <x v="0"/>
    <m/>
    <s v="Shalom"/>
    <x v="0"/>
    <x v="0"/>
    <s v="Gap"/>
    <s v="Focal NGO"/>
    <x v="0"/>
    <n v="0"/>
    <n v="0"/>
    <s v="No"/>
    <n v="3"/>
    <n v="0"/>
    <n v="6000"/>
    <n v="0"/>
    <n v="0"/>
    <n v="1"/>
    <n v="360"/>
    <n v="1"/>
    <n v="360"/>
    <n v="1"/>
    <n v="360"/>
    <x v="0"/>
    <n v="0"/>
    <n v="0"/>
    <n v="0"/>
    <n v="0"/>
    <n v="0"/>
    <n v="1"/>
    <n v="360"/>
    <m/>
    <n v="8"/>
    <n v="0"/>
    <n v="5"/>
    <x v="2"/>
    <n v="0.27777777777777779"/>
    <n v="100"/>
    <n v="0"/>
    <n v="0"/>
    <n v="0.27777777777777779"/>
    <n v="100"/>
    <n v="0"/>
    <n v="0.28000000000000003"/>
    <n v="100.80000000000001"/>
    <n v="13"/>
    <n v="2"/>
    <s v="Separate, but not clearly perceived"/>
    <n v="0.55555555555555558"/>
    <n v="200"/>
    <n v="1.6"/>
    <n v="0.56000000000000005"/>
    <n v="201.60000000000002"/>
    <n v="6"/>
    <n v="1"/>
    <n v="0"/>
    <n v="1"/>
    <s v="no spaces to construct more latrines and bathing spaces/ now church committee is managed for latrines used as opened 5 latrines for all., if they wish, they can go to the church student hostel latrine/ /they have a plan to shilft to the Lal Pyin Qtr of Hpakant,"/>
    <d v="2014-02-25T00:00:00"/>
    <s v="To be realised"/>
    <n v="77"/>
    <n v="10"/>
    <n v="77"/>
    <n v="0"/>
    <n v="0"/>
    <x v="2"/>
    <s v="project gap"/>
    <n v="0"/>
    <n v="0"/>
    <n v="2"/>
    <s v="Excellent coverage"/>
    <n v="0"/>
    <x v="1"/>
    <m/>
  </r>
  <r>
    <x v="1"/>
    <s v="MMR001CMP168"/>
    <x v="1"/>
    <x v="5"/>
    <n v="96.353070000000002"/>
    <n v="25.655819999999999"/>
    <x v="0"/>
    <x v="0"/>
    <n v="83"/>
    <n v="425"/>
    <n v="425"/>
    <x v="0"/>
    <s v="Trocaires"/>
    <s v="KMSS"/>
    <x v="2"/>
    <x v="0"/>
    <d v="2015-12-31T00:00:00"/>
    <s v="Focal NGO"/>
    <x v="0"/>
    <n v="0"/>
    <n v="0"/>
    <s v="No"/>
    <n v="2"/>
    <n v="0"/>
    <n v="3000"/>
    <n v="0"/>
    <n v="0"/>
    <n v="1"/>
    <n v="425"/>
    <n v="1"/>
    <n v="425"/>
    <n v="1"/>
    <n v="425"/>
    <x v="0"/>
    <n v="0"/>
    <n v="0"/>
    <n v="0"/>
    <n v="0"/>
    <n v="0"/>
    <n v="1"/>
    <n v="425"/>
    <m/>
    <n v="10"/>
    <n v="0"/>
    <n v="19"/>
    <x v="1"/>
    <n v="0.89411764705882357"/>
    <n v="380"/>
    <n v="0"/>
    <n v="0"/>
    <n v="0.89411764705882357"/>
    <n v="380"/>
    <n v="0"/>
    <n v="1"/>
    <n v="425"/>
    <n v="2.25"/>
    <n v="2"/>
    <s v="Not separated yet"/>
    <n v="0.47058823529411764"/>
    <n v="200"/>
    <n v="2.25"/>
    <n v="0.48"/>
    <n v="204"/>
    <n v="2"/>
    <n v="0.47058823529411764"/>
    <n v="2.25"/>
    <n v="0.48"/>
    <s v="Land limited. lack of running cost. The handwashng station facilities have not functioned. 2-3 latrines needed to renovate."/>
    <d v="2014-06-27T00:00:00"/>
    <s v="To be realised"/>
    <n v="83"/>
    <n v="2"/>
    <n v="83"/>
    <n v="0"/>
    <n v="0"/>
    <x v="3"/>
    <m/>
    <n v="1"/>
    <n v="425"/>
    <n v="0"/>
    <s v="No coverage"/>
    <n v="0"/>
    <x v="1"/>
    <m/>
  </r>
  <r>
    <x v="1"/>
    <s v="MMR001CMP176"/>
    <x v="1"/>
    <x v="6"/>
    <n v="96.345569999999995"/>
    <n v="25.635300000000001"/>
    <x v="0"/>
    <x v="0"/>
    <n v="67"/>
    <n v="338"/>
    <n v="338"/>
    <x v="0"/>
    <m/>
    <s v="Shalom"/>
    <x v="0"/>
    <x v="0"/>
    <s v="Gap"/>
    <s v="Focal NGO"/>
    <x v="0"/>
    <n v="0"/>
    <n v="0"/>
    <s v="No"/>
    <n v="1"/>
    <n v="0"/>
    <n v="0"/>
    <n v="0"/>
    <n v="0"/>
    <n v="1"/>
    <n v="338"/>
    <n v="1"/>
    <n v="338"/>
    <n v="1"/>
    <n v="338"/>
    <x v="0"/>
    <n v="0"/>
    <n v="0"/>
    <n v="0"/>
    <n v="0"/>
    <n v="0"/>
    <n v="1"/>
    <n v="338"/>
    <m/>
    <n v="6"/>
    <n v="0"/>
    <n v="15"/>
    <x v="2"/>
    <n v="0.8875739644970414"/>
    <n v="300"/>
    <n v="0"/>
    <n v="0"/>
    <n v="0.8875739644970414"/>
    <n v="300"/>
    <n v="0"/>
    <n v="0.89"/>
    <n v="300.82"/>
    <n v="1.8999999999999986"/>
    <n v="2"/>
    <s v="Separate, clearly perceived"/>
    <n v="0.59171597633136097"/>
    <n v="200"/>
    <n v="1.38"/>
    <n v="0.59"/>
    <n v="199.42"/>
    <n v="3"/>
    <n v="0.8875739644970414"/>
    <n v="0.37999999999999989"/>
    <n v="0.89"/>
    <m/>
    <d v="2014-02-25T00:00:00"/>
    <s v="To be realised"/>
    <n v="67"/>
    <n v="10"/>
    <n v="67"/>
    <n v="0"/>
    <n v="0"/>
    <x v="2"/>
    <s v="project gap"/>
    <n v="0"/>
    <n v="0"/>
    <n v="2"/>
    <s v="Excellent coverage"/>
    <n v="0"/>
    <x v="1"/>
    <m/>
  </r>
  <r>
    <x v="1"/>
    <s v="MMR001CMP190"/>
    <x v="1"/>
    <x v="7"/>
    <n v="96.317350000000005"/>
    <n v="25.616509000000001"/>
    <x v="0"/>
    <x v="0"/>
    <n v="14"/>
    <n v="80"/>
    <n v="80"/>
    <x v="1"/>
    <m/>
    <s v="Shalom"/>
    <x v="0"/>
    <x v="0"/>
    <s v="Gap"/>
    <s v="Focal NGO"/>
    <x v="0"/>
    <n v="0"/>
    <n v="0"/>
    <s v="No"/>
    <n v="1"/>
    <n v="0"/>
    <n v="0"/>
    <n v="0"/>
    <n v="0"/>
    <n v="1"/>
    <n v="80"/>
    <n v="1"/>
    <n v="80"/>
    <n v="1"/>
    <n v="80"/>
    <x v="0"/>
    <n v="0"/>
    <n v="0"/>
    <n v="0"/>
    <n v="0"/>
    <n v="0"/>
    <n v="1"/>
    <n v="80"/>
    <m/>
    <n v="0"/>
    <n v="0"/>
    <n v="4"/>
    <x v="2"/>
    <n v="1"/>
    <n v="80"/>
    <n v="0"/>
    <n v="0"/>
    <n v="1"/>
    <n v="80"/>
    <n v="0"/>
    <n v="1"/>
    <n v="80"/>
    <n v="0"/>
    <n v="2"/>
    <s v="Separate, but not clearly perceived"/>
    <n v="1"/>
    <n v="80"/>
    <n v="0"/>
    <n v="1"/>
    <n v="80"/>
    <n v="3"/>
    <n v="1"/>
    <n v="0"/>
    <n v="1"/>
    <m/>
    <d v="2014-02-25T00:00:00"/>
    <s v="To be realised"/>
    <n v="14"/>
    <n v="10"/>
    <n v="14"/>
    <n v="0"/>
    <n v="0"/>
    <x v="2"/>
    <s v="project gap"/>
    <n v="0"/>
    <n v="0"/>
    <n v="1"/>
    <s v="Excellent coverage"/>
    <n v="0"/>
    <x v="1"/>
    <m/>
  </r>
  <r>
    <x v="1"/>
    <s v="MMR001CMP169"/>
    <x v="1"/>
    <x v="8"/>
    <n v="96.346469999999997"/>
    <n v="25.647649999999999"/>
    <x v="0"/>
    <x v="0"/>
    <n v="35"/>
    <n v="218"/>
    <n v="218"/>
    <x v="1"/>
    <m/>
    <s v="Shalom"/>
    <x v="0"/>
    <x v="0"/>
    <s v="Gap"/>
    <s v="Focal NGO"/>
    <x v="0"/>
    <n v="0"/>
    <n v="0"/>
    <s v="No"/>
    <n v="2"/>
    <n v="0"/>
    <n v="0"/>
    <n v="0"/>
    <n v="0"/>
    <n v="1"/>
    <n v="218"/>
    <n v="1"/>
    <n v="218"/>
    <n v="1"/>
    <n v="218"/>
    <x v="0"/>
    <n v="0"/>
    <n v="0"/>
    <n v="0"/>
    <n v="0"/>
    <n v="0"/>
    <n v="1"/>
    <n v="218"/>
    <m/>
    <n v="10"/>
    <n v="0"/>
    <n v="10"/>
    <x v="1"/>
    <n v="0.91743119266055051"/>
    <n v="200"/>
    <n v="0"/>
    <n v="0"/>
    <n v="0.91743119266055051"/>
    <n v="200"/>
    <n v="0"/>
    <n v="0.92"/>
    <n v="200.56"/>
    <n v="0.90000000000000036"/>
    <n v="2"/>
    <s v="Separate, clearly perceived"/>
    <n v="0.91743119266055051"/>
    <n v="200"/>
    <n v="0.18000000000000016"/>
    <n v="0.92"/>
    <n v="200.56"/>
    <n v="4"/>
    <n v="1"/>
    <n v="0"/>
    <n v="1"/>
    <m/>
    <d v="2014-02-25T00:00:00"/>
    <s v="To be realised"/>
    <n v="35"/>
    <n v="10"/>
    <n v="35"/>
    <n v="0"/>
    <n v="0"/>
    <x v="2"/>
    <s v="project gap"/>
    <n v="0"/>
    <n v="0"/>
    <n v="2"/>
    <s v="Excellent coverage"/>
    <n v="0"/>
    <x v="1"/>
    <m/>
  </r>
  <r>
    <x v="1"/>
    <s v="MMR001CMP188"/>
    <x v="1"/>
    <x v="9"/>
    <n v="96.673805000000002"/>
    <n v="25.728653000000001"/>
    <x v="0"/>
    <x v="0"/>
    <n v="15"/>
    <n v="77"/>
    <n v="77"/>
    <x v="1"/>
    <m/>
    <s v="Shalom"/>
    <x v="0"/>
    <x v="0"/>
    <s v="Gap"/>
    <s v="Focal NGO"/>
    <x v="0"/>
    <n v="0"/>
    <n v="0"/>
    <s v="No"/>
    <n v="1"/>
    <n v="1"/>
    <n v="0"/>
    <n v="0"/>
    <n v="0"/>
    <n v="1"/>
    <n v="77"/>
    <n v="1"/>
    <n v="77"/>
    <n v="1"/>
    <n v="77"/>
    <x v="0"/>
    <n v="0"/>
    <n v="0"/>
    <n v="0"/>
    <n v="0"/>
    <n v="0"/>
    <n v="1"/>
    <n v="77"/>
    <m/>
    <n v="4"/>
    <n v="2"/>
    <n v="2"/>
    <x v="0"/>
    <n v="1"/>
    <n v="77"/>
    <n v="0.48051948051948057"/>
    <n v="37.000000000000007"/>
    <n v="0.51948051948051943"/>
    <n v="39.999999999999993"/>
    <n v="0"/>
    <n v="1"/>
    <n v="77"/>
    <n v="1.85"/>
    <n v="2"/>
    <s v="Separate, clearly perceived"/>
    <n v="1"/>
    <n v="77"/>
    <n v="0"/>
    <n v="1"/>
    <n v="77"/>
    <n v="3"/>
    <n v="1"/>
    <n v="0"/>
    <n v="1"/>
    <m/>
    <d v="2015-02-14T00:00:00"/>
    <d v="2016-02-14T00:00:00"/>
    <n v="15"/>
    <n v="10"/>
    <n v="0"/>
    <n v="1"/>
    <n v="77"/>
    <x v="0"/>
    <m/>
    <n v="0"/>
    <n v="0"/>
    <n v="2"/>
    <s v="Excellent coverage"/>
    <n v="0"/>
    <x v="0"/>
    <m/>
  </r>
  <r>
    <x v="1"/>
    <s v="MMR001CMP172"/>
    <x v="1"/>
    <x v="10"/>
    <n v="96.353070000000002"/>
    <n v="25.668469999999999"/>
    <x v="0"/>
    <x v="0"/>
    <n v="1"/>
    <n v="4"/>
    <n v="4"/>
    <x v="1"/>
    <m/>
    <s v="Shalom"/>
    <x v="0"/>
    <x v="0"/>
    <s v="Gap"/>
    <s v="Focal NGO"/>
    <x v="0"/>
    <n v="0"/>
    <n v="0"/>
    <s v="No"/>
    <n v="1"/>
    <n v="0"/>
    <n v="0"/>
    <n v="0"/>
    <n v="0"/>
    <n v="1"/>
    <n v="4"/>
    <n v="1"/>
    <n v="4"/>
    <n v="1"/>
    <n v="4"/>
    <x v="0"/>
    <n v="0"/>
    <n v="0"/>
    <n v="0"/>
    <n v="0"/>
    <n v="0"/>
    <n v="1"/>
    <n v="4"/>
    <m/>
    <n v="2"/>
    <n v="3"/>
    <n v="0"/>
    <x v="2"/>
    <n v="1"/>
    <n v="4"/>
    <n v="1"/>
    <n v="4"/>
    <n v="0"/>
    <n v="0"/>
    <n v="0"/>
    <n v="1"/>
    <n v="4"/>
    <n v="0.2"/>
    <n v="1"/>
    <s v="Not separated yet"/>
    <n v="1"/>
    <n v="4"/>
    <n v="0"/>
    <n v="1"/>
    <n v="4"/>
    <n v="3"/>
    <n v="1"/>
    <n v="0"/>
    <n v="1"/>
    <s v="small HH, wash their hand on the bathing space"/>
    <d v="2014-02-25T00:00:00"/>
    <s v="To be realised"/>
    <n v="1"/>
    <n v="10"/>
    <n v="1"/>
    <n v="0"/>
    <n v="0"/>
    <x v="2"/>
    <s v="project gap"/>
    <n v="0"/>
    <n v="0"/>
    <n v="0"/>
    <s v="No coverage"/>
    <n v="0"/>
    <x v="1"/>
    <m/>
  </r>
  <r>
    <x v="1"/>
    <s v="MMR001CMP109"/>
    <x v="1"/>
    <x v="11"/>
    <n v="96.283377000000002"/>
    <n v="25.582065"/>
    <x v="0"/>
    <x v="0"/>
    <n v="6"/>
    <n v="25"/>
    <n v="25"/>
    <x v="1"/>
    <m/>
    <s v="Shalom"/>
    <x v="0"/>
    <x v="0"/>
    <s v="Gap"/>
    <s v="Focal NGO"/>
    <x v="0"/>
    <n v="0"/>
    <n v="0"/>
    <s v="No"/>
    <n v="0"/>
    <n v="0"/>
    <n v="2000"/>
    <n v="0"/>
    <n v="0"/>
    <n v="1"/>
    <n v="25"/>
    <n v="1"/>
    <n v="25"/>
    <n v="1"/>
    <n v="25"/>
    <x v="0"/>
    <n v="0"/>
    <n v="0"/>
    <n v="6.25E-2"/>
    <n v="0"/>
    <n v="0"/>
    <n v="1"/>
    <n v="25"/>
    <m/>
    <n v="0"/>
    <n v="0"/>
    <n v="2"/>
    <x v="2"/>
    <n v="1"/>
    <n v="25"/>
    <n v="0"/>
    <n v="0"/>
    <n v="1"/>
    <n v="25"/>
    <n v="0"/>
    <n v="1"/>
    <n v="25"/>
    <n v="0"/>
    <n v="1"/>
    <s v="Not separated yet"/>
    <n v="1"/>
    <n v="25"/>
    <n v="0"/>
    <n v="1"/>
    <n v="25"/>
    <n v="1"/>
    <n v="1"/>
    <n v="0"/>
    <n v="1"/>
    <m/>
    <d v="2014-02-25T00:00:00"/>
    <s v="To be realised"/>
    <n v="6"/>
    <n v="10"/>
    <n v="6"/>
    <n v="0"/>
    <n v="0"/>
    <x v="2"/>
    <s v="project gap"/>
    <n v="0"/>
    <n v="0"/>
    <n v="1"/>
    <s v="Excellent coverage"/>
    <n v="0"/>
    <x v="1"/>
    <m/>
  </r>
  <r>
    <x v="1"/>
    <s v="MMR001CMP174"/>
    <x v="1"/>
    <x v="12"/>
    <n v="96.354929999999996"/>
    <n v="25.643090000000001"/>
    <x v="0"/>
    <x v="0"/>
    <n v="65"/>
    <n v="335"/>
    <n v="335"/>
    <x v="0"/>
    <m/>
    <s v="Shalom"/>
    <x v="0"/>
    <x v="0"/>
    <s v="Gap"/>
    <s v="Focal NGO"/>
    <x v="0"/>
    <n v="0"/>
    <n v="0"/>
    <s v="No"/>
    <n v="1"/>
    <n v="0"/>
    <n v="3000"/>
    <n v="0"/>
    <n v="0"/>
    <n v="1"/>
    <n v="335"/>
    <n v="1"/>
    <n v="335"/>
    <n v="1"/>
    <n v="335"/>
    <x v="0"/>
    <n v="0"/>
    <n v="0"/>
    <n v="0"/>
    <n v="0"/>
    <n v="0"/>
    <n v="1"/>
    <n v="335"/>
    <m/>
    <n v="10"/>
    <n v="0"/>
    <n v="17"/>
    <x v="0"/>
    <n v="1"/>
    <n v="335"/>
    <n v="0"/>
    <n v="0"/>
    <n v="1"/>
    <n v="335"/>
    <n v="0"/>
    <n v="1"/>
    <n v="335"/>
    <n v="0"/>
    <n v="3"/>
    <s v="Separate, clearly perceived"/>
    <n v="0.89552238805970152"/>
    <n v="300"/>
    <n v="0.35000000000000009"/>
    <n v="0.9"/>
    <n v="301.5"/>
    <n v="4"/>
    <n v="1"/>
    <n v="0"/>
    <n v="1"/>
    <s v="Not have enough space to construct more bathing spaces "/>
    <d v="2014-02-25T00:00:00"/>
    <s v="To be realised"/>
    <n v="65"/>
    <n v="10"/>
    <n v="65"/>
    <n v="0"/>
    <n v="0"/>
    <x v="2"/>
    <s v="project gap"/>
    <n v="0"/>
    <n v="0"/>
    <n v="2"/>
    <s v="Excellent coverage"/>
    <n v="0"/>
    <x v="1"/>
    <m/>
  </r>
  <r>
    <x v="1"/>
    <s v="MMR001CMP148"/>
    <x v="1"/>
    <x v="13"/>
    <n v="96.705960000000005"/>
    <n v="25.51352"/>
    <x v="0"/>
    <x v="0"/>
    <n v="16"/>
    <n v="60"/>
    <n v="60"/>
    <x v="1"/>
    <s v="CIDA/ADRA"/>
    <s v="KBC"/>
    <x v="1"/>
    <x v="0"/>
    <d v="2016-02-29T00:00:00"/>
    <s v="Focal NGO"/>
    <x v="0"/>
    <n v="0"/>
    <n v="0"/>
    <s v="No"/>
    <n v="0"/>
    <n v="2"/>
    <n v="0"/>
    <n v="0"/>
    <n v="1"/>
    <n v="1"/>
    <n v="60"/>
    <n v="1"/>
    <n v="60"/>
    <n v="1"/>
    <n v="60"/>
    <x v="0"/>
    <n v="0"/>
    <n v="0"/>
    <n v="0"/>
    <n v="16"/>
    <n v="0"/>
    <n v="1"/>
    <n v="60"/>
    <m/>
    <n v="3"/>
    <n v="3"/>
    <n v="7"/>
    <x v="0"/>
    <n v="1"/>
    <n v="60"/>
    <n v="0"/>
    <n v="0"/>
    <n v="1"/>
    <n v="60"/>
    <n v="0"/>
    <n v="1"/>
    <n v="60"/>
    <n v="0"/>
    <n v="2"/>
    <s v="Separate, clearly perceived"/>
    <n v="1"/>
    <n v="60"/>
    <n v="0"/>
    <n v="1"/>
    <n v="60"/>
    <n v="2"/>
    <n v="1"/>
    <n v="0"/>
    <n v="1"/>
    <m/>
    <d v="2015-02-18T00:00:00"/>
    <d v="2016-02-18T00:00:00"/>
    <n v="16"/>
    <n v="4"/>
    <n v="0"/>
    <n v="1"/>
    <n v="60"/>
    <x v="0"/>
    <m/>
    <n v="1"/>
    <n v="60"/>
    <n v="1"/>
    <s v="Excellent coverage"/>
    <n v="0"/>
    <x v="1"/>
    <m/>
  </r>
  <r>
    <x v="1"/>
    <s v="MMR001CMP191"/>
    <x v="1"/>
    <x v="14"/>
    <n v="96.316564"/>
    <n v="25.615960999999999"/>
    <x v="0"/>
    <x v="0"/>
    <n v="13"/>
    <n v="75"/>
    <n v="75"/>
    <x v="1"/>
    <m/>
    <s v="Shalom"/>
    <x v="0"/>
    <x v="0"/>
    <s v="Gap"/>
    <s v="Focal NGO"/>
    <x v="0"/>
    <n v="0"/>
    <n v="0"/>
    <s v="No"/>
    <n v="1"/>
    <n v="0"/>
    <n v="0"/>
    <n v="0"/>
    <n v="0"/>
    <n v="1"/>
    <n v="75"/>
    <n v="1"/>
    <n v="75"/>
    <n v="1"/>
    <n v="75"/>
    <x v="0"/>
    <n v="0"/>
    <n v="0"/>
    <n v="0"/>
    <n v="0"/>
    <n v="0"/>
    <n v="1"/>
    <n v="75"/>
    <m/>
    <n v="0"/>
    <n v="0"/>
    <n v="5"/>
    <x v="2"/>
    <n v="1"/>
    <n v="75"/>
    <n v="0"/>
    <n v="0"/>
    <n v="1"/>
    <n v="75"/>
    <n v="0"/>
    <n v="1"/>
    <n v="75"/>
    <n v="0"/>
    <n v="1"/>
    <s v="Separate, clearly perceived"/>
    <n v="1"/>
    <n v="75"/>
    <n v="0"/>
    <n v="1"/>
    <n v="75"/>
    <n v="1"/>
    <n v="1"/>
    <n v="0"/>
    <n v="1"/>
    <m/>
    <d v="2014-02-25T00:00:00"/>
    <s v="To be realised"/>
    <n v="13"/>
    <n v="10"/>
    <n v="13"/>
    <n v="0"/>
    <n v="0"/>
    <x v="2"/>
    <s v="project gap"/>
    <n v="0"/>
    <n v="0"/>
    <n v="1"/>
    <s v="Excellent coverage"/>
    <n v="0"/>
    <x v="1"/>
    <m/>
  </r>
  <r>
    <x v="1"/>
    <s v="MMR001CMP229"/>
    <x v="1"/>
    <x v="15"/>
    <n v="96.312790000000007"/>
    <n v="25.611160000000002"/>
    <x v="0"/>
    <x v="0"/>
    <n v="118"/>
    <n v="519"/>
    <n v="519"/>
    <x v="0"/>
    <m/>
    <s v="Shalom"/>
    <x v="0"/>
    <x v="0"/>
    <s v="Gap"/>
    <s v="Focal NGO"/>
    <x v="0"/>
    <n v="0"/>
    <n v="0"/>
    <s v="No"/>
    <n v="1"/>
    <n v="0"/>
    <n v="3320"/>
    <n v="0"/>
    <n v="0"/>
    <n v="1"/>
    <n v="519"/>
    <n v="1"/>
    <n v="519"/>
    <n v="1"/>
    <n v="519"/>
    <x v="0"/>
    <n v="0"/>
    <n v="0"/>
    <n v="0.2975000000000001"/>
    <n v="0"/>
    <n v="0"/>
    <n v="1"/>
    <n v="519"/>
    <m/>
    <n v="20"/>
    <n v="0"/>
    <n v="16"/>
    <x v="1"/>
    <n v="0.61657032755298646"/>
    <n v="320"/>
    <n v="0"/>
    <n v="0"/>
    <n v="0.61657032755298646"/>
    <n v="320"/>
    <n v="0"/>
    <n v="0.62"/>
    <n v="321.77999999999997"/>
    <n v="9.9499999999999993"/>
    <n v="3"/>
    <s v="Separate, but not clearly perceived"/>
    <n v="0.5780346820809249"/>
    <n v="300"/>
    <n v="2.1900000000000004"/>
    <n v="0.57999999999999996"/>
    <n v="301.02"/>
    <n v="3"/>
    <n v="0.5780346820809249"/>
    <n v="2.1900000000000004"/>
    <n v="1"/>
    <m/>
    <d v="2014-02-25T00:00:00"/>
    <s v="To be realised"/>
    <n v="118"/>
    <n v="10"/>
    <n v="118"/>
    <n v="0"/>
    <n v="0"/>
    <x v="2"/>
    <s v="project gap"/>
    <n v="0"/>
    <n v="0"/>
    <n v="2"/>
    <s v="Excellent coverage"/>
    <n v="0"/>
    <x v="1"/>
    <m/>
  </r>
  <r>
    <x v="1"/>
    <s v="MMR001CMP181"/>
    <x v="1"/>
    <x v="16"/>
    <n v="96.269199999999998"/>
    <n v="25.566510000000001"/>
    <x v="0"/>
    <x v="0"/>
    <n v="26"/>
    <n v="137"/>
    <n v="137"/>
    <x v="1"/>
    <m/>
    <s v="Shalom"/>
    <x v="0"/>
    <x v="0"/>
    <s v="Gap"/>
    <s v="Focal NGO"/>
    <x v="0"/>
    <n v="0"/>
    <n v="0"/>
    <s v="No"/>
    <n v="1"/>
    <n v="0"/>
    <n v="3000"/>
    <n v="0"/>
    <n v="0"/>
    <n v="1"/>
    <n v="137"/>
    <n v="1"/>
    <n v="137"/>
    <n v="1"/>
    <n v="137"/>
    <x v="0"/>
    <n v="0"/>
    <n v="0"/>
    <n v="0"/>
    <n v="0"/>
    <n v="0"/>
    <n v="1"/>
    <n v="137"/>
    <m/>
    <n v="2"/>
    <n v="2"/>
    <n v="6"/>
    <x v="2"/>
    <n v="1"/>
    <n v="137"/>
    <n v="0.12408759124087587"/>
    <n v="16.999999999999993"/>
    <n v="0.87591240875912413"/>
    <n v="120"/>
    <n v="0"/>
    <n v="1"/>
    <n v="137"/>
    <n v="0.84999999999999964"/>
    <n v="2"/>
    <s v="Separate, but not clearly perceived"/>
    <n v="1"/>
    <n v="137"/>
    <n v="0"/>
    <n v="1"/>
    <n v="137"/>
    <n v="2"/>
    <n v="1"/>
    <n v="0"/>
    <n v="1"/>
    <m/>
    <d v="2014-02-25T00:00:00"/>
    <s v="To be realised"/>
    <n v="26"/>
    <n v="10"/>
    <n v="26"/>
    <n v="0"/>
    <n v="0"/>
    <x v="2"/>
    <s v="project gap"/>
    <n v="0"/>
    <n v="0"/>
    <n v="2"/>
    <s v="Excellent coverage"/>
    <n v="0"/>
    <x v="1"/>
    <m/>
  </r>
  <r>
    <x v="1"/>
    <s v="MMR001CMP167"/>
    <x v="1"/>
    <x v="17"/>
    <n v="96.316400000000002"/>
    <n v="25.61842"/>
    <x v="0"/>
    <x v="0"/>
    <n v="15"/>
    <n v="71"/>
    <n v="71"/>
    <x v="1"/>
    <m/>
    <s v="Shalom"/>
    <x v="0"/>
    <x v="0"/>
    <s v="Gap"/>
    <s v="Focal NGO"/>
    <x v="0"/>
    <n v="0"/>
    <n v="0"/>
    <s v="No"/>
    <n v="1"/>
    <n v="0"/>
    <n v="2000"/>
    <n v="0"/>
    <n v="0"/>
    <n v="1"/>
    <n v="71"/>
    <n v="1"/>
    <n v="71"/>
    <n v="1"/>
    <n v="71"/>
    <x v="0"/>
    <n v="0"/>
    <n v="0"/>
    <n v="0"/>
    <n v="0"/>
    <n v="0"/>
    <n v="1"/>
    <n v="71"/>
    <m/>
    <n v="0"/>
    <n v="1"/>
    <n v="4"/>
    <x v="2"/>
    <n v="1"/>
    <n v="71"/>
    <n v="0"/>
    <n v="0"/>
    <n v="1"/>
    <n v="71"/>
    <n v="0"/>
    <n v="1"/>
    <n v="71"/>
    <n v="0"/>
    <n v="2"/>
    <s v="Not separated yet"/>
    <n v="1"/>
    <n v="71"/>
    <n v="0"/>
    <n v="1"/>
    <n v="71"/>
    <n v="1"/>
    <n v="1"/>
    <n v="0"/>
    <n v="1"/>
    <m/>
    <d v="2014-02-25T00:00:00"/>
    <s v="To be realised"/>
    <n v="15"/>
    <n v="10"/>
    <n v="15"/>
    <n v="0"/>
    <n v="0"/>
    <x v="2"/>
    <s v="project gap"/>
    <n v="0"/>
    <n v="0"/>
    <n v="1"/>
    <s v="Excellent coverage"/>
    <n v="0"/>
    <x v="1"/>
    <m/>
  </r>
  <r>
    <x v="1"/>
    <s v="MMR001CMP091"/>
    <x v="1"/>
    <x v="18"/>
    <n v="96.319687999999999"/>
    <n v="25.615202"/>
    <x v="0"/>
    <x v="0"/>
    <n v="5"/>
    <n v="25"/>
    <n v="25"/>
    <x v="1"/>
    <m/>
    <s v="Shalom"/>
    <x v="0"/>
    <x v="0"/>
    <s v="Gap"/>
    <s v="Focal NGO"/>
    <x v="0"/>
    <n v="0"/>
    <n v="0"/>
    <s v="No"/>
    <n v="1"/>
    <n v="0"/>
    <n v="6000"/>
    <n v="0"/>
    <n v="0"/>
    <n v="1"/>
    <n v="25"/>
    <n v="1"/>
    <n v="25"/>
    <n v="1"/>
    <n v="25"/>
    <x v="0"/>
    <n v="0"/>
    <n v="0"/>
    <n v="0"/>
    <n v="0"/>
    <n v="0"/>
    <n v="1"/>
    <n v="25"/>
    <m/>
    <n v="2"/>
    <n v="2"/>
    <n v="1"/>
    <x v="3"/>
    <n v="1"/>
    <n v="25"/>
    <n v="0.19999999999999996"/>
    <n v="4.9999999999999991"/>
    <n v="0.8"/>
    <n v="20"/>
    <n v="0"/>
    <n v="1"/>
    <n v="25"/>
    <n v="0.25"/>
    <n v="2"/>
    <s v="Separate, clearly perceived"/>
    <n v="1"/>
    <n v="25"/>
    <n v="0"/>
    <n v="1"/>
    <n v="25"/>
    <n v="3"/>
    <n v="1"/>
    <n v="0"/>
    <n v="1"/>
    <m/>
    <d v="2014-02-25T00:00:00"/>
    <s v="To be realised"/>
    <n v="5"/>
    <n v="10"/>
    <n v="5"/>
    <n v="0"/>
    <n v="0"/>
    <x v="2"/>
    <s v="project gap"/>
    <n v="0"/>
    <n v="0"/>
    <n v="1"/>
    <s v="Excellent coverage"/>
    <n v="0"/>
    <x v="1"/>
    <m/>
  </r>
  <r>
    <x v="1"/>
    <s v="MMR001CMP192"/>
    <x v="1"/>
    <x v="19"/>
    <n v="96.339590000000001"/>
    <n v="25.617998"/>
    <x v="0"/>
    <x v="0"/>
    <n v="17"/>
    <n v="63"/>
    <n v="63"/>
    <x v="1"/>
    <m/>
    <s v="Shalom"/>
    <x v="0"/>
    <x v="0"/>
    <s v="Gap"/>
    <s v="Focal NGO"/>
    <x v="0"/>
    <n v="0"/>
    <n v="0"/>
    <s v="No"/>
    <n v="1"/>
    <n v="0"/>
    <n v="2000"/>
    <n v="0"/>
    <n v="0"/>
    <n v="1"/>
    <n v="63"/>
    <n v="1"/>
    <n v="63"/>
    <n v="1"/>
    <n v="63"/>
    <x v="0"/>
    <n v="0"/>
    <n v="0"/>
    <n v="0"/>
    <n v="0"/>
    <n v="0"/>
    <n v="1"/>
    <n v="63"/>
    <m/>
    <n v="2"/>
    <n v="2"/>
    <n v="3"/>
    <x v="1"/>
    <n v="1"/>
    <n v="63"/>
    <n v="4.7619047619047672E-2"/>
    <n v="3.0000000000000036"/>
    <n v="0.95238095238095233"/>
    <n v="60"/>
    <n v="0"/>
    <n v="1"/>
    <n v="63"/>
    <n v="0.14999999999999991"/>
    <n v="2"/>
    <s v="Separate, clearly perceived"/>
    <n v="1"/>
    <n v="63"/>
    <n v="0"/>
    <n v="1"/>
    <n v="63"/>
    <n v="4"/>
    <n v="1"/>
    <n v="0"/>
    <n v="1"/>
    <m/>
    <d v="2014-02-25T00:00:00"/>
    <s v="To be realised"/>
    <n v="17"/>
    <n v="10"/>
    <n v="17"/>
    <n v="0"/>
    <n v="0"/>
    <x v="2"/>
    <s v="project gap"/>
    <n v="0"/>
    <n v="0"/>
    <n v="2"/>
    <s v="Excellent coverage"/>
    <n v="0"/>
    <x v="1"/>
    <m/>
  </r>
  <r>
    <x v="1"/>
    <s v="MMR001CMP103"/>
    <x v="1"/>
    <x v="20"/>
    <n v="96.341352999999998"/>
    <n v="25.613894999999999"/>
    <x v="0"/>
    <x v="0"/>
    <n v="55"/>
    <n v="272"/>
    <n v="272"/>
    <x v="0"/>
    <s v="Trocaires"/>
    <s v="KMSS"/>
    <x v="2"/>
    <x v="0"/>
    <d v="2015-12-31T00:00:00"/>
    <s v="Focal NGO"/>
    <x v="0"/>
    <n v="0"/>
    <n v="0"/>
    <s v="No"/>
    <n v="2"/>
    <n v="0"/>
    <n v="3000"/>
    <n v="0"/>
    <n v="0"/>
    <n v="1"/>
    <n v="272"/>
    <n v="1"/>
    <n v="272"/>
    <n v="1"/>
    <n v="272"/>
    <x v="0"/>
    <n v="0"/>
    <n v="0"/>
    <n v="0"/>
    <n v="0"/>
    <n v="0"/>
    <n v="1"/>
    <n v="272"/>
    <m/>
    <n v="5"/>
    <n v="0"/>
    <n v="10"/>
    <x v="2"/>
    <n v="0.73529411764705888"/>
    <n v="200"/>
    <n v="0"/>
    <n v="0"/>
    <n v="0.73529411764705888"/>
    <n v="200"/>
    <n v="0"/>
    <n v="0.74"/>
    <n v="201.28"/>
    <n v="3.5999999999999996"/>
    <n v="2"/>
    <s v="Separate, clearly perceived"/>
    <n v="0.73529411764705888"/>
    <n v="200"/>
    <n v="0.7200000000000002"/>
    <n v="0.74"/>
    <n v="201.28"/>
    <n v="3"/>
    <n v="1"/>
    <n v="0"/>
    <n v="1"/>
    <m/>
    <d v="2014-06-27T00:00:00"/>
    <s v="To be realised"/>
    <n v="55"/>
    <n v="2"/>
    <n v="55"/>
    <n v="0"/>
    <n v="0"/>
    <x v="3"/>
    <m/>
    <n v="1"/>
    <n v="272"/>
    <n v="0"/>
    <s v="No coverage"/>
    <n v="0"/>
    <x v="1"/>
    <m/>
  </r>
  <r>
    <x v="1"/>
    <s v="MMR001CMP182"/>
    <x v="1"/>
    <x v="21"/>
    <n v="96.279200000000003"/>
    <n v="25.56551"/>
    <x v="0"/>
    <x v="0"/>
    <n v="11"/>
    <n v="42"/>
    <n v="42"/>
    <x v="1"/>
    <m/>
    <s v="Shalom"/>
    <x v="0"/>
    <x v="0"/>
    <s v="Gap"/>
    <s v="Focal NGO"/>
    <x v="0"/>
    <n v="0"/>
    <n v="0"/>
    <s v="No"/>
    <n v="1"/>
    <n v="0"/>
    <n v="1600"/>
    <n v="0"/>
    <n v="0"/>
    <n v="1"/>
    <n v="42"/>
    <n v="1"/>
    <n v="42"/>
    <n v="1"/>
    <n v="42"/>
    <x v="0"/>
    <n v="0"/>
    <n v="0"/>
    <n v="0"/>
    <n v="0"/>
    <n v="0"/>
    <n v="1"/>
    <n v="42"/>
    <m/>
    <n v="1"/>
    <n v="2"/>
    <n v="2"/>
    <x v="2"/>
    <n v="1"/>
    <n v="42"/>
    <n v="4.7619047619047672E-2"/>
    <n v="2.0000000000000022"/>
    <n v="0.95238095238095233"/>
    <n v="40"/>
    <n v="0"/>
    <n v="1"/>
    <n v="42"/>
    <n v="0.10000000000000009"/>
    <n v="2"/>
    <s v="Not separated yet"/>
    <n v="1"/>
    <n v="42"/>
    <n v="0"/>
    <n v="1"/>
    <n v="42"/>
    <n v="6"/>
    <n v="1"/>
    <n v="0"/>
    <n v="1"/>
    <m/>
    <d v="2014-02-25T00:00:00"/>
    <s v="To be realised"/>
    <n v="11"/>
    <n v="10"/>
    <n v="11"/>
    <n v="0"/>
    <n v="0"/>
    <x v="2"/>
    <s v="project gap"/>
    <n v="0"/>
    <n v="0"/>
    <n v="2"/>
    <s v="Excellent coverage"/>
    <n v="0"/>
    <x v="1"/>
    <m/>
  </r>
  <r>
    <x v="1"/>
    <s v="MMR001CMP183"/>
    <x v="1"/>
    <x v="22"/>
    <n v="96.353030000000004"/>
    <n v="25.668399999999998"/>
    <x v="0"/>
    <x v="0"/>
    <n v="8"/>
    <n v="40"/>
    <n v="40"/>
    <x v="1"/>
    <m/>
    <s v="Shalom"/>
    <x v="0"/>
    <x v="0"/>
    <s v="Gap"/>
    <s v="Focal NGO"/>
    <x v="0"/>
    <n v="0"/>
    <n v="0"/>
    <s v="No"/>
    <n v="0"/>
    <n v="0"/>
    <n v="3750"/>
    <n v="0"/>
    <n v="0"/>
    <n v="1"/>
    <n v="40"/>
    <n v="1"/>
    <n v="40"/>
    <n v="1"/>
    <n v="40"/>
    <x v="0"/>
    <n v="0"/>
    <n v="0"/>
    <n v="0.1"/>
    <n v="0"/>
    <n v="0"/>
    <n v="1"/>
    <n v="40"/>
    <m/>
    <n v="8"/>
    <n v="0"/>
    <n v="8"/>
    <x v="0"/>
    <n v="1"/>
    <n v="40"/>
    <n v="0"/>
    <n v="0"/>
    <n v="1"/>
    <n v="40"/>
    <n v="0"/>
    <n v="1"/>
    <n v="40"/>
    <n v="0"/>
    <n v="2"/>
    <s v="Not separated yet"/>
    <n v="1"/>
    <n v="40"/>
    <n v="0"/>
    <n v="1"/>
    <n v="40"/>
    <n v="2"/>
    <n v="1"/>
    <n v="0"/>
    <n v="1"/>
    <m/>
    <d v="2014-02-25T00:00:00"/>
    <s v="To be realised"/>
    <n v="8"/>
    <n v="10"/>
    <n v="8"/>
    <n v="0"/>
    <n v="0"/>
    <x v="2"/>
    <s v="project gap"/>
    <n v="0"/>
    <n v="0"/>
    <n v="2"/>
    <s v="Excellent coverage"/>
    <n v="0"/>
    <x v="1"/>
    <m/>
  </r>
  <r>
    <x v="1"/>
    <s v="MMR001CMP184"/>
    <x v="1"/>
    <x v="23"/>
    <n v="96.286680000000004"/>
    <n v="25.577559999999998"/>
    <x v="0"/>
    <x v="0"/>
    <n v="40"/>
    <n v="190"/>
    <n v="190"/>
    <x v="1"/>
    <m/>
    <s v="Shalom"/>
    <x v="0"/>
    <x v="0"/>
    <s v="Gap"/>
    <s v="Focal NGO"/>
    <x v="0"/>
    <n v="0"/>
    <n v="0"/>
    <s v="No"/>
    <n v="1"/>
    <n v="0"/>
    <n v="4800"/>
    <n v="0"/>
    <n v="0"/>
    <n v="1"/>
    <n v="190"/>
    <n v="1"/>
    <n v="190"/>
    <n v="1"/>
    <n v="190"/>
    <x v="0"/>
    <n v="0"/>
    <n v="0"/>
    <n v="0"/>
    <n v="0"/>
    <n v="0"/>
    <n v="1"/>
    <n v="190"/>
    <m/>
    <n v="9"/>
    <n v="5"/>
    <n v="4"/>
    <x v="2"/>
    <n v="0.94736842105263153"/>
    <n v="180"/>
    <n v="0.52631578947368418"/>
    <n v="100"/>
    <n v="0.42105263157894735"/>
    <n v="80"/>
    <n v="0"/>
    <n v="0.95"/>
    <n v="180.5"/>
    <n v="5.5"/>
    <n v="3"/>
    <s v="Not separated yet"/>
    <n v="1"/>
    <n v="190"/>
    <n v="0"/>
    <n v="1"/>
    <n v="190"/>
    <n v="3"/>
    <n v="1"/>
    <n v="0"/>
    <n v="1"/>
    <s v="land limited for more semi-permanent latrine construciton, 6 semi permanent latrine already existed, church committee let them to use in 3, but if trouble, they church committee can share"/>
    <d v="2014-02-25T00:00:00"/>
    <s v="To be realised"/>
    <n v="40"/>
    <n v="10"/>
    <n v="40"/>
    <n v="0"/>
    <n v="0"/>
    <x v="2"/>
    <s v="project gap"/>
    <n v="0"/>
    <n v="0"/>
    <n v="2"/>
    <s v="Excellent coverage"/>
    <n v="0"/>
    <x v="1"/>
    <m/>
  </r>
  <r>
    <x v="1"/>
    <s v="MMR001CMP105"/>
    <x v="1"/>
    <x v="24"/>
    <n v="96.306910999999999"/>
    <n v="25.599250000000001"/>
    <x v="0"/>
    <x v="0"/>
    <n v="22"/>
    <n v="80"/>
    <n v="80"/>
    <x v="1"/>
    <m/>
    <s v="Shalom"/>
    <x v="0"/>
    <x v="0"/>
    <s v="Gap"/>
    <s v="Focal NGO"/>
    <x v="0"/>
    <n v="0"/>
    <n v="0"/>
    <s v="No"/>
    <n v="0"/>
    <n v="0"/>
    <n v="5600"/>
    <n v="0"/>
    <n v="0"/>
    <n v="1"/>
    <n v="80"/>
    <n v="1"/>
    <n v="80"/>
    <n v="1"/>
    <n v="80"/>
    <x v="0"/>
    <n v="0"/>
    <n v="0"/>
    <n v="0.2"/>
    <n v="0"/>
    <n v="0"/>
    <n v="1"/>
    <n v="80"/>
    <m/>
    <n v="6"/>
    <n v="3"/>
    <n v="1"/>
    <x v="0"/>
    <n v="1"/>
    <n v="80"/>
    <n v="0.75"/>
    <n v="60"/>
    <n v="0.25"/>
    <n v="20"/>
    <n v="0"/>
    <n v="1"/>
    <n v="80"/>
    <n v="3"/>
    <n v="2"/>
    <s v="Separate, clearly perceived"/>
    <n v="1"/>
    <n v="80"/>
    <n v="0"/>
    <n v="1"/>
    <n v="80"/>
    <n v="3"/>
    <n v="1"/>
    <n v="0"/>
    <n v="1"/>
    <s v="due to land owner filled the land the bathing sapce construction have removed"/>
    <d v="2014-02-25T00:00:00"/>
    <s v="To be realised"/>
    <n v="22"/>
    <n v="10"/>
    <n v="22"/>
    <n v="0"/>
    <n v="0"/>
    <x v="2"/>
    <s v="project gap"/>
    <n v="0"/>
    <n v="0"/>
    <n v="2"/>
    <s v="Excellent coverage"/>
    <n v="0"/>
    <x v="1"/>
    <m/>
  </r>
  <r>
    <x v="2"/>
    <s v="MMR001CMP074"/>
    <x v="0"/>
    <x v="25"/>
    <n v="98.144502500000002"/>
    <n v="26.890058"/>
    <x v="0"/>
    <x v="0"/>
    <n v="11"/>
    <n v="17"/>
    <n v="17"/>
    <x v="1"/>
    <m/>
    <m/>
    <x v="3"/>
    <x v="1"/>
    <s v="Gap"/>
    <s v="Not documented"/>
    <x v="1"/>
    <n v="0"/>
    <n v="0"/>
    <s v="No"/>
    <n v="0"/>
    <n v="0"/>
    <n v="0"/>
    <n v="0"/>
    <n v="0"/>
    <n v="0"/>
    <n v="0"/>
    <n v="0"/>
    <n v="0"/>
    <n v="0"/>
    <n v="0"/>
    <x v="1"/>
    <n v="0"/>
    <n v="0"/>
    <n v="4.2500000000000003E-2"/>
    <n v="0"/>
    <n v="0"/>
    <n v="0"/>
    <n v="0"/>
    <s v="Not reachable location"/>
    <n v="0"/>
    <n v="0"/>
    <n v="0"/>
    <x v="2"/>
    <n v="0"/>
    <n v="0"/>
    <n v="0"/>
    <n v="0"/>
    <n v="0"/>
    <n v="0"/>
    <n v="0"/>
    <n v="0"/>
    <n v="0"/>
    <n v="0.85"/>
    <n v="0"/>
    <s v="Not separated yet"/>
    <n v="0"/>
    <n v="0"/>
    <n v="0.17"/>
    <n v="0"/>
    <n v="0"/>
    <n v="0"/>
    <n v="0"/>
    <n v="0.17"/>
    <n v="0"/>
    <m/>
    <m/>
    <s v="To be realised"/>
    <n v="0"/>
    <n v="0"/>
    <n v="11"/>
    <n v="0"/>
    <n v="0"/>
    <x v="4"/>
    <m/>
    <n v="0"/>
    <n v="0"/>
    <n v="0"/>
    <s v="No coverage"/>
    <n v="0"/>
    <x v="2"/>
    <s v="N/A information "/>
  </r>
  <r>
    <x v="3"/>
    <s v="MMR001CMP078"/>
    <x v="2"/>
    <x v="26"/>
    <n v="96.922619999999995"/>
    <n v="25.305669999999999"/>
    <x v="0"/>
    <x v="0"/>
    <n v="17"/>
    <n v="69"/>
    <n v="69"/>
    <x v="1"/>
    <s v="CIDA/ADRA"/>
    <s v="KBC"/>
    <x v="1"/>
    <x v="0"/>
    <d v="2016-02-29T00:00:00"/>
    <s v="Focal NGO"/>
    <x v="0"/>
    <n v="0"/>
    <n v="0"/>
    <s v="No"/>
    <n v="0"/>
    <n v="2"/>
    <n v="3600"/>
    <n v="0"/>
    <n v="1"/>
    <n v="1"/>
    <n v="69"/>
    <n v="1"/>
    <n v="69"/>
    <n v="1"/>
    <n v="69"/>
    <x v="0"/>
    <n v="0"/>
    <n v="0"/>
    <n v="0"/>
    <n v="17"/>
    <n v="0"/>
    <n v="1"/>
    <n v="69"/>
    <m/>
    <n v="0"/>
    <n v="0"/>
    <n v="6"/>
    <x v="0"/>
    <n v="1"/>
    <n v="69"/>
    <n v="0"/>
    <n v="0"/>
    <n v="1"/>
    <n v="69"/>
    <n v="0"/>
    <n v="1"/>
    <n v="69"/>
    <n v="0"/>
    <n v="2"/>
    <s v="Separate, clearly perceived"/>
    <n v="1"/>
    <n v="69"/>
    <n v="0"/>
    <n v="1"/>
    <n v="69"/>
    <n v="6"/>
    <n v="1"/>
    <n v="0"/>
    <n v="1"/>
    <m/>
    <d v="2015-02-18T00:00:00"/>
    <d v="2016-02-18T00:00:00"/>
    <n v="17"/>
    <n v="4"/>
    <n v="0"/>
    <n v="1"/>
    <n v="69"/>
    <x v="0"/>
    <m/>
    <n v="0.8"/>
    <n v="55.2"/>
    <n v="1"/>
    <s v="Excellent coverage"/>
    <n v="0"/>
    <x v="1"/>
    <m/>
  </r>
  <r>
    <x v="3"/>
    <s v="MMR001CMP077"/>
    <x v="2"/>
    <x v="27"/>
    <n v="96.942279999999997"/>
    <n v="25.296579999999999"/>
    <x v="0"/>
    <x v="0"/>
    <n v="12"/>
    <n v="48"/>
    <n v="48"/>
    <x v="1"/>
    <s v="CIDA/ADRA"/>
    <s v="KBC"/>
    <x v="1"/>
    <x v="0"/>
    <d v="2016-02-29T00:00:00"/>
    <s v="Focal NGO"/>
    <x v="0"/>
    <n v="0"/>
    <n v="0"/>
    <s v="No"/>
    <n v="0"/>
    <n v="2"/>
    <n v="3600"/>
    <n v="0"/>
    <n v="1"/>
    <n v="1"/>
    <n v="48"/>
    <n v="1"/>
    <n v="48"/>
    <n v="1"/>
    <n v="48"/>
    <x v="0"/>
    <n v="0"/>
    <n v="0"/>
    <n v="0"/>
    <n v="12"/>
    <n v="0"/>
    <n v="1"/>
    <n v="48"/>
    <m/>
    <n v="0"/>
    <n v="0"/>
    <n v="4"/>
    <x v="0"/>
    <n v="1"/>
    <n v="48"/>
    <n v="0"/>
    <n v="0"/>
    <n v="1"/>
    <n v="48"/>
    <n v="0"/>
    <n v="1"/>
    <n v="48"/>
    <n v="0"/>
    <n v="2"/>
    <s v="Not separated yet"/>
    <n v="1"/>
    <n v="48"/>
    <n v="0"/>
    <n v="1"/>
    <n v="48"/>
    <n v="3"/>
    <n v="1"/>
    <n v="0"/>
    <n v="1"/>
    <m/>
    <d v="2015-02-18T00:00:00"/>
    <d v="2016-02-18T00:00:00"/>
    <n v="12"/>
    <n v="4"/>
    <n v="0"/>
    <n v="1"/>
    <n v="48"/>
    <x v="0"/>
    <m/>
    <n v="0.8"/>
    <n v="38.400000000000006"/>
    <n v="1"/>
    <s v="Excellent coverage"/>
    <n v="0"/>
    <x v="1"/>
    <m/>
  </r>
  <r>
    <x v="3"/>
    <s v="MMR001CMP079"/>
    <x v="2"/>
    <x v="28"/>
    <n v="96.948740000000001"/>
    <n v="25.30442"/>
    <x v="0"/>
    <x v="0"/>
    <n v="15"/>
    <n v="47"/>
    <n v="47"/>
    <x v="1"/>
    <s v="CIDA/ADRA"/>
    <s v="KBC"/>
    <x v="1"/>
    <x v="0"/>
    <d v="2016-02-29T00:00:00"/>
    <s v="Focal NGO"/>
    <x v="0"/>
    <n v="0"/>
    <n v="0"/>
    <s v="No"/>
    <n v="1"/>
    <n v="2"/>
    <n v="3600"/>
    <n v="0"/>
    <n v="1"/>
    <n v="1"/>
    <n v="47"/>
    <n v="1"/>
    <n v="47"/>
    <n v="1"/>
    <n v="47"/>
    <x v="0"/>
    <n v="0"/>
    <n v="0"/>
    <n v="0"/>
    <n v="15"/>
    <n v="0"/>
    <n v="1"/>
    <n v="47"/>
    <m/>
    <n v="0"/>
    <n v="0"/>
    <n v="3"/>
    <x v="0"/>
    <n v="1"/>
    <n v="47"/>
    <n v="0"/>
    <n v="0"/>
    <n v="1"/>
    <n v="47"/>
    <n v="0"/>
    <n v="1"/>
    <n v="47"/>
    <n v="0"/>
    <n v="2"/>
    <s v="Separate, clearly perceived"/>
    <n v="1"/>
    <n v="47"/>
    <n v="0"/>
    <n v="1"/>
    <n v="47"/>
    <n v="6"/>
    <n v="1"/>
    <n v="0"/>
    <n v="1"/>
    <m/>
    <d v="2015-02-18T00:00:00"/>
    <d v="2016-02-18T00:00:00"/>
    <n v="15"/>
    <n v="4"/>
    <n v="0"/>
    <n v="1"/>
    <n v="47"/>
    <x v="0"/>
    <m/>
    <n v="0.8"/>
    <n v="37.6"/>
    <n v="1"/>
    <s v="Excellent coverage"/>
    <n v="0"/>
    <x v="1"/>
    <m/>
  </r>
  <r>
    <x v="4"/>
    <s v="MMR001CMP152"/>
    <x v="2"/>
    <x v="29"/>
    <n v="96.364949999999993"/>
    <n v="24.998349999999999"/>
    <x v="0"/>
    <x v="0"/>
    <n v="19"/>
    <n v="104"/>
    <n v="84"/>
    <x v="1"/>
    <s v="CIDA/ADRA"/>
    <s v="KBC"/>
    <x v="1"/>
    <x v="0"/>
    <d v="2016-02-29T00:00:00"/>
    <s v="Focal NGO"/>
    <x v="0"/>
    <n v="0"/>
    <n v="0"/>
    <s v="No"/>
    <n v="0"/>
    <n v="1"/>
    <n v="7200"/>
    <n v="0"/>
    <n v="1"/>
    <n v="1"/>
    <n v="84"/>
    <n v="1"/>
    <n v="84"/>
    <n v="1"/>
    <n v="84"/>
    <x v="0"/>
    <n v="0"/>
    <n v="0"/>
    <n v="0"/>
    <n v="19"/>
    <n v="0"/>
    <n v="1"/>
    <n v="84"/>
    <m/>
    <n v="0"/>
    <n v="0"/>
    <n v="5"/>
    <x v="0"/>
    <n v="1"/>
    <n v="84"/>
    <n v="0"/>
    <n v="0"/>
    <n v="1"/>
    <n v="84"/>
    <n v="0"/>
    <n v="1"/>
    <n v="84"/>
    <n v="0"/>
    <n v="2"/>
    <s v="Separate, clearly perceived"/>
    <n v="1"/>
    <n v="84"/>
    <n v="0"/>
    <n v="1"/>
    <n v="84"/>
    <n v="2"/>
    <n v="1"/>
    <n v="0"/>
    <n v="1"/>
    <s v="land space limited"/>
    <d v="2015-02-18T00:00:00"/>
    <d v="2016-02-18T00:00:00"/>
    <n v="19"/>
    <n v="4"/>
    <n v="0"/>
    <n v="1"/>
    <n v="84"/>
    <x v="0"/>
    <m/>
    <n v="0.8"/>
    <n v="67.2"/>
    <n v="1"/>
    <s v="Excellent coverage"/>
    <n v="0"/>
    <x v="1"/>
    <m/>
  </r>
  <r>
    <x v="4"/>
    <s v="MMR001CMP080"/>
    <x v="2"/>
    <x v="30"/>
    <n v="96.367059999999995"/>
    <n v="24.764800000000001"/>
    <x v="0"/>
    <x v="0"/>
    <n v="12"/>
    <n v="51"/>
    <n v="51"/>
    <x v="1"/>
    <s v="Trocaires"/>
    <s v="KMSS"/>
    <x v="2"/>
    <x v="0"/>
    <d v="2015-12-31T00:00:00"/>
    <s v="Focal NGO"/>
    <x v="0"/>
    <n v="0"/>
    <n v="0"/>
    <s v="No"/>
    <n v="1"/>
    <n v="0"/>
    <n v="3000"/>
    <n v="0"/>
    <n v="0"/>
    <n v="1"/>
    <n v="51"/>
    <n v="1"/>
    <n v="51"/>
    <n v="1"/>
    <n v="51"/>
    <x v="0"/>
    <n v="0"/>
    <n v="0"/>
    <n v="0"/>
    <n v="0"/>
    <n v="0"/>
    <n v="1"/>
    <n v="51"/>
    <m/>
    <n v="11"/>
    <n v="0"/>
    <n v="3"/>
    <x v="1"/>
    <n v="1"/>
    <n v="51"/>
    <n v="0"/>
    <n v="0"/>
    <n v="1"/>
    <n v="51"/>
    <n v="0"/>
    <n v="1"/>
    <n v="51"/>
    <n v="0"/>
    <n v="2"/>
    <s v="Separate, clearly perceived"/>
    <n v="1"/>
    <n v="51"/>
    <n v="0"/>
    <n v="1"/>
    <n v="51"/>
    <n v="1"/>
    <n v="1"/>
    <n v="0"/>
    <n v="1"/>
    <m/>
    <d v="2014-06-27T00:00:00"/>
    <s v="To be realised"/>
    <n v="12"/>
    <n v="2"/>
    <n v="12"/>
    <n v="0"/>
    <n v="0"/>
    <x v="3"/>
    <m/>
    <n v="0"/>
    <n v="0"/>
    <n v="0"/>
    <s v="No coverage"/>
    <n v="0"/>
    <x v="1"/>
    <m/>
  </r>
  <r>
    <x v="5"/>
    <s v="MMR001CMP123"/>
    <x v="3"/>
    <x v="31"/>
    <n v="97.537099999999995"/>
    <n v="24.461033"/>
    <x v="0"/>
    <x v="1"/>
    <n v="117"/>
    <n v="620"/>
    <n v="620"/>
    <x v="0"/>
    <s v="Trocaires"/>
    <s v="IRRC"/>
    <x v="2"/>
    <x v="0"/>
    <d v="2015-12-31T00:00:00"/>
    <s v="Focal NGO"/>
    <x v="0"/>
    <n v="0"/>
    <n v="0"/>
    <s v="No"/>
    <n v="0"/>
    <n v="0"/>
    <n v="14568"/>
    <n v="0"/>
    <n v="1"/>
    <n v="1"/>
    <n v="620"/>
    <n v="1"/>
    <n v="620"/>
    <n v="1"/>
    <n v="620"/>
    <x v="0"/>
    <n v="0"/>
    <n v="0"/>
    <n v="1.55"/>
    <n v="117"/>
    <n v="0"/>
    <n v="1"/>
    <n v="620"/>
    <m/>
    <n v="62"/>
    <n v="60"/>
    <n v="37"/>
    <x v="3"/>
    <n v="1"/>
    <n v="620"/>
    <n v="0"/>
    <n v="0"/>
    <n v="1"/>
    <n v="620"/>
    <n v="0"/>
    <n v="1"/>
    <n v="620"/>
    <n v="0"/>
    <n v="4"/>
    <s v="Separate, clearly perceived"/>
    <n v="0.64516129032258063"/>
    <n v="400"/>
    <n v="2.2000000000000002"/>
    <n v="0.66"/>
    <n v="409.20000000000005"/>
    <n v="7"/>
    <n v="1"/>
    <n v="0"/>
    <n v="1"/>
    <m/>
    <d v="2015-03-02T00:00:00"/>
    <d v="2016-03-01T00:00:00"/>
    <n v="117"/>
    <n v="3"/>
    <n v="0"/>
    <n v="1"/>
    <n v="620"/>
    <x v="5"/>
    <m/>
    <n v="0"/>
    <n v="0"/>
    <n v="0"/>
    <s v="No coverage"/>
    <n v="0"/>
    <x v="1"/>
    <m/>
  </r>
  <r>
    <x v="5"/>
    <s v="MMR001CMP122"/>
    <x v="4"/>
    <x v="32"/>
    <n v="97.573166999999998"/>
    <n v="24.661466999999998"/>
    <x v="0"/>
    <x v="1"/>
    <n v="479"/>
    <n v="2288"/>
    <n v="2288"/>
    <x v="2"/>
    <s v="Welthungerhilfe"/>
    <s v="KMSS"/>
    <x v="4"/>
    <x v="0"/>
    <d v="2016-05-31T00:00:00"/>
    <s v="Focal NGO"/>
    <x v="0"/>
    <n v="0"/>
    <n v="0"/>
    <s v="No"/>
    <n v="3"/>
    <n v="0"/>
    <n v="34155"/>
    <n v="0"/>
    <n v="1"/>
    <n v="1"/>
    <n v="2288"/>
    <n v="1"/>
    <n v="2288"/>
    <n v="1"/>
    <n v="2288"/>
    <x v="0"/>
    <n v="0"/>
    <n v="0"/>
    <n v="2.7199999999999998"/>
    <n v="479"/>
    <n v="0"/>
    <n v="1"/>
    <n v="2288"/>
    <m/>
    <n v="70"/>
    <n v="70"/>
    <n v="148"/>
    <x v="2"/>
    <n v="1"/>
    <n v="2288"/>
    <n v="0"/>
    <n v="0"/>
    <n v="1"/>
    <n v="2288"/>
    <n v="0"/>
    <n v="1"/>
    <n v="2288"/>
    <n v="0"/>
    <n v="6"/>
    <s v="Not separated yet"/>
    <n v="0.26223776223776224"/>
    <n v="600"/>
    <n v="16.88"/>
    <n v="0.26"/>
    <n v="594.88"/>
    <n v="28"/>
    <n v="1"/>
    <n v="0"/>
    <n v="1"/>
    <m/>
    <d v="2013-10-12T00:00:00"/>
    <s v="To be realised"/>
    <n v="479"/>
    <n v="19"/>
    <n v="479"/>
    <n v="0"/>
    <n v="0"/>
    <x v="6"/>
    <s v="Metta only distributed refill HK and mobilize the hygiene promotion in 2015"/>
    <n v="0.5"/>
    <n v="1144"/>
    <n v="2"/>
    <s v="Low coverage"/>
    <n v="1"/>
    <x v="0"/>
    <m/>
  </r>
  <r>
    <x v="6"/>
    <s v="MMR001CMP012"/>
    <x v="5"/>
    <x v="33"/>
    <n v="97.385101000000006"/>
    <n v="25.399795999999998"/>
    <x v="0"/>
    <x v="0"/>
    <n v="6"/>
    <n v="27"/>
    <n v="27"/>
    <x v="1"/>
    <s v="CIDA/ADRA"/>
    <s v="KBC"/>
    <x v="1"/>
    <x v="0"/>
    <d v="2016-02-29T00:00:00"/>
    <s v="Focal NGO"/>
    <x v="0"/>
    <n v="0"/>
    <n v="0"/>
    <s v="No"/>
    <n v="0"/>
    <n v="1"/>
    <n v="0"/>
    <n v="0"/>
    <n v="1"/>
    <n v="1"/>
    <n v="27"/>
    <n v="1"/>
    <n v="27"/>
    <n v="1"/>
    <n v="27"/>
    <x v="0"/>
    <n v="0"/>
    <n v="0"/>
    <n v="0"/>
    <n v="6"/>
    <n v="0"/>
    <n v="1"/>
    <n v="27"/>
    <m/>
    <n v="0"/>
    <n v="0"/>
    <n v="1"/>
    <x v="0"/>
    <n v="0.7407407407407407"/>
    <n v="20"/>
    <n v="0"/>
    <n v="0"/>
    <n v="0.7407407407407407"/>
    <n v="20"/>
    <n v="0"/>
    <n v="0.75"/>
    <n v="20.25"/>
    <n v="0.35000000000000009"/>
    <n v="1"/>
    <s v="Not separated yet"/>
    <n v="1"/>
    <n v="27"/>
    <n v="0"/>
    <n v="1"/>
    <n v="27"/>
    <n v="2"/>
    <n v="1"/>
    <n v="0"/>
    <n v="1"/>
    <s v="1 SPL already closed bcoz of nearing the dining room (can move to other place)"/>
    <d v="2015-02-18T00:00:00"/>
    <d v="2016-02-18T00:00:00"/>
    <n v="6"/>
    <n v="4"/>
    <n v="0"/>
    <n v="1"/>
    <n v="27"/>
    <x v="0"/>
    <m/>
    <n v="0.8"/>
    <n v="21.6"/>
    <n v="1"/>
    <s v="Excellent coverage"/>
    <n v="0"/>
    <x v="1"/>
    <m/>
  </r>
  <r>
    <x v="6"/>
    <s v="MMR001CMP010"/>
    <x v="5"/>
    <x v="34"/>
    <n v="97.383056999999994"/>
    <n v="25.395994000000002"/>
    <x v="0"/>
    <x v="0"/>
    <n v="6"/>
    <n v="35"/>
    <n v="35"/>
    <x v="1"/>
    <s v="CIDA/ADRA"/>
    <s v="KBC"/>
    <x v="1"/>
    <x v="0"/>
    <d v="2016-02-29T00:00:00"/>
    <s v="Focal NGO"/>
    <x v="0"/>
    <n v="0"/>
    <n v="0"/>
    <s v="No"/>
    <n v="0"/>
    <n v="1"/>
    <n v="0"/>
    <n v="0"/>
    <n v="1"/>
    <n v="1"/>
    <n v="35"/>
    <n v="1"/>
    <n v="35"/>
    <n v="1"/>
    <n v="35"/>
    <x v="0"/>
    <n v="0"/>
    <n v="0"/>
    <n v="0"/>
    <n v="6"/>
    <n v="0"/>
    <n v="1"/>
    <n v="35"/>
    <m/>
    <n v="0"/>
    <n v="0"/>
    <n v="3"/>
    <x v="0"/>
    <n v="1"/>
    <n v="35"/>
    <n v="0"/>
    <n v="0"/>
    <n v="1"/>
    <n v="35"/>
    <n v="0"/>
    <n v="1"/>
    <n v="35"/>
    <n v="0"/>
    <n v="1"/>
    <s v="Not separated yet"/>
    <n v="1"/>
    <n v="35"/>
    <n v="0"/>
    <n v="1"/>
    <n v="35"/>
    <n v="3"/>
    <n v="1"/>
    <n v="0"/>
    <n v="1"/>
    <s v="HWS is not functioning, 1 SP was closed becoz of demage concrect ring"/>
    <d v="2015-02-18T00:00:00"/>
    <d v="2016-02-18T00:00:00"/>
    <n v="6"/>
    <n v="4"/>
    <n v="0"/>
    <n v="1"/>
    <n v="35"/>
    <x v="0"/>
    <m/>
    <n v="0.8"/>
    <n v="28"/>
    <n v="1"/>
    <s v="Excellent coverage"/>
    <n v="0"/>
    <x v="1"/>
    <m/>
  </r>
  <r>
    <x v="6"/>
    <s v="MMR001CMP011"/>
    <x v="5"/>
    <x v="35"/>
    <n v="97.381195000000005"/>
    <n v="25.396363999999998"/>
    <x v="0"/>
    <x v="0"/>
    <n v="8"/>
    <n v="26"/>
    <n v="26"/>
    <x v="1"/>
    <s v="CIDA/ADRA"/>
    <s v="KBC"/>
    <x v="1"/>
    <x v="0"/>
    <d v="2016-02-29T00:00:00"/>
    <s v="Focal NGO"/>
    <x v="0"/>
    <n v="0"/>
    <n v="0"/>
    <s v="No"/>
    <n v="0"/>
    <n v="1"/>
    <n v="0"/>
    <n v="0"/>
    <n v="1"/>
    <n v="1"/>
    <n v="26"/>
    <n v="1"/>
    <n v="26"/>
    <n v="1"/>
    <n v="26"/>
    <x v="0"/>
    <n v="0"/>
    <n v="0"/>
    <n v="0"/>
    <n v="8"/>
    <n v="0"/>
    <n v="1"/>
    <n v="26"/>
    <m/>
    <n v="0"/>
    <n v="0"/>
    <n v="1"/>
    <x v="0"/>
    <n v="0.76923076923076927"/>
    <n v="20"/>
    <n v="0"/>
    <n v="0"/>
    <n v="0.76923076923076927"/>
    <n v="20"/>
    <n v="0"/>
    <n v="0.77"/>
    <n v="20.02"/>
    <n v="0.30000000000000004"/>
    <n v="1"/>
    <s v="Not separated yet"/>
    <n v="1"/>
    <n v="26"/>
    <n v="0"/>
    <n v="1"/>
    <n v="26"/>
    <n v="3"/>
    <n v="1"/>
    <n v="0"/>
    <n v="1"/>
    <s v="HWS is not functioning, 1 latrien pit already exised , just to move the frame"/>
    <d v="2015-02-18T00:00:00"/>
    <d v="2016-02-18T00:00:00"/>
    <n v="8"/>
    <n v="4"/>
    <n v="0"/>
    <n v="1"/>
    <n v="26"/>
    <x v="0"/>
    <m/>
    <n v="0.8"/>
    <n v="20.8"/>
    <n v="1"/>
    <s v="Excellent coverage"/>
    <n v="0"/>
    <x v="1"/>
    <m/>
  </r>
  <r>
    <x v="6"/>
    <s v="MMR001CMP018"/>
    <x v="5"/>
    <x v="36"/>
    <n v="97.389778000000007"/>
    <n v="25.417733999999999"/>
    <x v="0"/>
    <x v="0"/>
    <n v="189"/>
    <n v="974"/>
    <n v="974"/>
    <x v="0"/>
    <s v="CIDA/ADRA"/>
    <s v="KBC"/>
    <x v="1"/>
    <x v="0"/>
    <d v="2016-02-29T00:00:00"/>
    <s v="Focal NGO"/>
    <x v="0"/>
    <n v="0"/>
    <n v="0"/>
    <s v="No"/>
    <n v="1"/>
    <n v="9"/>
    <n v="3000"/>
    <n v="0"/>
    <n v="1"/>
    <n v="1"/>
    <n v="974"/>
    <n v="1"/>
    <n v="974"/>
    <n v="1"/>
    <n v="974"/>
    <x v="0"/>
    <n v="0"/>
    <n v="0"/>
    <n v="0"/>
    <n v="189"/>
    <n v="0"/>
    <n v="1"/>
    <n v="974"/>
    <m/>
    <n v="0"/>
    <n v="0"/>
    <n v="51"/>
    <x v="0"/>
    <n v="1"/>
    <n v="974"/>
    <n v="0"/>
    <n v="0"/>
    <n v="1"/>
    <n v="974"/>
    <n v="0"/>
    <n v="1"/>
    <n v="974"/>
    <n v="0"/>
    <n v="4"/>
    <s v="Separate, but not clearly perceived"/>
    <n v="0.41067761806981518"/>
    <n v="400"/>
    <n v="5.74"/>
    <n v="0.41"/>
    <n v="399.34"/>
    <n v="15"/>
    <n v="1"/>
    <n v="0"/>
    <n v="1"/>
    <s v="Normally, IDPs didn't used the existing 15 hand washing stations"/>
    <d v="2015-02-18T00:00:00"/>
    <d v="2016-02-18T00:00:00"/>
    <n v="189"/>
    <n v="4"/>
    <n v="0"/>
    <n v="1"/>
    <n v="974"/>
    <x v="0"/>
    <m/>
    <n v="0.8"/>
    <n v="779.2"/>
    <n v="3"/>
    <s v="Excellent coverage"/>
    <n v="0"/>
    <x v="1"/>
    <m/>
  </r>
  <r>
    <x v="6"/>
    <s v="MMR001CMP019"/>
    <x v="5"/>
    <x v="37"/>
    <n v="97.373361000000003"/>
    <n v="25.403476999999999"/>
    <x v="0"/>
    <x v="0"/>
    <n v="106"/>
    <n v="468"/>
    <n v="468"/>
    <x v="0"/>
    <s v="Trocaires"/>
    <s v="KMSS"/>
    <x v="2"/>
    <x v="0"/>
    <d v="2015-12-31T00:00:00"/>
    <s v="Focal NGO"/>
    <x v="0"/>
    <n v="0"/>
    <n v="0"/>
    <s v="No"/>
    <n v="1"/>
    <n v="3"/>
    <n v="3000"/>
    <n v="0"/>
    <n v="1"/>
    <n v="1"/>
    <n v="468"/>
    <n v="1"/>
    <n v="468"/>
    <n v="1"/>
    <n v="468"/>
    <x v="0"/>
    <n v="0"/>
    <n v="0"/>
    <n v="0"/>
    <n v="106"/>
    <n v="0"/>
    <n v="1"/>
    <n v="468"/>
    <m/>
    <n v="27"/>
    <n v="0"/>
    <n v="20"/>
    <x v="0"/>
    <n v="0.85470085470085466"/>
    <n v="400"/>
    <n v="0"/>
    <n v="0"/>
    <n v="0.85470085470085466"/>
    <n v="400"/>
    <n v="0"/>
    <n v="0.86"/>
    <n v="402.48"/>
    <n v="3.3999999999999986"/>
    <n v="1"/>
    <s v="Not separated yet"/>
    <n v="0.21367521367521367"/>
    <n v="100"/>
    <n v="3.6799999999999997"/>
    <n v="0.21"/>
    <n v="98.28"/>
    <n v="4"/>
    <n v="0.85470085470085466"/>
    <n v="0.67999999999999972"/>
    <n v="0.85"/>
    <s v="Handwashing station ss not functioning. And also land limited for facilities construciton."/>
    <d v="2014-05-22T00:00:00"/>
    <s v="To be realised"/>
    <n v="106"/>
    <n v="2"/>
    <n v="106"/>
    <n v="0"/>
    <n v="0"/>
    <x v="7"/>
    <m/>
    <n v="1"/>
    <n v="468"/>
    <n v="0"/>
    <s v="No coverage"/>
    <n v="0"/>
    <x v="1"/>
    <m/>
  </r>
  <r>
    <x v="6"/>
    <s v="MMR001CMP013"/>
    <x v="5"/>
    <x v="38"/>
    <n v="97.405120999999994"/>
    <n v="25.365891000000001"/>
    <x v="0"/>
    <x v="0"/>
    <n v="44"/>
    <n v="180"/>
    <n v="180"/>
    <x v="1"/>
    <s v="CIDA/ADRA"/>
    <s v="KBC"/>
    <x v="1"/>
    <x v="0"/>
    <d v="2016-02-29T00:00:00"/>
    <s v="Focal NGO"/>
    <x v="0"/>
    <n v="0"/>
    <n v="0"/>
    <s v="No"/>
    <n v="1"/>
    <n v="1"/>
    <n v="0"/>
    <n v="0"/>
    <n v="1"/>
    <n v="1"/>
    <n v="180"/>
    <n v="1"/>
    <n v="180"/>
    <n v="1"/>
    <n v="180"/>
    <x v="0"/>
    <n v="0"/>
    <n v="0"/>
    <n v="0"/>
    <n v="44"/>
    <n v="0"/>
    <n v="1"/>
    <n v="180"/>
    <m/>
    <n v="0"/>
    <n v="0"/>
    <n v="8"/>
    <x v="0"/>
    <n v="0.88888888888888884"/>
    <n v="160"/>
    <n v="0"/>
    <n v="0"/>
    <n v="0.88888888888888884"/>
    <n v="160"/>
    <n v="0"/>
    <n v="0.89"/>
    <n v="160.19999999999999"/>
    <n v="1"/>
    <n v="2"/>
    <s v="Not separated yet"/>
    <n v="1"/>
    <n v="180"/>
    <n v="0"/>
    <n v="1"/>
    <n v="180"/>
    <n v="3"/>
    <n v="1"/>
    <n v="0"/>
    <n v="1"/>
    <s v="Land limited to construct more latrines and WASH facilities"/>
    <d v="2015-02-18T00:00:00"/>
    <d v="2016-02-18T00:00:00"/>
    <n v="44"/>
    <n v="4"/>
    <n v="0"/>
    <n v="1"/>
    <n v="180"/>
    <x v="0"/>
    <m/>
    <n v="0.8"/>
    <n v="144"/>
    <n v="1"/>
    <s v="Excellent coverage"/>
    <n v="0"/>
    <x v="1"/>
    <m/>
  </r>
  <r>
    <x v="6"/>
    <s v="MMR001CMP147"/>
    <x v="5"/>
    <x v="39"/>
    <m/>
    <m/>
    <x v="0"/>
    <x v="1"/>
    <n v="19"/>
    <n v="68"/>
    <n v="68"/>
    <x v="1"/>
    <s v="Trocaires"/>
    <m/>
    <x v="2"/>
    <x v="0"/>
    <d v="2015-12-31T00:00:00"/>
    <s v="Focal NGO"/>
    <x v="0"/>
    <n v="0"/>
    <n v="0"/>
    <s v="No"/>
    <n v="0"/>
    <n v="0"/>
    <n v="1500"/>
    <n v="0"/>
    <n v="0"/>
    <n v="1"/>
    <n v="68"/>
    <n v="1"/>
    <n v="68"/>
    <n v="1"/>
    <n v="68"/>
    <x v="0"/>
    <n v="0"/>
    <n v="0"/>
    <n v="0.17"/>
    <n v="0"/>
    <n v="0"/>
    <n v="1"/>
    <n v="68"/>
    <s v="the existing 1 well is not protect and not usually used and currently IDPs used GFS. KMSS have a plan to improve that GFS as Water storage tank construction. "/>
    <n v="0"/>
    <n v="0"/>
    <n v="3"/>
    <x v="2"/>
    <n v="0.88235294117647056"/>
    <n v="60"/>
    <n v="0"/>
    <n v="0"/>
    <n v="0.88235294117647056"/>
    <n v="60"/>
    <n v="0"/>
    <n v="0.89"/>
    <n v="60.52"/>
    <n v="0.39999999999999991"/>
    <n v="0"/>
    <s v="Not separated yet"/>
    <n v="0"/>
    <n v="0"/>
    <n v="0.68"/>
    <n v="0"/>
    <n v="0"/>
    <n v="0"/>
    <n v="0"/>
    <n v="0.68"/>
    <n v="0"/>
    <s v="Every IDPs HH used individual bathing spaces. "/>
    <m/>
    <s v="To be realised"/>
    <n v="0"/>
    <n v="0"/>
    <n v="19"/>
    <n v="0"/>
    <n v="0"/>
    <x v="4"/>
    <m/>
    <n v="0"/>
    <n v="0"/>
    <n v="0"/>
    <s v="No coverage"/>
    <n v="0"/>
    <x v="3"/>
    <m/>
  </r>
  <r>
    <x v="6"/>
    <s v="MMR001CMP015"/>
    <x v="5"/>
    <x v="40"/>
    <n v="97.409317000000001"/>
    <n v="25.362189999999998"/>
    <x v="0"/>
    <x v="0"/>
    <n v="105"/>
    <n v="563"/>
    <n v="328"/>
    <x v="0"/>
    <s v="CIDA/ADRA"/>
    <s v="KBC"/>
    <x v="1"/>
    <x v="0"/>
    <d v="2016-02-29T00:00:00"/>
    <s v="Focal NGO"/>
    <x v="0"/>
    <n v="0"/>
    <n v="0"/>
    <s v="No"/>
    <n v="1"/>
    <n v="0"/>
    <n v="0"/>
    <n v="0"/>
    <n v="1"/>
    <n v="1"/>
    <n v="328"/>
    <n v="1"/>
    <n v="328"/>
    <n v="1"/>
    <n v="328"/>
    <x v="0"/>
    <n v="0"/>
    <n v="0"/>
    <n v="0"/>
    <n v="105"/>
    <n v="0"/>
    <n v="1"/>
    <n v="328"/>
    <m/>
    <n v="0"/>
    <n v="0"/>
    <n v="10"/>
    <x v="0"/>
    <n v="0.6097560975609756"/>
    <n v="200"/>
    <n v="0"/>
    <n v="0"/>
    <n v="0.6097560975609756"/>
    <n v="200"/>
    <n v="0"/>
    <n v="0.61"/>
    <n v="200.07999999999998"/>
    <n v="6.3999999999999986"/>
    <n v="1"/>
    <s v="Not separated yet"/>
    <n v="0.3048780487804878"/>
    <n v="100"/>
    <n v="4.63"/>
    <n v="0.3"/>
    <n v="98.399999999999991"/>
    <n v="3"/>
    <n v="0.91463414634146345"/>
    <n v="2.63"/>
    <n v="0.91"/>
    <s v="Land limited to construct more latrines and bathing spaces."/>
    <d v="2015-02-18T00:00:00"/>
    <d v="2016-02-18T00:00:00"/>
    <n v="105"/>
    <n v="4"/>
    <n v="0"/>
    <n v="1"/>
    <n v="328"/>
    <x v="0"/>
    <m/>
    <n v="0.8"/>
    <n v="262.40000000000003"/>
    <n v="1"/>
    <s v="Excellent coverage"/>
    <n v="3"/>
    <x v="1"/>
    <m/>
  </r>
  <r>
    <x v="6"/>
    <s v="MMR001CMP014"/>
    <x v="5"/>
    <x v="41"/>
    <n v="97.408919999999995"/>
    <n v="25.355983999999999"/>
    <x v="0"/>
    <x v="0"/>
    <n v="143"/>
    <n v="717"/>
    <n v="462"/>
    <x v="0"/>
    <s v="CIDA/ADRA"/>
    <s v="KBC"/>
    <x v="1"/>
    <x v="0"/>
    <d v="2016-02-29T00:00:00"/>
    <s v="Focal NGO"/>
    <x v="0"/>
    <n v="0"/>
    <n v="0"/>
    <s v="No"/>
    <n v="0"/>
    <n v="3"/>
    <n v="5600"/>
    <n v="0"/>
    <n v="1"/>
    <n v="1"/>
    <n v="462"/>
    <n v="1"/>
    <n v="462"/>
    <n v="1"/>
    <n v="462"/>
    <x v="0"/>
    <n v="0"/>
    <n v="0"/>
    <n v="0"/>
    <n v="143"/>
    <n v="0"/>
    <n v="1"/>
    <n v="462"/>
    <m/>
    <n v="0"/>
    <n v="0"/>
    <n v="34"/>
    <x v="0"/>
    <n v="1"/>
    <n v="462"/>
    <n v="0"/>
    <n v="0"/>
    <n v="1"/>
    <n v="462"/>
    <n v="0"/>
    <n v="1"/>
    <n v="462"/>
    <n v="0"/>
    <n v="3"/>
    <s v="Separate, clearly perceived"/>
    <n v="0.64935064935064934"/>
    <n v="300"/>
    <n v="4.17"/>
    <n v="0.65"/>
    <n v="300.3"/>
    <n v="9"/>
    <n v="1"/>
    <n v="0"/>
    <n v="1"/>
    <s v="land limited to construct more latrines"/>
    <d v="2015-02-18T00:00:00"/>
    <d v="2016-02-18T00:00:00"/>
    <n v="143"/>
    <n v="4"/>
    <n v="0"/>
    <n v="1"/>
    <n v="462"/>
    <x v="0"/>
    <m/>
    <n v="0.8"/>
    <n v="369.6"/>
    <n v="2"/>
    <s v="Excellent coverage"/>
    <n v="0"/>
    <x v="1"/>
    <m/>
  </r>
  <r>
    <x v="6"/>
    <s v="MMR001CMP016"/>
    <x v="5"/>
    <x v="42"/>
    <n v="97.411606000000006"/>
    <n v="25.360475999999998"/>
    <x v="0"/>
    <x v="0"/>
    <n v="71"/>
    <n v="319"/>
    <n v="319"/>
    <x v="0"/>
    <s v="CIDA/ADRA"/>
    <s v="KBC"/>
    <x v="1"/>
    <x v="0"/>
    <d v="2016-02-29T00:00:00"/>
    <s v="Focal NGO"/>
    <x v="0"/>
    <n v="0"/>
    <n v="0"/>
    <s v="No"/>
    <n v="1"/>
    <n v="1"/>
    <n v="1600"/>
    <n v="0"/>
    <n v="1"/>
    <n v="1"/>
    <n v="319"/>
    <n v="1"/>
    <n v="319"/>
    <n v="1"/>
    <n v="319"/>
    <x v="0"/>
    <n v="0"/>
    <n v="0"/>
    <n v="0"/>
    <n v="71"/>
    <n v="0"/>
    <n v="1"/>
    <n v="319"/>
    <m/>
    <n v="0"/>
    <n v="0"/>
    <n v="12"/>
    <x v="0"/>
    <n v="0.75235109717868343"/>
    <n v="240"/>
    <n v="0"/>
    <n v="0"/>
    <n v="0.75235109717868343"/>
    <n v="240"/>
    <n v="0"/>
    <n v="0.76"/>
    <n v="242.44"/>
    <n v="3.9499999999999993"/>
    <n v="2"/>
    <s v="Not separated yet"/>
    <n v="0.62695924764890287"/>
    <n v="200.00000000000003"/>
    <n v="1.19"/>
    <n v="0.63"/>
    <n v="200.97"/>
    <n v="3"/>
    <n v="0.94043887147335425"/>
    <n v="0.18999999999999995"/>
    <n v="0.94"/>
    <s v="due to IDPs used individual bathing spaces, no need to construct more. "/>
    <d v="2015-02-18T00:00:00"/>
    <d v="2016-02-18T00:00:00"/>
    <n v="71"/>
    <n v="4"/>
    <n v="0"/>
    <n v="1"/>
    <n v="319"/>
    <x v="0"/>
    <m/>
    <n v="0.8"/>
    <n v="255.20000000000002"/>
    <n v="1"/>
    <s v="Excellent coverage"/>
    <n v="2"/>
    <x v="1"/>
    <s v="temporary  incinerator not functioning"/>
  </r>
  <r>
    <x v="6"/>
    <s v="MMR001CMP008"/>
    <x v="5"/>
    <x v="43"/>
    <n v="97.418694000000002"/>
    <n v="25.428910999999999"/>
    <x v="0"/>
    <x v="0"/>
    <n v="87"/>
    <n v="452"/>
    <n v="452"/>
    <x v="0"/>
    <s v="CIDA/ADRA"/>
    <s v="KBC"/>
    <x v="1"/>
    <x v="0"/>
    <d v="2016-02-29T00:00:00"/>
    <s v="Focal NGO"/>
    <x v="0"/>
    <n v="0"/>
    <n v="0"/>
    <s v="No"/>
    <n v="2"/>
    <n v="0"/>
    <n v="1000"/>
    <n v="0"/>
    <n v="1"/>
    <n v="1"/>
    <n v="452"/>
    <n v="1"/>
    <n v="452"/>
    <n v="1"/>
    <n v="452"/>
    <x v="0"/>
    <n v="0"/>
    <n v="0"/>
    <n v="0"/>
    <n v="87"/>
    <n v="0"/>
    <n v="1"/>
    <n v="452"/>
    <m/>
    <n v="0"/>
    <n v="0"/>
    <n v="24"/>
    <x v="0"/>
    <n v="1"/>
    <n v="452"/>
    <n v="0"/>
    <n v="0"/>
    <n v="1"/>
    <n v="452"/>
    <n v="0"/>
    <n v="1"/>
    <n v="452"/>
    <n v="0"/>
    <n v="1"/>
    <s v="Not separated yet"/>
    <n v="0.22123893805309736"/>
    <n v="100"/>
    <n v="3.5199999999999996"/>
    <n v="0.22"/>
    <n v="99.44"/>
    <n v="12"/>
    <n v="1"/>
    <n v="0"/>
    <n v="1"/>
    <m/>
    <d v="2015-02-18T00:00:00"/>
    <d v="2016-02-18T00:00:00"/>
    <n v="87"/>
    <n v="4"/>
    <n v="0"/>
    <n v="1"/>
    <n v="452"/>
    <x v="0"/>
    <m/>
    <n v="0.75"/>
    <n v="339"/>
    <n v="1"/>
    <s v="Excellent coverage"/>
    <n v="1"/>
    <x v="1"/>
    <s v="temporary  incinerator not functioning"/>
  </r>
  <r>
    <x v="6"/>
    <s v="MMR001CMP020"/>
    <x v="5"/>
    <x v="44"/>
    <n v="97.284729999999996"/>
    <n v="25.374020000000002"/>
    <x v="0"/>
    <x v="0"/>
    <n v="22"/>
    <n v="100"/>
    <n v="100"/>
    <x v="1"/>
    <s v="AusAid/OXFAM"/>
    <s v="Shalom"/>
    <x v="0"/>
    <x v="0"/>
    <d v="2015-07-31T00:00:00"/>
    <s v="Focal NGO"/>
    <x v="0"/>
    <n v="0"/>
    <n v="0"/>
    <s v="No"/>
    <n v="1"/>
    <n v="1"/>
    <n v="3000"/>
    <n v="0"/>
    <n v="0"/>
    <n v="1"/>
    <n v="100"/>
    <n v="1"/>
    <n v="100"/>
    <n v="1"/>
    <n v="100"/>
    <x v="0"/>
    <n v="0"/>
    <n v="0"/>
    <n v="0"/>
    <n v="0"/>
    <n v="0"/>
    <n v="1"/>
    <n v="100"/>
    <m/>
    <n v="0"/>
    <n v="0"/>
    <n v="6"/>
    <x v="0"/>
    <n v="1"/>
    <n v="100"/>
    <n v="0"/>
    <n v="0"/>
    <n v="1"/>
    <n v="100"/>
    <n v="0"/>
    <n v="1"/>
    <n v="100"/>
    <n v="0"/>
    <n v="2"/>
    <s v="Latrine shared by families , not separated"/>
    <n v="1"/>
    <n v="100"/>
    <n v="0"/>
    <n v="1"/>
    <n v="100"/>
    <n v="3"/>
    <n v="1"/>
    <n v="0"/>
    <n v="1"/>
    <m/>
    <d v="2015-02-13T00:00:00"/>
    <d v="2016-02-13T00:00:00"/>
    <n v="22"/>
    <n v="5"/>
    <n v="0"/>
    <n v="1"/>
    <n v="100"/>
    <x v="0"/>
    <m/>
    <n v="1"/>
    <n v="100"/>
    <n v="2"/>
    <s v="Excellent coverage"/>
    <n v="1"/>
    <x v="0"/>
    <s v="temporary incinerator have implemented as pilot by Oxfam but it was not functioning now"/>
  </r>
  <r>
    <x v="6"/>
    <s v="MMR001CMP021"/>
    <x v="5"/>
    <x v="45"/>
    <n v="97.291079999999994"/>
    <n v="25.371179999999999"/>
    <x v="0"/>
    <x v="0"/>
    <n v="14"/>
    <n v="73"/>
    <n v="73"/>
    <x v="1"/>
    <s v="AusAid/OXFAM"/>
    <s v="Shalom"/>
    <x v="0"/>
    <x v="0"/>
    <d v="2015-07-31T00:00:00"/>
    <s v="Focal NGO"/>
    <x v="0"/>
    <n v="0"/>
    <n v="0"/>
    <s v="No"/>
    <n v="1"/>
    <n v="0"/>
    <n v="3000"/>
    <n v="0"/>
    <n v="0"/>
    <n v="1"/>
    <n v="73"/>
    <n v="1"/>
    <n v="73"/>
    <n v="1"/>
    <n v="73"/>
    <x v="0"/>
    <n v="0"/>
    <n v="0"/>
    <n v="0"/>
    <n v="0"/>
    <n v="0"/>
    <n v="1"/>
    <n v="73"/>
    <m/>
    <n v="2"/>
    <n v="2"/>
    <n v="3"/>
    <x v="0"/>
    <n v="1"/>
    <n v="73"/>
    <n v="0.17808219178082196"/>
    <n v="13.000000000000004"/>
    <n v="0.82191780821917804"/>
    <n v="60"/>
    <n v="0"/>
    <n v="1"/>
    <n v="73"/>
    <n v="0.64999999999999991"/>
    <n v="2"/>
    <s v="Separate, clearly perceived"/>
    <n v="1"/>
    <n v="73"/>
    <n v="0"/>
    <n v="1"/>
    <n v="73"/>
    <n v="3"/>
    <n v="1"/>
    <n v="0"/>
    <n v="1"/>
    <m/>
    <d v="2015-02-13T00:00:00"/>
    <d v="2016-02-13T00:00:00"/>
    <n v="14"/>
    <n v="5"/>
    <n v="0"/>
    <n v="1"/>
    <n v="73"/>
    <x v="0"/>
    <m/>
    <n v="1"/>
    <n v="73"/>
    <n v="2"/>
    <s v="Excellent coverage"/>
    <n v="0"/>
    <x v="0"/>
    <m/>
  </r>
  <r>
    <x v="6"/>
    <s v="MMR001CMP024"/>
    <x v="5"/>
    <x v="46"/>
    <n v="97.359380000000002"/>
    <n v="25.411770000000001"/>
    <x v="0"/>
    <x v="0"/>
    <n v="72"/>
    <n v="308"/>
    <n v="308"/>
    <x v="0"/>
    <s v="Trocaires"/>
    <s v="KMSS"/>
    <x v="2"/>
    <x v="0"/>
    <d v="2015-12-31T00:00:00"/>
    <s v="Focal NGO"/>
    <x v="0"/>
    <n v="0"/>
    <n v="0"/>
    <s v="No"/>
    <n v="0"/>
    <n v="4"/>
    <n v="8000"/>
    <n v="0"/>
    <n v="1"/>
    <n v="1"/>
    <n v="308"/>
    <n v="1"/>
    <n v="308"/>
    <n v="1"/>
    <n v="308"/>
    <x v="0"/>
    <n v="0"/>
    <n v="0"/>
    <n v="0"/>
    <n v="72"/>
    <n v="0"/>
    <n v="1"/>
    <n v="308"/>
    <m/>
    <n v="33"/>
    <n v="17"/>
    <n v="6"/>
    <x v="1"/>
    <n v="1"/>
    <n v="308"/>
    <n v="0.61038961038961037"/>
    <n v="188"/>
    <n v="0.38961038961038963"/>
    <n v="120"/>
    <n v="0"/>
    <n v="1"/>
    <n v="308"/>
    <n v="9.4"/>
    <n v="3"/>
    <s v="Separate, clearly perceived"/>
    <n v="0.97402597402597402"/>
    <n v="300"/>
    <n v="8.0000000000000071E-2"/>
    <n v="0.97"/>
    <n v="298.76"/>
    <n v="4"/>
    <n v="1"/>
    <n v="0"/>
    <n v="1"/>
    <s v="Now, People washed their hands at bathing spaces and the existing HWS haven't functioned."/>
    <d v="2014-05-22T00:00:00"/>
    <s v="To be realised"/>
    <n v="72"/>
    <n v="2"/>
    <n v="72"/>
    <n v="0"/>
    <n v="0"/>
    <x v="7"/>
    <m/>
    <n v="1"/>
    <n v="308"/>
    <n v="0"/>
    <s v="No coverage"/>
    <n v="0"/>
    <x v="1"/>
    <m/>
  </r>
  <r>
    <x v="6"/>
    <s v="MMR001CMP002"/>
    <x v="5"/>
    <x v="47"/>
    <n v="97.394547000000003"/>
    <n v="25.422194000000001"/>
    <x v="0"/>
    <x v="0"/>
    <n v="55"/>
    <n v="229"/>
    <n v="229"/>
    <x v="0"/>
    <s v="CIDA/ADRA"/>
    <s v="KBC"/>
    <x v="1"/>
    <x v="0"/>
    <d v="2016-02-29T00:00:00"/>
    <s v="Focal NGO"/>
    <x v="0"/>
    <n v="0"/>
    <n v="0"/>
    <s v="No"/>
    <n v="2"/>
    <n v="2"/>
    <n v="0"/>
    <n v="0"/>
    <n v="1"/>
    <n v="1"/>
    <n v="229"/>
    <n v="1"/>
    <n v="229"/>
    <n v="1"/>
    <n v="229"/>
    <x v="0"/>
    <n v="0"/>
    <n v="0"/>
    <n v="0"/>
    <n v="55"/>
    <n v="0"/>
    <n v="1"/>
    <n v="229"/>
    <m/>
    <n v="0"/>
    <n v="0"/>
    <n v="8"/>
    <x v="0"/>
    <n v="0.69868995633187769"/>
    <n v="160"/>
    <n v="0"/>
    <n v="0"/>
    <n v="0.69868995633187769"/>
    <n v="160"/>
    <n v="0"/>
    <n v="0.7"/>
    <n v="160.29999999999998"/>
    <n v="3.4499999999999993"/>
    <n v="2"/>
    <s v="Separate, clearly perceived"/>
    <n v="0.8733624454148472"/>
    <n v="200"/>
    <n v="0.29000000000000004"/>
    <n v="0.87"/>
    <n v="199.23"/>
    <n v="6"/>
    <n v="1"/>
    <n v="0"/>
    <n v="1"/>
    <s v="land limited to construct more sanitation facilities. "/>
    <d v="2015-02-18T00:00:00"/>
    <d v="2016-02-18T00:00:00"/>
    <n v="55"/>
    <n v="4"/>
    <n v="0"/>
    <n v="1"/>
    <n v="229"/>
    <x v="0"/>
    <m/>
    <n v="0.8"/>
    <n v="183.20000000000002"/>
    <n v="1"/>
    <s v="Excellent coverage"/>
    <n v="0"/>
    <x v="1"/>
    <m/>
  </r>
  <r>
    <x v="6"/>
    <s v="MMR001CMP162"/>
    <x v="5"/>
    <x v="48"/>
    <n v="97.4345"/>
    <n v="25.493819999999999"/>
    <x v="0"/>
    <x v="0"/>
    <n v="28"/>
    <n v="176"/>
    <n v="176"/>
    <x v="1"/>
    <s v="Trocaires"/>
    <s v="KMSS"/>
    <x v="2"/>
    <x v="0"/>
    <d v="2015-12-31T00:00:00"/>
    <s v="Focal NGO"/>
    <x v="0"/>
    <n v="0"/>
    <n v="0"/>
    <s v="No"/>
    <n v="1"/>
    <n v="1"/>
    <n v="3000"/>
    <n v="0"/>
    <n v="1"/>
    <n v="1"/>
    <n v="176"/>
    <n v="1"/>
    <n v="176"/>
    <n v="1"/>
    <n v="176"/>
    <x v="0"/>
    <n v="0"/>
    <n v="0"/>
    <n v="0"/>
    <n v="28"/>
    <n v="0"/>
    <n v="1"/>
    <n v="176"/>
    <m/>
    <n v="10"/>
    <n v="0"/>
    <n v="10"/>
    <x v="0"/>
    <n v="1"/>
    <n v="176"/>
    <n v="0"/>
    <n v="0"/>
    <n v="1"/>
    <n v="176"/>
    <n v="0"/>
    <n v="1"/>
    <n v="176"/>
    <n v="0"/>
    <n v="2"/>
    <s v="Separate, clearly perceived"/>
    <n v="1"/>
    <n v="176"/>
    <n v="0"/>
    <n v="1"/>
    <n v="176"/>
    <n v="3"/>
    <n v="1"/>
    <n v="0"/>
    <n v="1"/>
    <m/>
    <d v="2014-05-22T00:00:00"/>
    <s v="To be realised"/>
    <n v="28"/>
    <n v="2"/>
    <n v="28"/>
    <n v="0"/>
    <n v="0"/>
    <x v="7"/>
    <m/>
    <n v="1"/>
    <n v="176"/>
    <n v="0"/>
    <s v="No coverage"/>
    <n v="0"/>
    <x v="1"/>
    <m/>
  </r>
  <r>
    <x v="6"/>
    <s v="MMR001CMP006"/>
    <x v="5"/>
    <x v="49"/>
    <n v="97.399628000000007"/>
    <n v="25.412313000000001"/>
    <x v="0"/>
    <x v="0"/>
    <n v="100"/>
    <n v="400"/>
    <n v="400"/>
    <x v="0"/>
    <s v="CIDA/ADRA"/>
    <s v="KBC"/>
    <x v="1"/>
    <x v="0"/>
    <d v="2016-02-29T00:00:00"/>
    <s v="Focal NGO"/>
    <x v="0"/>
    <n v="0"/>
    <n v="0"/>
    <s v="No"/>
    <n v="2"/>
    <n v="1"/>
    <n v="3000"/>
    <n v="0"/>
    <n v="1"/>
    <n v="1"/>
    <n v="400"/>
    <n v="1"/>
    <n v="400"/>
    <n v="1"/>
    <n v="400"/>
    <x v="0"/>
    <n v="0"/>
    <n v="0"/>
    <n v="0"/>
    <n v="100"/>
    <n v="0"/>
    <n v="1"/>
    <n v="400"/>
    <m/>
    <n v="0"/>
    <n v="0"/>
    <n v="15"/>
    <x v="0"/>
    <n v="0.75"/>
    <n v="300"/>
    <n v="0"/>
    <n v="0"/>
    <n v="0.75"/>
    <n v="300"/>
    <n v="0"/>
    <n v="0.75"/>
    <n v="300"/>
    <n v="5"/>
    <n v="2"/>
    <s v="Not separated yet"/>
    <n v="0.5"/>
    <n v="200"/>
    <n v="2"/>
    <n v="0.51"/>
    <n v="204"/>
    <n v="12"/>
    <n v="1"/>
    <n v="0"/>
    <n v="1"/>
    <s v="land limited to construct more latrines"/>
    <d v="2015-02-18T00:00:00"/>
    <d v="2016-02-18T00:00:00"/>
    <n v="100"/>
    <n v="4"/>
    <n v="0"/>
    <n v="1"/>
    <n v="400"/>
    <x v="0"/>
    <m/>
    <n v="0.8"/>
    <n v="320"/>
    <n v="2"/>
    <s v="Excellent coverage"/>
    <n v="0"/>
    <x v="1"/>
    <m/>
  </r>
  <r>
    <x v="6"/>
    <s v="MMR001CMP007"/>
    <x v="5"/>
    <x v="50"/>
    <n v="97.418004999999994"/>
    <n v="25.423817"/>
    <x v="0"/>
    <x v="0"/>
    <n v="40"/>
    <n v="282"/>
    <n v="282"/>
    <x v="1"/>
    <s v="AusAid/OXFAM"/>
    <s v="Shalom"/>
    <x v="0"/>
    <x v="0"/>
    <d v="2015-07-31T00:00:00"/>
    <s v="Focal NGO"/>
    <x v="0"/>
    <n v="0"/>
    <n v="0"/>
    <s v="No"/>
    <n v="2"/>
    <n v="0"/>
    <n v="0"/>
    <n v="0"/>
    <n v="0"/>
    <n v="1"/>
    <n v="282"/>
    <n v="1"/>
    <n v="282"/>
    <n v="1"/>
    <n v="282"/>
    <x v="0"/>
    <n v="0"/>
    <n v="0"/>
    <n v="0"/>
    <n v="0"/>
    <n v="0"/>
    <n v="1"/>
    <n v="282"/>
    <m/>
    <n v="0"/>
    <n v="0"/>
    <n v="5"/>
    <x v="0"/>
    <n v="0.3546099290780142"/>
    <n v="100"/>
    <n v="0"/>
    <n v="0"/>
    <n v="0.3546099290780142"/>
    <n v="100"/>
    <n v="0"/>
    <n v="1"/>
    <n v="282"/>
    <n v="9.1"/>
    <n v="2"/>
    <s v="Separate, clearly perceived"/>
    <n v="0.70921985815602839"/>
    <n v="200"/>
    <n v="0.81999999999999984"/>
    <n v="1"/>
    <n v="282"/>
    <n v="2"/>
    <n v="0.70921985815602839"/>
    <n v="0.81999999999999984"/>
    <n v="1"/>
    <m/>
    <d v="2015-02-13T00:00:00"/>
    <d v="2016-02-13T00:00:00"/>
    <n v="40"/>
    <n v="5"/>
    <n v="0"/>
    <n v="1"/>
    <n v="282"/>
    <x v="0"/>
    <m/>
    <n v="1"/>
    <n v="282"/>
    <n v="2"/>
    <s v="Excellent coverage"/>
    <n v="0"/>
    <x v="0"/>
    <m/>
  </r>
  <r>
    <x v="6"/>
    <s v="MMR001CMP009"/>
    <x v="5"/>
    <x v="51"/>
    <n v="97.419403000000003"/>
    <n v="25.440928"/>
    <x v="0"/>
    <x v="0"/>
    <n v="83"/>
    <n v="425"/>
    <n v="425"/>
    <x v="0"/>
    <s v="CIDA/ADRA"/>
    <s v="KBC"/>
    <x v="1"/>
    <x v="0"/>
    <d v="2016-02-29T00:00:00"/>
    <s v="Focal NGO"/>
    <x v="0"/>
    <n v="0"/>
    <n v="0"/>
    <s v="No"/>
    <n v="2"/>
    <n v="0"/>
    <n v="2000"/>
    <n v="0"/>
    <n v="1"/>
    <n v="1"/>
    <n v="425"/>
    <n v="1"/>
    <n v="425"/>
    <n v="1"/>
    <n v="425"/>
    <x v="0"/>
    <n v="0"/>
    <n v="0"/>
    <n v="0"/>
    <n v="83"/>
    <n v="0"/>
    <n v="1"/>
    <n v="425"/>
    <m/>
    <n v="0"/>
    <n v="0"/>
    <n v="16"/>
    <x v="0"/>
    <n v="0.75294117647058822"/>
    <n v="320"/>
    <n v="0"/>
    <n v="0"/>
    <n v="0.75294117647058822"/>
    <n v="320"/>
    <n v="0"/>
    <n v="0.76"/>
    <n v="323"/>
    <n v="5.25"/>
    <n v="1"/>
    <s v="Not separated yet"/>
    <n v="0.23529411764705882"/>
    <n v="100"/>
    <n v="3.25"/>
    <n v="0.24"/>
    <n v="102"/>
    <n v="6"/>
    <n v="1"/>
    <n v="0"/>
    <n v="1"/>
    <s v="Land limited to construct more latrines, water pipe line need to renovate for 1 bathing space"/>
    <d v="2015-02-18T00:00:00"/>
    <d v="2016-02-18T00:00:00"/>
    <n v="83"/>
    <n v="4"/>
    <n v="0"/>
    <n v="1"/>
    <n v="425"/>
    <x v="0"/>
    <m/>
    <n v="0.8"/>
    <n v="340"/>
    <n v="1"/>
    <s v="Excellent coverage"/>
    <n v="0"/>
    <x v="1"/>
    <m/>
  </r>
  <r>
    <x v="6"/>
    <s v="MMR001CMP001"/>
    <x v="5"/>
    <x v="52"/>
    <n v="97.386718999999999"/>
    <n v="25.415482000000001"/>
    <x v="0"/>
    <x v="0"/>
    <n v="87"/>
    <n v="258"/>
    <n v="258"/>
    <x v="0"/>
    <s v="CIDA/ADRA"/>
    <s v="KBC"/>
    <x v="1"/>
    <x v="0"/>
    <d v="2016-02-29T00:00:00"/>
    <s v="Focal NGO"/>
    <x v="0"/>
    <n v="0"/>
    <n v="0"/>
    <s v="No"/>
    <n v="0"/>
    <n v="3"/>
    <n v="1000"/>
    <n v="0"/>
    <n v="1"/>
    <n v="1"/>
    <n v="258"/>
    <n v="1"/>
    <n v="258"/>
    <n v="1"/>
    <n v="258"/>
    <x v="0"/>
    <n v="0"/>
    <n v="0"/>
    <n v="0"/>
    <n v="87"/>
    <n v="0"/>
    <n v="1"/>
    <n v="258"/>
    <m/>
    <n v="0"/>
    <n v="0"/>
    <n v="10"/>
    <x v="1"/>
    <n v="0.77519379844961245"/>
    <n v="200"/>
    <n v="0"/>
    <n v="0"/>
    <n v="0.77519379844961245"/>
    <n v="200"/>
    <n v="0"/>
    <n v="0.78"/>
    <n v="201.24"/>
    <n v="2.9000000000000004"/>
    <n v="2"/>
    <s v="Separate, but not clearly perceived"/>
    <n v="0.77519379844961245"/>
    <n v="200"/>
    <n v="0.58000000000000007"/>
    <n v="0.78"/>
    <n v="201.24"/>
    <n v="1"/>
    <n v="0.38759689922480622"/>
    <n v="1.58"/>
    <n v="0.39"/>
    <s v="have limited to construct more sanitation facilities. "/>
    <d v="2015-02-18T00:00:00"/>
    <d v="2016-02-18T00:00:00"/>
    <n v="87"/>
    <n v="4"/>
    <n v="0"/>
    <n v="1"/>
    <n v="258"/>
    <x v="0"/>
    <m/>
    <n v="0.8"/>
    <n v="206.4"/>
    <n v="1"/>
    <s v="Excellent coverage"/>
    <n v="0"/>
    <x v="1"/>
    <m/>
  </r>
  <r>
    <x v="6"/>
    <s v="MMR001CMP023"/>
    <x v="5"/>
    <x v="53"/>
    <n v="97.387370000000004"/>
    <n v="25.42595"/>
    <x v="0"/>
    <x v="0"/>
    <n v="34"/>
    <n v="176"/>
    <n v="176"/>
    <x v="1"/>
    <s v="AusAid/OXFAM"/>
    <s v="Shalom"/>
    <x v="0"/>
    <x v="0"/>
    <d v="2015-07-31T00:00:00"/>
    <s v="Focal NGO"/>
    <x v="0"/>
    <n v="0"/>
    <n v="15840"/>
    <s v="Yes"/>
    <n v="1"/>
    <n v="2"/>
    <n v="0"/>
    <n v="0"/>
    <n v="0"/>
    <n v="1"/>
    <n v="176"/>
    <n v="1"/>
    <n v="176"/>
    <n v="1"/>
    <n v="176"/>
    <x v="0"/>
    <n v="0"/>
    <n v="0"/>
    <n v="0"/>
    <n v="0"/>
    <n v="0"/>
    <n v="1"/>
    <n v="176"/>
    <m/>
    <n v="0"/>
    <n v="2"/>
    <n v="8"/>
    <x v="0"/>
    <n v="1"/>
    <n v="176"/>
    <n v="9.0909090909090939E-2"/>
    <n v="16.000000000000007"/>
    <n v="0.90909090909090906"/>
    <n v="160"/>
    <n v="0"/>
    <n v="1"/>
    <n v="176"/>
    <n v="0.80000000000000071"/>
    <n v="2"/>
    <s v="Not separated yet"/>
    <n v="1"/>
    <n v="176"/>
    <n v="0"/>
    <n v="1"/>
    <n v="176"/>
    <n v="2"/>
    <n v="1"/>
    <n v="0"/>
    <n v="1"/>
    <m/>
    <d v="2015-02-13T00:00:00"/>
    <d v="2016-02-13T00:00:00"/>
    <n v="34"/>
    <n v="5"/>
    <n v="0"/>
    <n v="1"/>
    <n v="176"/>
    <x v="0"/>
    <m/>
    <n v="1"/>
    <n v="176"/>
    <n v="1"/>
    <s v="Excellent coverage"/>
    <n v="0"/>
    <x v="0"/>
    <m/>
  </r>
  <r>
    <x v="6"/>
    <s v="MMR001CMP023"/>
    <x v="5"/>
    <x v="54"/>
    <n v="97.388400000000004"/>
    <n v="25.40982"/>
    <x v="0"/>
    <x v="0"/>
    <n v="35"/>
    <n v="160"/>
    <n v="160"/>
    <x v="1"/>
    <s v="AusAid/OXFAM"/>
    <s v="Shalom"/>
    <x v="0"/>
    <x v="0"/>
    <d v="2015-07-31T00:00:00"/>
    <s v="Focal NGO"/>
    <x v="0"/>
    <n v="0"/>
    <n v="14400"/>
    <s v="Yes"/>
    <n v="1"/>
    <n v="2"/>
    <n v="2000"/>
    <n v="0"/>
    <n v="0"/>
    <n v="1"/>
    <n v="160"/>
    <n v="1"/>
    <n v="160"/>
    <n v="1"/>
    <n v="160"/>
    <x v="0"/>
    <n v="0"/>
    <n v="0"/>
    <n v="0"/>
    <n v="0"/>
    <n v="0"/>
    <n v="1"/>
    <n v="160"/>
    <m/>
    <n v="16"/>
    <n v="3"/>
    <n v="6"/>
    <x v="0"/>
    <n v="1"/>
    <n v="160"/>
    <n v="0.25"/>
    <n v="40"/>
    <n v="0.75"/>
    <n v="120"/>
    <n v="0"/>
    <n v="1"/>
    <n v="160"/>
    <n v="2"/>
    <n v="2"/>
    <s v="Separate, clearly perceived"/>
    <n v="1"/>
    <n v="160"/>
    <n v="0"/>
    <n v="1"/>
    <n v="160"/>
    <n v="6"/>
    <n v="1"/>
    <n v="0"/>
    <n v="1"/>
    <m/>
    <d v="2015-02-13T00:00:00"/>
    <d v="2016-02-13T00:00:00"/>
    <n v="35"/>
    <n v="5"/>
    <n v="0"/>
    <n v="1"/>
    <n v="160"/>
    <x v="0"/>
    <m/>
    <n v="1"/>
    <n v="160"/>
    <n v="1"/>
    <s v="Excellent coverage"/>
    <n v="0"/>
    <x v="0"/>
    <m/>
  </r>
  <r>
    <x v="6"/>
    <s v="MMR001CMP004"/>
    <x v="5"/>
    <x v="55"/>
    <n v="97.379272"/>
    <n v="25.401074999999999"/>
    <x v="0"/>
    <x v="0"/>
    <n v="7"/>
    <n v="40"/>
    <n v="40"/>
    <x v="1"/>
    <s v="AusAid/OXFAM"/>
    <s v="Shalom"/>
    <x v="0"/>
    <x v="0"/>
    <d v="2015-07-31T00:00:00"/>
    <s v="Focal NGO"/>
    <x v="0"/>
    <n v="0"/>
    <n v="0"/>
    <s v="No"/>
    <n v="0"/>
    <n v="1"/>
    <n v="3600"/>
    <n v="0"/>
    <n v="0"/>
    <n v="1"/>
    <n v="40"/>
    <n v="1"/>
    <n v="40"/>
    <n v="1"/>
    <n v="40"/>
    <x v="0"/>
    <n v="0"/>
    <n v="0"/>
    <n v="0"/>
    <n v="0"/>
    <n v="0"/>
    <n v="1"/>
    <n v="40"/>
    <m/>
    <n v="0"/>
    <n v="0"/>
    <n v="2"/>
    <x v="0"/>
    <n v="1"/>
    <n v="40"/>
    <n v="0"/>
    <n v="0"/>
    <n v="1"/>
    <n v="40"/>
    <n v="0"/>
    <n v="1"/>
    <n v="40"/>
    <n v="0"/>
    <n v="1"/>
    <s v="Separate, clearly perceived"/>
    <n v="1"/>
    <n v="40"/>
    <n v="0"/>
    <n v="1"/>
    <n v="40"/>
    <n v="3"/>
    <n v="1"/>
    <n v="0"/>
    <n v="1"/>
    <m/>
    <d v="2015-02-13T00:00:00"/>
    <d v="2016-02-13T00:00:00"/>
    <n v="7"/>
    <n v="5"/>
    <n v="0"/>
    <n v="1"/>
    <n v="40"/>
    <x v="0"/>
    <m/>
    <n v="1"/>
    <n v="40"/>
    <n v="2"/>
    <s v="Excellent coverage"/>
    <n v="1"/>
    <x v="0"/>
    <s v="temporary incinerator have implemented as pilot by Oxfam but it was not functioning now"/>
  </r>
  <r>
    <x v="6"/>
    <s v="MMR001CMP003"/>
    <x v="5"/>
    <x v="56"/>
    <n v="97.377662999999998"/>
    <n v="25.404752999999999"/>
    <x v="0"/>
    <x v="0"/>
    <n v="31"/>
    <n v="131"/>
    <n v="131"/>
    <x v="1"/>
    <s v="CIDA/ADRA"/>
    <s v="KBC"/>
    <x v="1"/>
    <x v="0"/>
    <d v="2016-02-29T00:00:00"/>
    <s v="Focal NGO"/>
    <x v="0"/>
    <n v="0"/>
    <n v="0"/>
    <s v="No"/>
    <n v="0"/>
    <n v="2"/>
    <n v="2000"/>
    <n v="0"/>
    <n v="1"/>
    <n v="1"/>
    <n v="131"/>
    <n v="1"/>
    <n v="131"/>
    <n v="1"/>
    <n v="131"/>
    <x v="0"/>
    <n v="0"/>
    <n v="0"/>
    <n v="0"/>
    <n v="31"/>
    <n v="0"/>
    <n v="1"/>
    <n v="131"/>
    <m/>
    <n v="0"/>
    <n v="0"/>
    <n v="7"/>
    <x v="1"/>
    <n v="1"/>
    <n v="131"/>
    <n v="0"/>
    <n v="0"/>
    <n v="1"/>
    <n v="131"/>
    <n v="0"/>
    <n v="1"/>
    <n v="131"/>
    <n v="0"/>
    <n v="2"/>
    <s v="Not separated yet"/>
    <n v="1"/>
    <n v="131"/>
    <n v="0"/>
    <n v="1"/>
    <n v="131"/>
    <n v="4"/>
    <n v="1"/>
    <n v="0"/>
    <n v="1"/>
    <m/>
    <d v="2015-02-18T00:00:00"/>
    <d v="2016-02-18T00:00:00"/>
    <n v="31"/>
    <n v="4"/>
    <n v="0"/>
    <n v="1"/>
    <n v="131"/>
    <x v="0"/>
    <m/>
    <n v="0.8"/>
    <n v="104.80000000000001"/>
    <n v="1"/>
    <s v="Excellent coverage"/>
    <n v="1"/>
    <x v="1"/>
    <s v="temporary  incinerator not functioning"/>
  </r>
  <r>
    <x v="6"/>
    <s v="MMR001CMP005"/>
    <x v="5"/>
    <x v="57"/>
    <n v="97.382192000000003"/>
    <n v="25.404015000000001"/>
    <x v="0"/>
    <x v="0"/>
    <n v="33"/>
    <n v="120"/>
    <n v="120"/>
    <x v="1"/>
    <s v="CIDA/ADRA"/>
    <s v="KBC"/>
    <x v="1"/>
    <x v="0"/>
    <d v="2016-02-29T00:00:00"/>
    <s v="Focal NGO"/>
    <x v="0"/>
    <n v="0"/>
    <n v="0"/>
    <s v="No"/>
    <n v="0"/>
    <n v="2"/>
    <n v="0"/>
    <n v="0"/>
    <n v="1"/>
    <n v="1"/>
    <n v="120"/>
    <n v="1"/>
    <n v="120"/>
    <n v="1"/>
    <n v="120"/>
    <x v="0"/>
    <n v="0"/>
    <n v="0"/>
    <n v="0"/>
    <n v="33"/>
    <n v="0"/>
    <n v="1"/>
    <n v="120"/>
    <m/>
    <n v="0"/>
    <n v="0"/>
    <n v="8"/>
    <x v="0"/>
    <n v="1"/>
    <n v="120"/>
    <n v="0"/>
    <n v="0"/>
    <n v="1"/>
    <n v="120"/>
    <n v="0"/>
    <n v="1"/>
    <n v="120"/>
    <n v="0"/>
    <n v="1"/>
    <s v="Not separated yet"/>
    <n v="0.83333333333333337"/>
    <n v="100"/>
    <n v="0.19999999999999996"/>
    <n v="0.83"/>
    <n v="99.6"/>
    <n v="5"/>
    <n v="1"/>
    <n v="0"/>
    <n v="1"/>
    <s v="land limited for new sanitation facitlies, and also Church committee have a plan to relocate some people from this camp to another place. "/>
    <d v="2015-02-18T00:00:00"/>
    <d v="2016-02-18T00:00:00"/>
    <n v="33"/>
    <n v="4"/>
    <n v="0"/>
    <n v="1"/>
    <n v="120"/>
    <x v="0"/>
    <m/>
    <n v="0.8"/>
    <n v="96"/>
    <n v="1"/>
    <s v="Excellent coverage"/>
    <n v="0"/>
    <x v="1"/>
    <m/>
  </r>
  <r>
    <x v="6"/>
    <s v="MMR001CMP022"/>
    <x v="5"/>
    <x v="58"/>
    <n v="97.403407999999999"/>
    <n v="25.377545999999999"/>
    <x v="0"/>
    <x v="0"/>
    <n v="6"/>
    <n v="36"/>
    <n v="36"/>
    <x v="1"/>
    <s v="AusAid/OXFAM"/>
    <s v="Shalom"/>
    <x v="0"/>
    <x v="0"/>
    <d v="2015-07-31T00:00:00"/>
    <s v="Focal NGO"/>
    <x v="0"/>
    <n v="0"/>
    <n v="0"/>
    <s v="No"/>
    <n v="0"/>
    <n v="0"/>
    <n v="7200"/>
    <n v="0"/>
    <n v="0"/>
    <n v="1"/>
    <n v="36"/>
    <n v="1"/>
    <n v="36"/>
    <n v="1"/>
    <n v="36"/>
    <x v="0"/>
    <n v="0"/>
    <n v="0"/>
    <n v="0.09"/>
    <n v="0"/>
    <n v="0"/>
    <n v="1"/>
    <n v="36"/>
    <m/>
    <n v="0"/>
    <n v="0"/>
    <n v="6"/>
    <x v="0"/>
    <n v="1"/>
    <n v="36"/>
    <n v="0"/>
    <n v="0"/>
    <n v="1"/>
    <n v="36"/>
    <n v="0"/>
    <n v="1"/>
    <n v="36"/>
    <n v="0"/>
    <n v="1"/>
    <s v="Latrine shared by families , not separated"/>
    <n v="1"/>
    <n v="36"/>
    <n v="0"/>
    <n v="1"/>
    <n v="36"/>
    <n v="2"/>
    <n v="1"/>
    <n v="0"/>
    <n v="1"/>
    <m/>
    <d v="2015-02-13T00:00:00"/>
    <d v="2016-02-13T00:00:00"/>
    <n v="6"/>
    <n v="5"/>
    <n v="0"/>
    <n v="1"/>
    <n v="36"/>
    <x v="0"/>
    <m/>
    <n v="1"/>
    <n v="36"/>
    <n v="2"/>
    <s v="Excellent coverage"/>
    <n v="0"/>
    <x v="0"/>
    <m/>
  </r>
  <r>
    <x v="7"/>
    <s v="MMR001CMP075"/>
    <x v="0"/>
    <x v="59"/>
    <n v="97.418279999999996"/>
    <n v="27.310880000000001"/>
    <x v="1"/>
    <x v="0"/>
    <n v="14"/>
    <n v="64"/>
    <n v="64"/>
    <x v="1"/>
    <m/>
    <m/>
    <x v="3"/>
    <x v="1"/>
    <s v="Gap"/>
    <s v="WASH cluster"/>
    <x v="0"/>
    <n v="0"/>
    <n v="0"/>
    <s v="No"/>
    <n v="1"/>
    <n v="0"/>
    <n v="0"/>
    <n v="0"/>
    <n v="0"/>
    <n v="1"/>
    <n v="64"/>
    <n v="1"/>
    <n v="64"/>
    <n v="1"/>
    <n v="64"/>
    <x v="0"/>
    <n v="0"/>
    <n v="0"/>
    <n v="0"/>
    <n v="0"/>
    <n v="0"/>
    <n v="1"/>
    <n v="64"/>
    <m/>
    <n v="14"/>
    <n v="14"/>
    <n v="0"/>
    <x v="2"/>
    <n v="1"/>
    <n v="64"/>
    <n v="1"/>
    <n v="64"/>
    <n v="0"/>
    <n v="0"/>
    <n v="0"/>
    <n v="1"/>
    <n v="64"/>
    <n v="3.2"/>
    <n v="0"/>
    <s v="Not separated yet"/>
    <n v="0"/>
    <n v="0"/>
    <n v="0.64"/>
    <n v="0"/>
    <n v="0"/>
    <n v="0"/>
    <n v="0"/>
    <n v="0.64"/>
    <n v="0"/>
    <m/>
    <m/>
    <s v="To be realised"/>
    <n v="0"/>
    <n v="0"/>
    <n v="14"/>
    <n v="0"/>
    <n v="0"/>
    <x v="4"/>
    <m/>
    <n v="0"/>
    <n v="0"/>
    <n v="0"/>
    <s v="No coverage"/>
    <n v="0"/>
    <x v="2"/>
    <m/>
  </r>
  <r>
    <x v="7"/>
    <s v="MMR001CMP234"/>
    <x v="0"/>
    <x v="60"/>
    <m/>
    <m/>
    <x v="0"/>
    <x v="0"/>
    <n v="27"/>
    <n v="82"/>
    <n v="82"/>
    <x v="1"/>
    <s v="CIDA/ADRA"/>
    <s v="KBC"/>
    <x v="1"/>
    <x v="0"/>
    <d v="2016-02-29T00:00:00"/>
    <s v="Focal NGO"/>
    <x v="0"/>
    <n v="0"/>
    <n v="0"/>
    <s v="No"/>
    <n v="1"/>
    <n v="0"/>
    <n v="0"/>
    <n v="0"/>
    <n v="0"/>
    <n v="1"/>
    <n v="82"/>
    <n v="1"/>
    <n v="82"/>
    <n v="1"/>
    <n v="82"/>
    <x v="0"/>
    <n v="0"/>
    <n v="0"/>
    <n v="0"/>
    <n v="0"/>
    <n v="0"/>
    <n v="1"/>
    <n v="82"/>
    <m/>
    <n v="6"/>
    <n v="6"/>
    <n v="0"/>
    <x v="2"/>
    <n v="1"/>
    <n v="82"/>
    <n v="1"/>
    <n v="82"/>
    <n v="0"/>
    <n v="0"/>
    <n v="0"/>
    <n v="1"/>
    <n v="82"/>
    <n v="4.0999999999999996"/>
    <n v="0"/>
    <s v="Separate, clearly perceived"/>
    <n v="0"/>
    <n v="0"/>
    <n v="0.82"/>
    <n v="0"/>
    <n v="0"/>
    <n v="0"/>
    <n v="0"/>
    <n v="0.82"/>
    <n v="0"/>
    <m/>
    <d v="2015-05-05T00:00:00"/>
    <d v="2016-05-04T00:00:00"/>
    <n v="27"/>
    <n v="4"/>
    <n v="0"/>
    <n v="1"/>
    <n v="82"/>
    <x v="0"/>
    <m/>
    <n v="0"/>
    <n v="0"/>
    <n v="0"/>
    <s v="No coverage"/>
    <n v="0"/>
    <x v="2"/>
    <m/>
  </r>
  <r>
    <x v="8"/>
    <s v="MMR001CMP113"/>
    <x v="4"/>
    <x v="61"/>
    <n v="97.915833000000006"/>
    <n v="25.220278"/>
    <x v="0"/>
    <x v="1"/>
    <n v="133"/>
    <n v="645"/>
    <n v="645"/>
    <x v="0"/>
    <s v="Trocaires"/>
    <s v="IRRC"/>
    <x v="2"/>
    <x v="0"/>
    <d v="2015-12-31T00:00:00"/>
    <s v="Focal NGO"/>
    <x v="0"/>
    <n v="0"/>
    <n v="0"/>
    <s v="No"/>
    <n v="0"/>
    <n v="0"/>
    <n v="15000"/>
    <n v="0"/>
    <n v="1"/>
    <n v="1"/>
    <n v="645"/>
    <n v="1"/>
    <n v="645"/>
    <n v="1"/>
    <n v="645"/>
    <x v="0"/>
    <n v="0"/>
    <n v="0"/>
    <n v="1.6125"/>
    <n v="133"/>
    <n v="0"/>
    <n v="1"/>
    <n v="645"/>
    <m/>
    <n v="115"/>
    <n v="95"/>
    <n v="8"/>
    <x v="0"/>
    <n v="1"/>
    <n v="645"/>
    <n v="0.75193798449612403"/>
    <n v="485"/>
    <n v="0.24806201550387597"/>
    <n v="160"/>
    <n v="0"/>
    <n v="1"/>
    <n v="645"/>
    <n v="24.25"/>
    <n v="1"/>
    <s v="Separate, clearly perceived"/>
    <n v="0.15503875968992248"/>
    <n v="100"/>
    <n v="5.45"/>
    <n v="0.16"/>
    <n v="103.2"/>
    <n v="4"/>
    <n v="0.62015503875968991"/>
    <n v="2.4500000000000002"/>
    <n v="0.62"/>
    <s v="hard to implement due to rocky, logistic issues"/>
    <d v="2015-04-28T00:00:00"/>
    <d v="2016-04-27T00:00:00"/>
    <n v="133"/>
    <n v="3"/>
    <n v="0"/>
    <n v="1"/>
    <n v="645"/>
    <x v="0"/>
    <m/>
    <n v="0"/>
    <n v="0"/>
    <n v="0"/>
    <s v="No coverage"/>
    <n v="0"/>
    <x v="1"/>
    <m/>
  </r>
  <r>
    <x v="8"/>
    <s v="MMR001CMP028"/>
    <x v="5"/>
    <x v="62"/>
    <n v="97.408302000000006"/>
    <n v="25.324567999999999"/>
    <x v="0"/>
    <x v="0"/>
    <n v="110"/>
    <n v="506"/>
    <n v="506"/>
    <x v="0"/>
    <s v="AusAid/OXFAM"/>
    <s v="Shalom"/>
    <x v="0"/>
    <x v="0"/>
    <d v="2015-07-31T00:00:00"/>
    <s v="Focal NGO"/>
    <x v="0"/>
    <n v="0"/>
    <n v="0"/>
    <s v="No"/>
    <n v="3"/>
    <n v="1"/>
    <n v="3600"/>
    <n v="0"/>
    <n v="0"/>
    <n v="1"/>
    <n v="506"/>
    <n v="1"/>
    <n v="506"/>
    <n v="1"/>
    <n v="506"/>
    <x v="0"/>
    <n v="0"/>
    <n v="0"/>
    <n v="0"/>
    <n v="0"/>
    <n v="0"/>
    <n v="1"/>
    <n v="506"/>
    <m/>
    <n v="2"/>
    <n v="2"/>
    <n v="26"/>
    <x v="0"/>
    <n v="1"/>
    <n v="506"/>
    <n v="0"/>
    <n v="0"/>
    <n v="1"/>
    <n v="506"/>
    <n v="0"/>
    <n v="1"/>
    <n v="506"/>
    <n v="0"/>
    <n v="4"/>
    <s v="Separate, clearly perceived"/>
    <n v="0.79051383399209485"/>
    <n v="400"/>
    <n v="1.0599999999999996"/>
    <n v="0.79"/>
    <n v="399.74"/>
    <n v="15"/>
    <n v="1"/>
    <n v="0"/>
    <n v="1"/>
    <m/>
    <d v="2015-02-13T00:00:00"/>
    <d v="2016-02-13T00:00:00"/>
    <n v="110"/>
    <n v="5"/>
    <n v="0"/>
    <n v="1"/>
    <n v="506"/>
    <x v="0"/>
    <m/>
    <n v="1"/>
    <n v="506"/>
    <n v="2"/>
    <s v="Excellent coverage"/>
    <n v="0"/>
    <x v="0"/>
    <m/>
  </r>
  <r>
    <x v="8"/>
    <s v="MMR001CMP115"/>
    <x v="4"/>
    <x v="63"/>
    <n v="97.807182999999995"/>
    <n v="25.200333000000001"/>
    <x v="0"/>
    <x v="1"/>
    <n v="170"/>
    <n v="1156"/>
    <n v="1156"/>
    <x v="0"/>
    <s v="CIDA/ADRA"/>
    <s v="KBC"/>
    <x v="1"/>
    <x v="0"/>
    <d v="2016-02-29T00:00:00"/>
    <s v="Focal NGO"/>
    <x v="0"/>
    <n v="0"/>
    <n v="0"/>
    <s v="No"/>
    <n v="0"/>
    <n v="0"/>
    <n v="30000"/>
    <n v="0"/>
    <n v="0"/>
    <n v="1"/>
    <n v="1156"/>
    <n v="1"/>
    <n v="1156"/>
    <n v="1"/>
    <n v="1156"/>
    <x v="0"/>
    <n v="0"/>
    <n v="0"/>
    <n v="2.89"/>
    <n v="0"/>
    <n v="0"/>
    <n v="1"/>
    <n v="1156"/>
    <m/>
    <n v="70"/>
    <n v="70"/>
    <n v="0"/>
    <x v="0"/>
    <n v="1"/>
    <n v="1156"/>
    <n v="1"/>
    <n v="1156"/>
    <n v="0"/>
    <n v="0"/>
    <n v="0"/>
    <n v="1"/>
    <n v="1156"/>
    <n v="57.8"/>
    <n v="3"/>
    <s v="Separate, clearly perceived"/>
    <n v="0.25951557093425603"/>
    <n v="300"/>
    <n v="8.56"/>
    <n v="0.26"/>
    <n v="300.56"/>
    <n v="2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70"/>
    <n v="4"/>
    <n v="0"/>
    <n v="1"/>
    <n v="1156"/>
    <x v="0"/>
    <m/>
    <n v="0.8"/>
    <n v="924.80000000000007"/>
    <n v="3"/>
    <s v="Excellent coverage"/>
    <n v="0"/>
    <x v="1"/>
    <m/>
  </r>
  <r>
    <x v="8"/>
    <s v="MMR001CMP027"/>
    <x v="5"/>
    <x v="64"/>
    <n v="97.451965000000001"/>
    <n v="25.356632000000001"/>
    <x v="0"/>
    <x v="0"/>
    <n v="21"/>
    <n v="109"/>
    <n v="109"/>
    <x v="1"/>
    <s v="CIDA/ADRA"/>
    <s v="Shalom"/>
    <x v="1"/>
    <x v="0"/>
    <d v="2016-02-29T00:00:00"/>
    <s v="Focal NGO"/>
    <x v="0"/>
    <n v="0"/>
    <n v="0"/>
    <s v="No"/>
    <n v="1"/>
    <n v="0"/>
    <n v="2000"/>
    <n v="0"/>
    <n v="1"/>
    <n v="1"/>
    <n v="109"/>
    <n v="1"/>
    <n v="109"/>
    <n v="1"/>
    <n v="109"/>
    <x v="0"/>
    <n v="0"/>
    <n v="0"/>
    <n v="0"/>
    <n v="21"/>
    <n v="0"/>
    <n v="1"/>
    <n v="109"/>
    <m/>
    <n v="0"/>
    <n v="0"/>
    <n v="6"/>
    <x v="0"/>
    <n v="1"/>
    <n v="109"/>
    <n v="0"/>
    <n v="0"/>
    <n v="1"/>
    <n v="109"/>
    <n v="0"/>
    <n v="1"/>
    <n v="109"/>
    <n v="0"/>
    <n v="1"/>
    <s v="Not separated yet"/>
    <n v="0.91743119266055051"/>
    <n v="100"/>
    <n v="9.000000000000008E-2"/>
    <n v="0.92"/>
    <n v="100.28"/>
    <n v="3"/>
    <n v="1"/>
    <n v="0"/>
    <n v="1"/>
    <m/>
    <d v="2015-02-18T00:00:00"/>
    <d v="2016-02-18T00:00:00"/>
    <n v="21"/>
    <n v="4"/>
    <n v="0"/>
    <n v="1"/>
    <n v="109"/>
    <x v="0"/>
    <m/>
    <n v="1"/>
    <n v="109"/>
    <n v="1"/>
    <s v="Excellent coverage"/>
    <n v="1"/>
    <x v="1"/>
    <s v="temporary  incinerator not functioning"/>
  </r>
  <r>
    <x v="8"/>
    <s v="MMR001CMP119"/>
    <x v="4"/>
    <x v="65"/>
    <n v="97.715230000000005"/>
    <n v="24.980250000000002"/>
    <x v="0"/>
    <x v="1"/>
    <n v="645"/>
    <n v="2810"/>
    <n v="2810"/>
    <x v="3"/>
    <s v="CIDA/ADRA"/>
    <s v="IRRC"/>
    <x v="1"/>
    <x v="0"/>
    <d v="2016-02-29T00:00:00"/>
    <s v="Focal NGO"/>
    <x v="0"/>
    <n v="0"/>
    <n v="0"/>
    <s v="No"/>
    <n v="0"/>
    <n v="0"/>
    <n v="45000"/>
    <n v="0"/>
    <n v="0"/>
    <n v="1"/>
    <n v="2810"/>
    <n v="1"/>
    <n v="2810"/>
    <n v="1"/>
    <n v="2810"/>
    <x v="0"/>
    <n v="0"/>
    <n v="0"/>
    <n v="7.0250000000000004"/>
    <n v="0"/>
    <n v="0"/>
    <n v="1"/>
    <n v="2810"/>
    <m/>
    <n v="190"/>
    <n v="229"/>
    <n v="0"/>
    <x v="0"/>
    <n v="1"/>
    <n v="2810"/>
    <n v="1"/>
    <n v="2810"/>
    <n v="0"/>
    <n v="0"/>
    <n v="0"/>
    <n v="1"/>
    <n v="2810"/>
    <n v="140.5"/>
    <n v="26"/>
    <s v="Separate, clearly perceived"/>
    <n v="0.92526690391459077"/>
    <n v="2600"/>
    <n v="2.1000000000000014"/>
    <n v="0.93"/>
    <n v="2613.3000000000002"/>
    <n v="51"/>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645"/>
    <n v="4"/>
    <n v="0"/>
    <n v="1"/>
    <n v="2810"/>
    <x v="0"/>
    <m/>
    <n v="1"/>
    <n v="2810"/>
    <n v="5"/>
    <s v="Good coverage"/>
    <n v="0"/>
    <x v="1"/>
    <m/>
  </r>
  <r>
    <x v="8"/>
    <s v="MMR001CMP031"/>
    <x v="5"/>
    <x v="66"/>
    <n v="97.435233999999994"/>
    <n v="25.425276"/>
    <x v="0"/>
    <x v="0"/>
    <n v="128"/>
    <n v="725"/>
    <n v="492"/>
    <x v="0"/>
    <s v="AusAid/OXFAM"/>
    <s v="Shalom"/>
    <x v="0"/>
    <x v="0"/>
    <d v="2015-07-31T00:00:00"/>
    <s v="Focal NGO"/>
    <x v="0"/>
    <n v="0"/>
    <n v="0"/>
    <s v="No"/>
    <n v="4"/>
    <n v="0"/>
    <n v="2500"/>
    <n v="0"/>
    <n v="0"/>
    <n v="1"/>
    <n v="492"/>
    <n v="1"/>
    <n v="492"/>
    <n v="1"/>
    <n v="492"/>
    <x v="0"/>
    <n v="0"/>
    <n v="0"/>
    <n v="0"/>
    <n v="0"/>
    <n v="0"/>
    <n v="1"/>
    <n v="492"/>
    <m/>
    <n v="4"/>
    <n v="4"/>
    <n v="20"/>
    <x v="0"/>
    <n v="0.97560975609756095"/>
    <n v="480"/>
    <n v="0.16260162601626016"/>
    <n v="80"/>
    <n v="0.81300813008130079"/>
    <n v="400"/>
    <n v="0"/>
    <n v="0.98"/>
    <n v="482.15999999999997"/>
    <n v="4.6000000000000014"/>
    <n v="6"/>
    <s v="Separate, clearly perceived"/>
    <n v="1"/>
    <n v="492"/>
    <n v="1.25"/>
    <n v="1"/>
    <n v="492"/>
    <n v="15"/>
    <n v="1"/>
    <n v="0"/>
    <n v="1"/>
    <m/>
    <d v="2015-02-13T00:00:00"/>
    <d v="2016-02-13T00:00:00"/>
    <n v="128"/>
    <n v="5"/>
    <n v="0"/>
    <n v="1"/>
    <n v="492"/>
    <x v="0"/>
    <m/>
    <n v="1"/>
    <n v="492"/>
    <n v="2"/>
    <s v="Excellent coverage"/>
    <n v="0"/>
    <x v="0"/>
    <m/>
  </r>
  <r>
    <x v="8"/>
    <s v="MMR001CMP029"/>
    <x v="5"/>
    <x v="67"/>
    <n v="97.438450000000003"/>
    <n v="25.415900000000001"/>
    <x v="0"/>
    <x v="0"/>
    <n v="238"/>
    <n v="1234"/>
    <n v="1234"/>
    <x v="0"/>
    <s v="Trocaires"/>
    <s v="KMSS"/>
    <x v="2"/>
    <x v="0"/>
    <d v="2015-12-31T00:00:00"/>
    <s v="Focal NGO"/>
    <x v="0"/>
    <n v="0"/>
    <n v="0"/>
    <s v="No"/>
    <n v="10"/>
    <n v="1"/>
    <n v="15000"/>
    <n v="0"/>
    <n v="1"/>
    <n v="1"/>
    <n v="1234"/>
    <n v="1"/>
    <n v="1234"/>
    <n v="1"/>
    <n v="1234"/>
    <x v="0"/>
    <n v="0"/>
    <n v="0"/>
    <n v="0"/>
    <n v="238"/>
    <n v="0"/>
    <n v="1"/>
    <n v="1234"/>
    <m/>
    <n v="78"/>
    <n v="32"/>
    <n v="16"/>
    <x v="0"/>
    <n v="0.77795786061588335"/>
    <n v="960"/>
    <n v="0.5186385737439223"/>
    <n v="640.00000000000011"/>
    <n v="0.2593192868719611"/>
    <n v="320"/>
    <n v="0"/>
    <n v="0.78"/>
    <n v="962.52"/>
    <n v="45.7"/>
    <n v="4"/>
    <s v="Separate, clearly perceived"/>
    <n v="0.32414910858995138"/>
    <n v="400"/>
    <n v="8.34"/>
    <n v="0.32"/>
    <n v="394.88"/>
    <n v="0"/>
    <n v="0"/>
    <n v="12.34"/>
    <n v="0"/>
    <s v="due to lack of running cost, the HWS facilities have not functioing/ 4 bathing space have constructed but all are not functioning currently/8-10 latrines closeed due to near shelter/need to renovate in some latrine "/>
    <d v="2014-05-22T00:00:00"/>
    <s v="To be realised"/>
    <n v="238"/>
    <n v="2"/>
    <n v="238"/>
    <n v="0"/>
    <n v="0"/>
    <x v="7"/>
    <m/>
    <n v="1"/>
    <n v="1234"/>
    <n v="0"/>
    <s v="No coverage"/>
    <n v="0"/>
    <x v="1"/>
    <m/>
  </r>
  <r>
    <x v="8"/>
    <s v="MMR001CMP040"/>
    <x v="5"/>
    <x v="68"/>
    <n v="97.437434999999994"/>
    <n v="25.411413"/>
    <x v="0"/>
    <x v="0"/>
    <n v="415"/>
    <n v="2077"/>
    <n v="2077"/>
    <x v="2"/>
    <s v="CIDA/ADRA"/>
    <s v="KBC"/>
    <x v="1"/>
    <x v="0"/>
    <d v="2016-02-29T00:00:00"/>
    <s v="Focal NGO"/>
    <x v="0"/>
    <n v="0"/>
    <n v="0"/>
    <s v="No"/>
    <n v="8"/>
    <n v="0"/>
    <n v="16800"/>
    <n v="0"/>
    <n v="1"/>
    <n v="1"/>
    <n v="2077"/>
    <n v="1"/>
    <n v="2077"/>
    <n v="1"/>
    <n v="2077"/>
    <x v="0"/>
    <n v="0"/>
    <n v="0"/>
    <n v="0"/>
    <n v="415"/>
    <n v="0"/>
    <n v="1"/>
    <n v="2077"/>
    <m/>
    <n v="0"/>
    <n v="0"/>
    <n v="132"/>
    <x v="0"/>
    <n v="1"/>
    <n v="2077"/>
    <n v="0"/>
    <n v="0"/>
    <n v="1"/>
    <n v="2077"/>
    <n v="4"/>
    <n v="1"/>
    <n v="2077"/>
    <n v="0"/>
    <n v="6"/>
    <s v="Separate, clearly perceived"/>
    <n v="0.28887818969667789"/>
    <n v="600"/>
    <n v="14.77"/>
    <n v="0.28999999999999998"/>
    <n v="602.32999999999993"/>
    <n v="45"/>
    <n v="1"/>
    <n v="0"/>
    <n v="1"/>
    <s v="due to IDPs used individual bathing spaces, no need to construct more. "/>
    <d v="2015-02-18T00:00:00"/>
    <d v="2016-02-18T00:00:00"/>
    <n v="415"/>
    <n v="4"/>
    <n v="0"/>
    <n v="1"/>
    <n v="2077"/>
    <x v="0"/>
    <m/>
    <n v="0.8"/>
    <n v="1661.6000000000001"/>
    <n v="4"/>
    <s v="Good coverage"/>
    <n v="6"/>
    <x v="1"/>
    <s v="6 temporary  incinerator was not functioning "/>
  </r>
  <r>
    <x v="8"/>
    <s v="MMR001CMP039"/>
    <x v="5"/>
    <x v="69"/>
    <n v="97.426297000000005"/>
    <n v="25.409566000000002"/>
    <x v="0"/>
    <x v="0"/>
    <n v="44"/>
    <n v="187"/>
    <n v="187"/>
    <x v="1"/>
    <s v="CIDA/ADRA"/>
    <s v="KBC"/>
    <x v="1"/>
    <x v="0"/>
    <d v="2016-02-29T00:00:00"/>
    <s v="Focal NGO"/>
    <x v="0"/>
    <n v="0"/>
    <n v="0"/>
    <s v="No"/>
    <n v="2"/>
    <n v="0"/>
    <n v="3000"/>
    <n v="0"/>
    <n v="1"/>
    <n v="1"/>
    <n v="187"/>
    <n v="1"/>
    <n v="187"/>
    <n v="1"/>
    <n v="187"/>
    <x v="0"/>
    <n v="0"/>
    <n v="0"/>
    <n v="0"/>
    <n v="44"/>
    <n v="0"/>
    <n v="1"/>
    <n v="187"/>
    <m/>
    <n v="0"/>
    <n v="0"/>
    <n v="14"/>
    <x v="0"/>
    <n v="1"/>
    <n v="187"/>
    <n v="0"/>
    <n v="0"/>
    <n v="1"/>
    <n v="187"/>
    <n v="0"/>
    <n v="1"/>
    <n v="187"/>
    <n v="0"/>
    <n v="2"/>
    <s v="Separate, but not clearly perceived"/>
    <n v="1"/>
    <n v="187"/>
    <n v="0"/>
    <n v="1"/>
    <n v="187"/>
    <n v="3"/>
    <n v="1"/>
    <n v="0"/>
    <n v="1"/>
    <m/>
    <d v="2015-02-18T00:00:00"/>
    <d v="2016-02-18T00:00:00"/>
    <n v="44"/>
    <n v="4"/>
    <n v="0"/>
    <n v="1"/>
    <n v="187"/>
    <x v="0"/>
    <m/>
    <n v="0.8"/>
    <n v="149.6"/>
    <n v="1"/>
    <s v="Excellent coverage"/>
    <n v="0"/>
    <x v="1"/>
    <m/>
  </r>
  <r>
    <x v="8"/>
    <s v="MMR001CMP120"/>
    <x v="4"/>
    <x v="70"/>
    <n v="97.751389000000003"/>
    <n v="24.831944"/>
    <x v="0"/>
    <x v="1"/>
    <n v="191"/>
    <n v="770"/>
    <n v="770"/>
    <x v="0"/>
    <s v="CIDA/ADRA"/>
    <s v="KBC"/>
    <x v="1"/>
    <x v="0"/>
    <d v="2016-02-29T00:00:00"/>
    <s v="Focal NGO"/>
    <x v="0"/>
    <n v="0"/>
    <n v="0"/>
    <s v="No"/>
    <n v="0"/>
    <n v="0"/>
    <n v="12000"/>
    <n v="0"/>
    <n v="0"/>
    <n v="1"/>
    <n v="770"/>
    <n v="1"/>
    <n v="770"/>
    <n v="1"/>
    <n v="770"/>
    <x v="0"/>
    <n v="0"/>
    <n v="0"/>
    <n v="1.925"/>
    <n v="0"/>
    <n v="0"/>
    <n v="1"/>
    <n v="770"/>
    <m/>
    <n v="11"/>
    <n v="50"/>
    <n v="0"/>
    <x v="0"/>
    <n v="1"/>
    <n v="770"/>
    <n v="1"/>
    <n v="770"/>
    <n v="0"/>
    <n v="0"/>
    <n v="0"/>
    <n v="1"/>
    <n v="770"/>
    <n v="38.5"/>
    <n v="6"/>
    <s v="Separate, clearly perceived"/>
    <n v="0.77922077922077926"/>
    <n v="600"/>
    <n v="1.7000000000000002"/>
    <n v="0.78"/>
    <n v="600.6"/>
    <n v="12"/>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91"/>
    <n v="4"/>
    <n v="0"/>
    <n v="1"/>
    <n v="770"/>
    <x v="0"/>
    <m/>
    <n v="0.8"/>
    <n v="616"/>
    <n v="3"/>
    <s v="Excellent coverage"/>
    <n v="0"/>
    <x v="1"/>
    <m/>
  </r>
  <r>
    <x v="8"/>
    <s v="MMR001CMP160"/>
    <x v="4"/>
    <x v="71"/>
    <n v="97.990555999999998"/>
    <n v="25.265277999999999"/>
    <x v="0"/>
    <x v="1"/>
    <n v="109"/>
    <n v="640"/>
    <n v="640"/>
    <x v="0"/>
    <s v="Trocaires"/>
    <s v="IRRC"/>
    <x v="2"/>
    <x v="0"/>
    <d v="2015-12-31T00:00:00"/>
    <s v="Focal NGO"/>
    <x v="0"/>
    <n v="0"/>
    <n v="0"/>
    <s v="No"/>
    <n v="0"/>
    <n v="0"/>
    <n v="13000"/>
    <n v="0"/>
    <n v="1"/>
    <n v="1"/>
    <n v="640"/>
    <n v="1"/>
    <n v="640"/>
    <n v="1"/>
    <n v="640"/>
    <x v="0"/>
    <n v="0"/>
    <n v="0"/>
    <n v="1.6"/>
    <n v="109"/>
    <n v="0"/>
    <n v="1"/>
    <n v="640"/>
    <m/>
    <n v="80"/>
    <n v="109"/>
    <n v="14"/>
    <x v="0"/>
    <n v="1"/>
    <n v="640"/>
    <n v="0.5625"/>
    <n v="360"/>
    <n v="0.4375"/>
    <n v="280"/>
    <n v="0"/>
    <n v="1"/>
    <n v="640"/>
    <n v="18"/>
    <n v="2"/>
    <s v="Separate, clearly perceived"/>
    <n v="0.3125"/>
    <n v="200"/>
    <n v="4.4000000000000004"/>
    <n v="0.31"/>
    <n v="198.4"/>
    <n v="4"/>
    <n v="0.625"/>
    <n v="2.4000000000000004"/>
    <n v="0.63"/>
    <s v="hard to implement due to rocky, logistic issues"/>
    <d v="2015-04-29T00:00:00"/>
    <d v="2016-04-28T00:00:00"/>
    <n v="109"/>
    <n v="3"/>
    <n v="0"/>
    <n v="1"/>
    <n v="640"/>
    <x v="0"/>
    <m/>
    <n v="0"/>
    <n v="0"/>
    <n v="0"/>
    <s v="No coverage"/>
    <n v="0"/>
    <x v="1"/>
    <m/>
  </r>
  <r>
    <x v="8"/>
    <s v="MMR001CMP032"/>
    <x v="5"/>
    <x v="72"/>
    <n v="97.441483000000005"/>
    <n v="25.354883999999998"/>
    <x v="0"/>
    <x v="0"/>
    <n v="102"/>
    <n v="340"/>
    <n v="280"/>
    <x v="0"/>
    <s v="AusAid/OXFAM"/>
    <s v="Shalom"/>
    <x v="0"/>
    <x v="0"/>
    <d v="2015-07-31T00:00:00"/>
    <s v="Focal NGO"/>
    <x v="0"/>
    <n v="0"/>
    <n v="22140"/>
    <s v="Yes"/>
    <n v="1"/>
    <n v="1"/>
    <n v="0"/>
    <n v="0"/>
    <n v="0"/>
    <n v="1"/>
    <n v="280"/>
    <n v="1"/>
    <n v="280"/>
    <n v="1"/>
    <n v="280"/>
    <x v="0"/>
    <n v="0"/>
    <n v="0"/>
    <n v="0"/>
    <n v="0"/>
    <n v="0"/>
    <n v="1"/>
    <n v="280"/>
    <m/>
    <n v="0"/>
    <n v="0"/>
    <n v="11"/>
    <x v="0"/>
    <n v="0.7857142857142857"/>
    <n v="220"/>
    <n v="0"/>
    <n v="0"/>
    <n v="0.7857142857142857"/>
    <n v="220"/>
    <n v="0"/>
    <n v="0.79"/>
    <n v="221.20000000000002"/>
    <n v="3"/>
    <n v="4"/>
    <s v="Separate, clearly perceived"/>
    <n v="1"/>
    <n v="280"/>
    <n v="0"/>
    <n v="1"/>
    <n v="280"/>
    <n v="3"/>
    <n v="1"/>
    <n v="0.39999999999999991"/>
    <n v="1"/>
    <m/>
    <d v="2015-02-13T00:00:00"/>
    <d v="2016-02-13T00:00:00"/>
    <n v="102"/>
    <n v="5"/>
    <n v="0"/>
    <n v="1"/>
    <n v="280"/>
    <x v="0"/>
    <m/>
    <n v="1"/>
    <n v="280"/>
    <n v="2"/>
    <s v="Excellent coverage"/>
    <n v="0"/>
    <x v="0"/>
    <m/>
  </r>
  <r>
    <x v="8"/>
    <s v="MMR001CMP025"/>
    <x v="5"/>
    <x v="73"/>
    <n v="97.438271"/>
    <n v="25.351655000000001"/>
    <x v="0"/>
    <x v="0"/>
    <n v="67"/>
    <n v="315"/>
    <n v="151"/>
    <x v="0"/>
    <s v="CIDA/ADRA"/>
    <s v="KBC"/>
    <x v="1"/>
    <x v="0"/>
    <d v="2016-02-29T00:00:00"/>
    <s v="Focal NGO"/>
    <x v="0"/>
    <n v="0"/>
    <n v="0"/>
    <s v="No"/>
    <n v="2"/>
    <n v="1"/>
    <n v="0"/>
    <n v="0"/>
    <n v="1"/>
    <n v="1"/>
    <n v="151"/>
    <n v="1"/>
    <n v="151"/>
    <n v="1"/>
    <n v="151"/>
    <x v="0"/>
    <n v="0"/>
    <n v="0"/>
    <n v="0"/>
    <n v="67"/>
    <n v="0"/>
    <n v="1"/>
    <n v="151"/>
    <m/>
    <n v="0"/>
    <n v="0"/>
    <n v="12"/>
    <x v="0"/>
    <n v="1"/>
    <n v="151"/>
    <n v="0"/>
    <n v="0"/>
    <n v="1"/>
    <n v="151"/>
    <n v="0"/>
    <n v="1"/>
    <n v="151"/>
    <n v="0"/>
    <n v="2"/>
    <s v="Separate, clearly perceived"/>
    <n v="1"/>
    <n v="151"/>
    <n v="1.1499999999999999"/>
    <n v="1"/>
    <n v="151"/>
    <n v="3"/>
    <n v="1"/>
    <n v="0.14999999999999991"/>
    <n v="1"/>
    <s v="have limited spaces to construct more sanitation facilities. Some household has alaready moved to new location (have a plan to move all HHs to this new site. "/>
    <d v="2015-02-18T00:00:00"/>
    <d v="2016-02-18T00:00:00"/>
    <n v="67"/>
    <n v="4"/>
    <n v="0"/>
    <n v="1"/>
    <n v="151"/>
    <x v="0"/>
    <m/>
    <n v="0.8"/>
    <n v="120.80000000000001"/>
    <n v="1"/>
    <s v="Excellent coverage"/>
    <n v="0"/>
    <x v="1"/>
    <m/>
  </r>
  <r>
    <x v="8"/>
    <s v="MMR001CMP030"/>
    <x v="5"/>
    <x v="74"/>
    <n v="97.437568999999996"/>
    <n v="25.346004000000001"/>
    <x v="0"/>
    <x v="0"/>
    <n v="31"/>
    <n v="169"/>
    <n v="169"/>
    <x v="1"/>
    <s v="AusAid/OXFAM"/>
    <s v="Shalom"/>
    <x v="0"/>
    <x v="0"/>
    <d v="2015-07-31T00:00:00"/>
    <s v="Focal NGO"/>
    <x v="0"/>
    <n v="0"/>
    <n v="15210"/>
    <s v="Yes"/>
    <n v="2"/>
    <n v="0"/>
    <n v="3000"/>
    <n v="0"/>
    <n v="0"/>
    <n v="1"/>
    <n v="169"/>
    <n v="1"/>
    <n v="169"/>
    <n v="1"/>
    <n v="169"/>
    <x v="0"/>
    <n v="0"/>
    <n v="0"/>
    <n v="0"/>
    <n v="0"/>
    <n v="0"/>
    <n v="1"/>
    <n v="169"/>
    <m/>
    <n v="0"/>
    <n v="0"/>
    <n v="7"/>
    <x v="0"/>
    <n v="0.82840236686390534"/>
    <n v="140"/>
    <n v="0"/>
    <n v="0"/>
    <n v="0.82840236686390534"/>
    <n v="140"/>
    <n v="0"/>
    <n v="0.83"/>
    <n v="140.26999999999998"/>
    <n v="1.4499999999999993"/>
    <n v="4"/>
    <s v="Separate, clearly perceived"/>
    <n v="1"/>
    <n v="169"/>
    <n v="0"/>
    <n v="1"/>
    <n v="169"/>
    <n v="3"/>
    <n v="1"/>
    <n v="0"/>
    <n v="1"/>
    <m/>
    <d v="2015-02-13T00:00:00"/>
    <d v="2016-02-13T00:00:00"/>
    <n v="31"/>
    <n v="5"/>
    <n v="0"/>
    <n v="1"/>
    <n v="169"/>
    <x v="0"/>
    <m/>
    <n v="1"/>
    <n v="169"/>
    <n v="2"/>
    <s v="Excellent coverage"/>
    <n v="0"/>
    <x v="0"/>
    <m/>
  </r>
  <r>
    <x v="8"/>
    <s v="MMR001CMP026"/>
    <x v="5"/>
    <x v="75"/>
    <n v="97.432495000000003"/>
    <n v="25.350809000000002"/>
    <x v="0"/>
    <x v="0"/>
    <n v="91"/>
    <n v="467"/>
    <n v="467"/>
    <x v="0"/>
    <s v="AusAid/OXFAM"/>
    <s v="Shalom"/>
    <x v="0"/>
    <x v="0"/>
    <d v="2015-07-31T00:00:00"/>
    <s v="Focal NGO"/>
    <x v="0"/>
    <n v="0"/>
    <n v="42030"/>
    <s v="Yes"/>
    <n v="4"/>
    <n v="0"/>
    <n v="3600"/>
    <n v="0"/>
    <n v="0"/>
    <n v="1"/>
    <n v="467"/>
    <n v="1"/>
    <n v="467"/>
    <n v="1"/>
    <n v="467"/>
    <x v="0"/>
    <n v="0"/>
    <n v="0"/>
    <n v="0"/>
    <n v="0"/>
    <n v="0"/>
    <n v="1"/>
    <n v="467"/>
    <m/>
    <n v="6"/>
    <n v="8"/>
    <n v="19"/>
    <x v="0"/>
    <n v="1"/>
    <n v="467"/>
    <n v="0.1862955032119914"/>
    <n v="86.999999999999986"/>
    <n v="0.8137044967880086"/>
    <n v="380"/>
    <n v="0"/>
    <n v="1"/>
    <n v="467"/>
    <n v="4.3500000000000014"/>
    <n v="5"/>
    <s v="Separate, clearly perceived"/>
    <n v="1"/>
    <n v="467"/>
    <n v="0"/>
    <n v="1"/>
    <n v="467"/>
    <n v="6"/>
    <n v="1"/>
    <n v="0"/>
    <n v="1"/>
    <m/>
    <d v="2015-02-13T00:00:00"/>
    <d v="2016-02-13T00:00:00"/>
    <n v="91"/>
    <n v="5"/>
    <n v="0"/>
    <n v="1"/>
    <n v="467"/>
    <x v="0"/>
    <m/>
    <n v="1"/>
    <n v="467"/>
    <n v="2"/>
    <s v="Excellent coverage"/>
    <n v="1"/>
    <x v="0"/>
    <s v="temporary incinerator have implemented as pilot by Oxfam but it was not functioning now"/>
  </r>
  <r>
    <x v="8"/>
    <s v="MMR001CMP041"/>
    <x v="4"/>
    <x v="76"/>
    <n v="98.025662999999994"/>
    <n v="25.418084"/>
    <x v="0"/>
    <x v="1"/>
    <n v="198"/>
    <n v="872"/>
    <n v="872"/>
    <x v="0"/>
    <s v="CIDA/ADRA"/>
    <s v="KBC"/>
    <x v="1"/>
    <x v="0"/>
    <d v="2016-02-29T00:00:00"/>
    <s v="Focal NGO"/>
    <x v="0"/>
    <n v="0"/>
    <n v="0"/>
    <s v="No"/>
    <n v="0"/>
    <n v="0"/>
    <n v="18000"/>
    <n v="0"/>
    <n v="0"/>
    <n v="1"/>
    <n v="872"/>
    <n v="1"/>
    <n v="872"/>
    <n v="1"/>
    <n v="872"/>
    <x v="0"/>
    <n v="0"/>
    <n v="0"/>
    <n v="2.1800000000000002"/>
    <n v="0"/>
    <n v="0"/>
    <n v="1"/>
    <n v="872"/>
    <m/>
    <n v="44"/>
    <n v="44"/>
    <n v="0"/>
    <x v="0"/>
    <n v="1"/>
    <n v="872"/>
    <n v="1"/>
    <n v="872"/>
    <n v="0"/>
    <n v="0"/>
    <n v="0"/>
    <n v="1"/>
    <n v="872"/>
    <n v="43.6"/>
    <n v="6"/>
    <s v="Separate, clearly perceived"/>
    <n v="0.68807339449541283"/>
    <n v="600"/>
    <n v="2.7200000000000006"/>
    <n v="0.69"/>
    <n v="601.67999999999995"/>
    <n v="2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98"/>
    <n v="4"/>
    <n v="0"/>
    <n v="1"/>
    <n v="872"/>
    <x v="0"/>
    <m/>
    <n v="0.8"/>
    <n v="697.6"/>
    <n v="3"/>
    <s v="Excellent coverage"/>
    <n v="0"/>
    <x v="1"/>
    <m/>
  </r>
  <r>
    <x v="8"/>
    <s v="MMR001CMP037"/>
    <x v="5"/>
    <x v="77"/>
    <n v="97.427959999999999"/>
    <n v="25.33351"/>
    <x v="0"/>
    <x v="0"/>
    <n v="67"/>
    <n v="307"/>
    <n v="307"/>
    <x v="0"/>
    <s v="AusAid/OXFAM"/>
    <s v="Shalom"/>
    <x v="0"/>
    <x v="0"/>
    <d v="2015-07-31T00:00:00"/>
    <s v="Focal NGO"/>
    <x v="0"/>
    <n v="0"/>
    <n v="47630"/>
    <s v="Yes"/>
    <n v="3"/>
    <n v="0"/>
    <n v="0"/>
    <n v="0"/>
    <n v="0"/>
    <n v="1"/>
    <n v="307"/>
    <n v="1"/>
    <n v="307"/>
    <n v="1"/>
    <n v="307"/>
    <x v="0"/>
    <n v="0"/>
    <n v="0"/>
    <n v="0"/>
    <n v="0"/>
    <n v="0"/>
    <n v="1"/>
    <n v="307"/>
    <m/>
    <n v="0"/>
    <n v="0"/>
    <n v="13"/>
    <x v="0"/>
    <n v="0.84690553745928343"/>
    <n v="260"/>
    <n v="0"/>
    <n v="0"/>
    <n v="0.84690553745928343"/>
    <n v="260"/>
    <n v="0"/>
    <n v="0.85"/>
    <n v="260.95"/>
    <n v="2.3499999999999996"/>
    <n v="4"/>
    <s v="Separate, clearly perceived"/>
    <n v="1"/>
    <n v="307"/>
    <n v="0"/>
    <n v="1"/>
    <n v="307"/>
    <n v="9"/>
    <n v="1"/>
    <n v="0"/>
    <n v="1"/>
    <m/>
    <d v="2015-02-13T00:00:00"/>
    <d v="2016-02-13T00:00:00"/>
    <n v="67"/>
    <n v="5"/>
    <n v="0"/>
    <n v="1"/>
    <n v="307"/>
    <x v="0"/>
    <m/>
    <n v="1"/>
    <n v="307"/>
    <n v="2"/>
    <s v="Excellent coverage"/>
    <n v="0"/>
    <x v="0"/>
    <m/>
  </r>
  <r>
    <x v="8"/>
    <s v="MMR001CMP038"/>
    <x v="5"/>
    <x v="78"/>
    <n v="97.443702000000002"/>
    <n v="25.351241999999999"/>
    <x v="0"/>
    <x v="0"/>
    <n v="85"/>
    <n v="357"/>
    <n v="179"/>
    <x v="0"/>
    <s v="AusAid/OXFAM"/>
    <s v="Shalom"/>
    <x v="0"/>
    <x v="0"/>
    <d v="2015-07-31T00:00:00"/>
    <s v="Focal NGO"/>
    <x v="0"/>
    <n v="0"/>
    <n v="24120"/>
    <s v="Yes"/>
    <n v="3"/>
    <n v="0"/>
    <n v="3000"/>
    <n v="0"/>
    <n v="0"/>
    <n v="1"/>
    <n v="179"/>
    <n v="1"/>
    <n v="179"/>
    <n v="1"/>
    <n v="179"/>
    <x v="0"/>
    <n v="0"/>
    <n v="0"/>
    <n v="0"/>
    <n v="0"/>
    <n v="0"/>
    <n v="1"/>
    <n v="179"/>
    <m/>
    <n v="2"/>
    <n v="0"/>
    <n v="6"/>
    <x v="0"/>
    <n v="0.67039106145251393"/>
    <n v="119.99999999999999"/>
    <n v="0"/>
    <n v="0"/>
    <n v="0.67039106145251393"/>
    <n v="119.99999999999999"/>
    <n v="0"/>
    <n v="0.68"/>
    <n v="121.72000000000001"/>
    <n v="2.9499999999999993"/>
    <n v="3"/>
    <s v="Separate, clearly perceived"/>
    <n v="1"/>
    <n v="179"/>
    <n v="0.56999999999999984"/>
    <n v="1"/>
    <n v="179"/>
    <n v="6"/>
    <n v="1"/>
    <n v="0"/>
    <n v="1"/>
    <m/>
    <d v="2015-02-13T00:00:00"/>
    <d v="2016-02-13T00:00:00"/>
    <n v="91"/>
    <n v="5"/>
    <n v="0"/>
    <n v="1"/>
    <n v="179"/>
    <x v="0"/>
    <m/>
    <n v="1"/>
    <n v="179"/>
    <n v="2"/>
    <s v="Excellent coverage"/>
    <n v="0"/>
    <x v="0"/>
    <m/>
  </r>
  <r>
    <x v="8"/>
    <s v="MMR001CMP036"/>
    <x v="5"/>
    <x v="79"/>
    <n v="97.438259000000002"/>
    <n v="25.355841999999999"/>
    <x v="0"/>
    <x v="0"/>
    <n v="33"/>
    <n v="85"/>
    <n v="85"/>
    <x v="1"/>
    <s v="CIDA/ADRA"/>
    <s v="KBC"/>
    <x v="1"/>
    <x v="0"/>
    <d v="2016-02-29T00:00:00"/>
    <s v="Focal NGO"/>
    <x v="0"/>
    <n v="0"/>
    <n v="0"/>
    <s v="No"/>
    <n v="2"/>
    <n v="0"/>
    <n v="6000"/>
    <n v="0"/>
    <n v="1"/>
    <n v="1"/>
    <n v="85"/>
    <n v="1"/>
    <n v="85"/>
    <n v="1"/>
    <n v="85"/>
    <x v="0"/>
    <n v="0"/>
    <n v="0"/>
    <n v="0"/>
    <n v="33"/>
    <n v="0"/>
    <n v="1"/>
    <n v="85"/>
    <m/>
    <n v="0"/>
    <n v="0"/>
    <n v="16"/>
    <x v="1"/>
    <n v="1"/>
    <n v="85"/>
    <n v="0"/>
    <n v="0"/>
    <n v="1"/>
    <n v="85"/>
    <n v="0"/>
    <n v="1"/>
    <n v="85"/>
    <n v="0"/>
    <n v="1"/>
    <s v="Not separated yet"/>
    <n v="1"/>
    <n v="85"/>
    <n v="0"/>
    <n v="1"/>
    <n v="85"/>
    <n v="3"/>
    <n v="1"/>
    <n v="0"/>
    <n v="1"/>
    <m/>
    <d v="2015-02-18T00:00:00"/>
    <d v="2016-02-18T00:00:00"/>
    <n v="33"/>
    <n v="4"/>
    <n v="0"/>
    <n v="1"/>
    <n v="85"/>
    <x v="0"/>
    <m/>
    <n v="0.8"/>
    <n v="68"/>
    <n v="1"/>
    <s v="Excellent coverage"/>
    <n v="0"/>
    <x v="1"/>
    <m/>
  </r>
  <r>
    <x v="8"/>
    <s v="MMR001CMP116"/>
    <x v="4"/>
    <x v="80"/>
    <m/>
    <m/>
    <x v="0"/>
    <x v="1"/>
    <n v="48"/>
    <n v="218"/>
    <n v="218"/>
    <x v="1"/>
    <s v="Welthungerhilfe"/>
    <s v="IRRC"/>
    <x v="4"/>
    <x v="0"/>
    <d v="2016-05-31T00:00:00"/>
    <s v="Focal NGO"/>
    <x v="0"/>
    <n v="0"/>
    <n v="0"/>
    <s v="No"/>
    <n v="0"/>
    <n v="0"/>
    <n v="30240"/>
    <n v="0"/>
    <n v="1"/>
    <n v="1"/>
    <n v="218"/>
    <n v="1"/>
    <n v="218"/>
    <n v="1"/>
    <n v="218"/>
    <x v="0"/>
    <n v="0"/>
    <n v="0"/>
    <n v="0.54500000000000004"/>
    <n v="48"/>
    <n v="0"/>
    <n v="1"/>
    <n v="218"/>
    <m/>
    <n v="0"/>
    <n v="0"/>
    <n v="12"/>
    <x v="2"/>
    <n v="1"/>
    <n v="218"/>
    <n v="0"/>
    <n v="0"/>
    <n v="1"/>
    <n v="218"/>
    <n v="0"/>
    <n v="1"/>
    <n v="218"/>
    <n v="0"/>
    <n v="4"/>
    <s v="Not separated yet"/>
    <n v="1"/>
    <n v="218"/>
    <n v="0"/>
    <n v="1"/>
    <n v="218"/>
    <n v="6"/>
    <n v="1"/>
    <n v="0"/>
    <n v="1"/>
    <m/>
    <d v="2014-04-01T00:00:00"/>
    <s v="To be realised"/>
    <n v="48"/>
    <n v="13"/>
    <n v="48"/>
    <n v="0"/>
    <n v="0"/>
    <x v="6"/>
    <s v="Metta only distributed refill HK and mobilize the hygiene promotion in 2015"/>
    <n v="0.5"/>
    <n v="109"/>
    <n v="0"/>
    <s v="No coverage"/>
    <n v="0"/>
    <x v="2"/>
    <m/>
  </r>
  <r>
    <x v="8"/>
    <s v="MMR001CMP116"/>
    <x v="4"/>
    <x v="81"/>
    <n v="97.567116999999996"/>
    <n v="24.768383"/>
    <x v="1"/>
    <x v="1"/>
    <n v="659"/>
    <n v="3541"/>
    <n v="3541"/>
    <x v="3"/>
    <s v="Welthungerhilfe"/>
    <m/>
    <x v="4"/>
    <x v="0"/>
    <d v="2016-05-31T00:00:00"/>
    <s v="Focal NGO"/>
    <x v="0"/>
    <n v="0"/>
    <n v="0"/>
    <s v="No"/>
    <n v="3"/>
    <n v="0"/>
    <n v="70000"/>
    <n v="0"/>
    <n v="1"/>
    <n v="1"/>
    <n v="3541"/>
    <n v="1"/>
    <n v="3541"/>
    <n v="1"/>
    <n v="3541"/>
    <x v="0"/>
    <n v="0"/>
    <n v="0"/>
    <n v="5.8524999999999991"/>
    <n v="659"/>
    <n v="0"/>
    <n v="1"/>
    <n v="3541"/>
    <m/>
    <n v="0"/>
    <n v="0"/>
    <n v="659"/>
    <x v="2"/>
    <n v="1"/>
    <n v="3541"/>
    <n v="0"/>
    <n v="0"/>
    <n v="1"/>
    <n v="3541"/>
    <n v="0"/>
    <n v="1"/>
    <n v="3541"/>
    <n v="0"/>
    <n v="0"/>
    <s v="Not separated yet"/>
    <n v="0"/>
    <n v="0"/>
    <n v="35.409999999999997"/>
    <n v="0"/>
    <n v="0"/>
    <n v="0"/>
    <n v="0"/>
    <n v="35.409999999999997"/>
    <n v="0"/>
    <s v="every host families HH have a latrine"/>
    <d v="2014-04-01T00:00:00"/>
    <s v="To be realised"/>
    <n v="659"/>
    <n v="13"/>
    <n v="659"/>
    <n v="0"/>
    <n v="0"/>
    <x v="6"/>
    <s v="Metta only distributed refill HK and mobilize the hygiene promotion in 2015"/>
    <n v="0"/>
    <n v="0"/>
    <n v="0"/>
    <s v="No coverage"/>
    <n v="0"/>
    <x v="2"/>
    <m/>
  </r>
  <r>
    <x v="8"/>
    <s v="MMR001CMP116"/>
    <x v="4"/>
    <x v="82"/>
    <n v="97.567116999999996"/>
    <n v="24.768383"/>
    <x v="0"/>
    <x v="1"/>
    <n v="281"/>
    <n v="1534"/>
    <n v="1534"/>
    <x v="2"/>
    <s v="Welthungerhilfe"/>
    <s v="IRRC"/>
    <x v="4"/>
    <x v="0"/>
    <d v="2016-05-31T00:00:00"/>
    <s v="Focal NGO"/>
    <x v="0"/>
    <n v="0"/>
    <n v="0"/>
    <s v="No"/>
    <n v="0"/>
    <n v="0"/>
    <n v="53805"/>
    <n v="0"/>
    <n v="1"/>
    <n v="1"/>
    <n v="1534"/>
    <n v="1"/>
    <n v="1534"/>
    <n v="1"/>
    <n v="1534"/>
    <x v="0"/>
    <n v="0"/>
    <n v="0"/>
    <n v="3.835"/>
    <n v="281"/>
    <n v="0"/>
    <n v="1"/>
    <n v="1534"/>
    <m/>
    <n v="29"/>
    <n v="29"/>
    <n v="53"/>
    <x v="2"/>
    <n v="1"/>
    <n v="1534"/>
    <n v="0.30899608865710559"/>
    <n v="474"/>
    <n v="0.69100391134289441"/>
    <n v="1060"/>
    <n v="0"/>
    <n v="1"/>
    <n v="1534"/>
    <n v="23.700000000000003"/>
    <n v="16"/>
    <s v="Not separated yet"/>
    <n v="1"/>
    <n v="1534"/>
    <n v="0"/>
    <n v="1"/>
    <n v="1534"/>
    <n v="7"/>
    <n v="0.45632333767926986"/>
    <n v="8.34"/>
    <n v="0.46"/>
    <s v="land limited for more semi-permanent latrine construciton and also for other sanitation facilities, they more preferred individual bathin spaces."/>
    <d v="2014-04-01T00:00:00"/>
    <s v="To be realised"/>
    <n v="281"/>
    <n v="13"/>
    <n v="281"/>
    <n v="0"/>
    <n v="0"/>
    <x v="6"/>
    <s v="Metta only distributed refill HK and mobilize the hygiene promotion in 2015"/>
    <n v="0.5"/>
    <n v="767"/>
    <n v="5"/>
    <s v="Excellent coverage"/>
    <n v="0"/>
    <x v="1"/>
    <m/>
  </r>
  <r>
    <x v="8"/>
    <s v="MMR001CMP111"/>
    <x v="4"/>
    <x v="83"/>
    <n v="97.756789999999995"/>
    <n v="25.106670000000001"/>
    <x v="0"/>
    <x v="1"/>
    <n v="646"/>
    <n v="2440"/>
    <n v="2440"/>
    <x v="3"/>
    <s v="CIDA/ADRA"/>
    <s v="KBC"/>
    <x v="1"/>
    <x v="0"/>
    <d v="2016-02-29T00:00:00"/>
    <s v="Focal NGO"/>
    <x v="0"/>
    <n v="0"/>
    <n v="0"/>
    <s v="No"/>
    <n v="0"/>
    <n v="0"/>
    <n v="40000"/>
    <n v="0"/>
    <n v="0"/>
    <n v="1"/>
    <n v="2440"/>
    <n v="1"/>
    <n v="2440"/>
    <n v="1"/>
    <n v="2440"/>
    <x v="0"/>
    <n v="0"/>
    <n v="0"/>
    <n v="6.1"/>
    <n v="0"/>
    <n v="0"/>
    <n v="1"/>
    <n v="2440"/>
    <m/>
    <n v="80"/>
    <n v="160"/>
    <n v="0"/>
    <x v="0"/>
    <n v="1"/>
    <n v="2440"/>
    <n v="1"/>
    <n v="2440"/>
    <n v="0"/>
    <n v="0"/>
    <n v="0"/>
    <n v="1"/>
    <n v="2440"/>
    <n v="122"/>
    <n v="12"/>
    <s v="Separate, clearly perceived"/>
    <n v="0.49180327868852458"/>
    <n v="1200"/>
    <n v="12.399999999999999"/>
    <n v="0.49"/>
    <n v="1195.5999999999999"/>
    <n v="5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646"/>
    <n v="4"/>
    <n v="0"/>
    <n v="1"/>
    <n v="2440"/>
    <x v="0"/>
    <m/>
    <n v="0.8"/>
    <n v="1952"/>
    <n v="5"/>
    <s v="Excellent coverage"/>
    <n v="0"/>
    <x v="1"/>
    <m/>
  </r>
  <r>
    <x v="0"/>
    <m/>
    <x v="0"/>
    <x v="84"/>
    <n v="98.134313888888897"/>
    <n v="25.8873472222222"/>
    <x v="2"/>
    <x v="0"/>
    <n v="0"/>
    <n v="45"/>
    <n v="45"/>
    <x v="1"/>
    <s v="Trocaires"/>
    <s v="KMSS"/>
    <x v="2"/>
    <x v="0"/>
    <d v="2015-12-31T00:00:00"/>
    <s v="Focal NGO"/>
    <x v="0"/>
    <n v="0"/>
    <n v="0"/>
    <s v="No"/>
    <n v="0"/>
    <n v="0"/>
    <n v="860"/>
    <n v="0"/>
    <n v="1"/>
    <n v="1"/>
    <n v="45"/>
    <n v="1"/>
    <n v="45"/>
    <n v="1"/>
    <n v="45"/>
    <x v="0"/>
    <n v="0"/>
    <n v="0"/>
    <n v="0.1125"/>
    <n v="0"/>
    <n v="0"/>
    <n v="1"/>
    <n v="45"/>
    <m/>
    <n v="4"/>
    <n v="2"/>
    <n v="2"/>
    <x v="1"/>
    <n v="1"/>
    <n v="45"/>
    <n v="0.11111111111111116"/>
    <n v="5.0000000000000018"/>
    <n v="0.88888888888888884"/>
    <n v="40"/>
    <n v="0"/>
    <n v="1"/>
    <n v="45"/>
    <n v="0.25"/>
    <n v="2"/>
    <s v="Separate, clearly perceived"/>
    <n v="1"/>
    <n v="45"/>
    <n v="0"/>
    <n v="1"/>
    <n v="45"/>
    <n v="5"/>
    <n v="1"/>
    <n v="0"/>
    <n v="1"/>
    <m/>
    <d v="2014-05-21T00:00:00"/>
    <s v="To be realised"/>
    <n v="43"/>
    <n v="10"/>
    <n v="0"/>
    <n v="1"/>
    <n v="45"/>
    <x v="1"/>
    <m/>
    <n v="0"/>
    <n v="0"/>
    <n v="0"/>
    <s v="No coverage"/>
    <n v="0"/>
    <x v="0"/>
    <m/>
  </r>
  <r>
    <x v="8"/>
    <s v="MMR001CMP208"/>
    <x v="4"/>
    <x v="85"/>
    <n v="97.541793999999996"/>
    <n v="24.752471"/>
    <x v="2"/>
    <x v="1"/>
    <n v="0"/>
    <n v="391"/>
    <n v="391"/>
    <x v="1"/>
    <s v="Welthungerhilfe"/>
    <m/>
    <x v="4"/>
    <x v="0"/>
    <d v="2016-05-31T00:00:00"/>
    <s v="Focal NGO"/>
    <x v="0"/>
    <n v="0"/>
    <n v="0"/>
    <s v="No"/>
    <n v="0"/>
    <n v="0"/>
    <n v="6000"/>
    <n v="0"/>
    <n v="1"/>
    <n v="1"/>
    <n v="391"/>
    <n v="1"/>
    <n v="391"/>
    <n v="1"/>
    <n v="391"/>
    <x v="0"/>
    <n v="0"/>
    <n v="0"/>
    <n v="0.97750000000000004"/>
    <n v="0"/>
    <n v="0"/>
    <n v="1"/>
    <n v="391"/>
    <m/>
    <n v="8"/>
    <n v="8"/>
    <n v="20"/>
    <x v="1"/>
    <n v="1"/>
    <n v="391"/>
    <n v="0"/>
    <n v="0"/>
    <n v="1"/>
    <n v="391"/>
    <n v="0"/>
    <n v="1"/>
    <n v="391"/>
    <n v="0"/>
    <n v="4"/>
    <s v="Separate, clearly perceived"/>
    <n v="1"/>
    <n v="391"/>
    <n v="0"/>
    <n v="1"/>
    <n v="391"/>
    <n v="1"/>
    <n v="0.25575447570332482"/>
    <n v="2.91"/>
    <n v="0.26"/>
    <m/>
    <m/>
    <s v="To be realised"/>
    <n v="0"/>
    <n v="13"/>
    <n v="0"/>
    <n v="1"/>
    <n v="391"/>
    <x v="4"/>
    <s v="Metta only distributed refill HK and mobilize the hygiene promotion in 2015"/>
    <n v="0"/>
    <n v="0"/>
    <n v="0"/>
    <s v="No coverage"/>
    <n v="0"/>
    <x v="2"/>
    <m/>
  </r>
  <r>
    <x v="8"/>
    <s v="MMR001CMP208"/>
    <x v="4"/>
    <x v="86"/>
    <n v="97.541793999999996"/>
    <n v="24.752471"/>
    <x v="2"/>
    <x v="1"/>
    <n v="0"/>
    <n v="528"/>
    <n v="528"/>
    <x v="1"/>
    <s v="Welthungerhilfe"/>
    <m/>
    <x v="4"/>
    <x v="0"/>
    <d v="2016-05-31T00:00:00"/>
    <s v="Focal NGO"/>
    <x v="0"/>
    <n v="0"/>
    <n v="0"/>
    <s v="No"/>
    <n v="1"/>
    <n v="0"/>
    <n v="7920"/>
    <n v="0"/>
    <n v="1"/>
    <n v="1"/>
    <n v="528"/>
    <n v="1"/>
    <n v="528"/>
    <n v="1"/>
    <n v="528"/>
    <x v="0"/>
    <n v="0"/>
    <n v="0"/>
    <n v="0.32000000000000006"/>
    <n v="0"/>
    <n v="0"/>
    <n v="1"/>
    <n v="528"/>
    <m/>
    <n v="7"/>
    <n v="7"/>
    <n v="15"/>
    <x v="1"/>
    <n v="0.83333333333333337"/>
    <n v="440"/>
    <n v="0.26515151515151514"/>
    <n v="140"/>
    <n v="0.56818181818181823"/>
    <n v="300"/>
    <n v="0"/>
    <n v="0.83"/>
    <n v="438.23999999999995"/>
    <n v="11.399999999999999"/>
    <n v="4"/>
    <s v="Separate, clearly perceived"/>
    <n v="0.75757575757575757"/>
    <n v="400"/>
    <n v="1.2800000000000002"/>
    <n v="0.76"/>
    <n v="401.28000000000003"/>
    <n v="0"/>
    <n v="0"/>
    <n v="5.28"/>
    <n v="0"/>
    <m/>
    <m/>
    <s v="To be realised"/>
    <n v="0"/>
    <n v="13"/>
    <n v="0"/>
    <n v="1"/>
    <n v="528"/>
    <x v="4"/>
    <s v="Metta only distributed refill HK and mobilize the hygiene promotion in 2015"/>
    <n v="0"/>
    <n v="0"/>
    <n v="0"/>
    <s v="No coverage"/>
    <n v="0"/>
    <x v="2"/>
    <m/>
  </r>
  <r>
    <x v="7"/>
    <s v="MMR001CMP227"/>
    <x v="0"/>
    <x v="87"/>
    <n v="97.561105999999995"/>
    <n v="27.248964999999998"/>
    <x v="1"/>
    <x v="0"/>
    <n v="12"/>
    <n v="52"/>
    <n v="52"/>
    <x v="1"/>
    <m/>
    <m/>
    <x v="3"/>
    <x v="1"/>
    <s v="Gap"/>
    <s v="Not documented"/>
    <x v="1"/>
    <n v="0"/>
    <n v="0"/>
    <s v="No"/>
    <n v="1"/>
    <n v="0"/>
    <n v="0"/>
    <n v="0"/>
    <n v="0"/>
    <n v="1"/>
    <n v="52"/>
    <n v="1"/>
    <n v="52"/>
    <n v="1"/>
    <n v="52"/>
    <x v="0"/>
    <n v="0"/>
    <n v="0"/>
    <n v="0"/>
    <n v="0"/>
    <n v="0"/>
    <n v="1"/>
    <n v="52"/>
    <s v="this place have a plan to relocate into Lone Sut camp"/>
    <n v="10"/>
    <n v="10"/>
    <n v="0"/>
    <x v="2"/>
    <n v="1"/>
    <n v="52"/>
    <n v="1"/>
    <n v="52"/>
    <n v="0"/>
    <n v="0"/>
    <n v="0"/>
    <n v="1"/>
    <n v="52"/>
    <n v="2.6"/>
    <n v="0"/>
    <s v="Not separated yet"/>
    <n v="0"/>
    <n v="0"/>
    <n v="0.52"/>
    <n v="0"/>
    <n v="0"/>
    <n v="0"/>
    <n v="0"/>
    <n v="0.52"/>
    <n v="0"/>
    <m/>
    <m/>
    <s v="To be realised"/>
    <n v="0"/>
    <n v="0"/>
    <n v="12"/>
    <n v="0"/>
    <n v="0"/>
    <x v="4"/>
    <m/>
    <n v="0"/>
    <n v="0"/>
    <n v="0"/>
    <s v="No coverage"/>
    <n v="0"/>
    <x v="4"/>
    <m/>
  </r>
  <r>
    <x v="8"/>
    <s v="MMR001CMP033"/>
    <x v="5"/>
    <x v="88"/>
    <n v="97.345039"/>
    <n v="25.351965"/>
    <x v="0"/>
    <x v="0"/>
    <n v="18"/>
    <n v="78"/>
    <n v="78"/>
    <x v="1"/>
    <s v="AusAid/OXFAM"/>
    <s v="Shalom"/>
    <x v="0"/>
    <x v="0"/>
    <d v="2015-07-31T00:00:00"/>
    <s v="Focal NGO"/>
    <x v="0"/>
    <n v="0"/>
    <n v="0"/>
    <s v="No"/>
    <n v="1"/>
    <n v="1"/>
    <n v="0"/>
    <n v="0"/>
    <n v="0"/>
    <n v="1"/>
    <n v="78"/>
    <n v="1"/>
    <n v="78"/>
    <n v="1"/>
    <n v="78"/>
    <x v="0"/>
    <n v="0"/>
    <n v="0"/>
    <n v="0"/>
    <n v="0"/>
    <n v="0"/>
    <n v="1"/>
    <n v="78"/>
    <m/>
    <n v="0"/>
    <n v="0"/>
    <n v="5"/>
    <x v="0"/>
    <n v="1"/>
    <n v="78"/>
    <n v="0"/>
    <n v="0"/>
    <n v="1"/>
    <n v="78"/>
    <n v="0"/>
    <n v="1"/>
    <n v="78"/>
    <n v="0"/>
    <n v="1"/>
    <s v="Not separated yet"/>
    <n v="1"/>
    <n v="78"/>
    <n v="0"/>
    <n v="1"/>
    <n v="78"/>
    <n v="3"/>
    <n v="1"/>
    <n v="0"/>
    <n v="1"/>
    <m/>
    <d v="2015-02-13T00:00:00"/>
    <d v="2016-02-13T00:00:00"/>
    <n v="18"/>
    <n v="5"/>
    <n v="0"/>
    <n v="1"/>
    <n v="78"/>
    <x v="0"/>
    <m/>
    <n v="1"/>
    <n v="78"/>
    <n v="1"/>
    <s v="Excellent coverage"/>
    <n v="0"/>
    <x v="0"/>
    <m/>
  </r>
  <r>
    <x v="1"/>
    <s v="MMR001CMP231"/>
    <x v="1"/>
    <x v="89"/>
    <n v="96.341520000000003"/>
    <n v="25.655280000000001"/>
    <x v="0"/>
    <x v="0"/>
    <n v="58"/>
    <n v="224"/>
    <n v="224"/>
    <x v="0"/>
    <m/>
    <m/>
    <x v="3"/>
    <x v="1"/>
    <s v="Gap"/>
    <s v="WASH cluster"/>
    <x v="0"/>
    <n v="0"/>
    <n v="0"/>
    <s v="No"/>
    <n v="2"/>
    <n v="0"/>
    <n v="12960"/>
    <n v="0"/>
    <n v="0"/>
    <n v="1"/>
    <n v="224"/>
    <n v="1"/>
    <n v="224"/>
    <n v="1"/>
    <n v="224"/>
    <x v="0"/>
    <n v="0"/>
    <n v="0"/>
    <n v="0"/>
    <n v="0"/>
    <n v="0"/>
    <n v="1"/>
    <n v="224"/>
    <m/>
    <n v="0"/>
    <n v="0"/>
    <n v="6"/>
    <x v="2"/>
    <n v="0.5357142857142857"/>
    <n v="120"/>
    <n v="0"/>
    <n v="0"/>
    <n v="0.5357142857142857"/>
    <n v="120"/>
    <n v="0"/>
    <n v="0.54"/>
    <n v="120.96000000000001"/>
    <n v="5.1999999999999993"/>
    <n v="1"/>
    <s v="Not separated yet"/>
    <n v="0.44642857142857145"/>
    <n v="100"/>
    <n v="1.2400000000000002"/>
    <n v="0.45"/>
    <n v="100.8"/>
    <n v="0"/>
    <n v="0"/>
    <n v="2.2400000000000002"/>
    <n v="0"/>
    <m/>
    <m/>
    <s v="To be realised"/>
    <n v="0"/>
    <m/>
    <n v="58"/>
    <n v="0"/>
    <n v="0"/>
    <x v="4"/>
    <m/>
    <n v="0"/>
    <n v="0"/>
    <n v="0"/>
    <s v="No coverage"/>
    <n v="0"/>
    <x v="1"/>
    <m/>
  </r>
  <r>
    <x v="0"/>
    <s v="MMR001CMP225"/>
    <x v="0"/>
    <x v="90"/>
    <n v="98.356405555555497"/>
    <n v="25.645869444444401"/>
    <x v="0"/>
    <x v="0"/>
    <n v="30"/>
    <n v="165"/>
    <n v="165"/>
    <x v="1"/>
    <s v="Trocaires"/>
    <s v="KMSS"/>
    <x v="2"/>
    <x v="0"/>
    <d v="2015-12-31T00:00:00"/>
    <s v="Focal NGO"/>
    <x v="0"/>
    <n v="0"/>
    <n v="0"/>
    <s v="No"/>
    <n v="0"/>
    <n v="0"/>
    <n v="3200"/>
    <n v="0"/>
    <n v="1"/>
    <n v="1"/>
    <n v="165"/>
    <n v="1"/>
    <n v="165"/>
    <n v="1"/>
    <n v="165"/>
    <x v="0"/>
    <n v="0"/>
    <n v="0"/>
    <n v="0.41249999999999998"/>
    <n v="30"/>
    <n v="0"/>
    <n v="1"/>
    <n v="165"/>
    <m/>
    <n v="4"/>
    <n v="4"/>
    <n v="0"/>
    <x v="1"/>
    <n v="0.48484848484848486"/>
    <n v="80"/>
    <n v="0.48484848484848486"/>
    <n v="80"/>
    <n v="0"/>
    <n v="0"/>
    <n v="0"/>
    <n v="0.49"/>
    <n v="80.849999999999994"/>
    <n v="8.25"/>
    <n v="0"/>
    <s v="Not separated yet"/>
    <n v="0"/>
    <n v="0"/>
    <n v="1.65"/>
    <n v="0"/>
    <n v="0"/>
    <n v="0"/>
    <n v="0"/>
    <n v="1.65"/>
    <n v="0"/>
    <m/>
    <d v="2014-05-21T00:00:00"/>
    <s v="To be realised"/>
    <n v="30"/>
    <n v="10"/>
    <n v="30"/>
    <n v="0"/>
    <n v="0"/>
    <x v="1"/>
    <m/>
    <n v="1"/>
    <n v="165"/>
    <n v="0"/>
    <s v="No coverage"/>
    <n v="0"/>
    <x v="2"/>
    <m/>
  </r>
  <r>
    <x v="3"/>
    <s v="MMR001CMP235"/>
    <x v="2"/>
    <x v="91"/>
    <m/>
    <m/>
    <x v="1"/>
    <x v="0"/>
    <n v="24"/>
    <n v="83"/>
    <n v="83"/>
    <x v="1"/>
    <m/>
    <m/>
    <x v="3"/>
    <x v="1"/>
    <s v="Gap"/>
    <s v="Not documented"/>
    <x v="1"/>
    <n v="0"/>
    <n v="0"/>
    <s v="No"/>
    <n v="0"/>
    <n v="1"/>
    <n v="0"/>
    <n v="0"/>
    <n v="0"/>
    <n v="1"/>
    <n v="83"/>
    <n v="1"/>
    <n v="83"/>
    <n v="1"/>
    <n v="83"/>
    <x v="0"/>
    <n v="0"/>
    <n v="0"/>
    <n v="0"/>
    <n v="0"/>
    <n v="0"/>
    <n v="1"/>
    <n v="83"/>
    <m/>
    <n v="24"/>
    <n v="24"/>
    <n v="0"/>
    <x v="2"/>
    <n v="1"/>
    <n v="83"/>
    <n v="1"/>
    <n v="83"/>
    <n v="0"/>
    <n v="0"/>
    <n v="0"/>
    <n v="1"/>
    <n v="83"/>
    <n v="4.1500000000000004"/>
    <n v="0"/>
    <s v="Not separated yet"/>
    <n v="0"/>
    <n v="0"/>
    <n v="0.83"/>
    <n v="0"/>
    <n v="0"/>
    <n v="0"/>
    <n v="0"/>
    <n v="0.83"/>
    <n v="0"/>
    <s v="currently, People used individual latrine. KBC have a plan to set up as a camp this host familities. WASH facilities may be needed at that time."/>
    <m/>
    <s v="To be realised"/>
    <n v="0"/>
    <n v="0"/>
    <n v="24"/>
    <n v="0"/>
    <n v="0"/>
    <x v="4"/>
    <m/>
    <n v="0"/>
    <n v="0"/>
    <n v="0"/>
    <s v="No coverage"/>
    <n v="0"/>
    <x v="2"/>
    <m/>
  </r>
  <r>
    <x v="3"/>
    <s v="MMR001CMP236"/>
    <x v="2"/>
    <x v="92"/>
    <m/>
    <m/>
    <x v="1"/>
    <x v="0"/>
    <n v="20"/>
    <n v="82"/>
    <n v="82"/>
    <x v="1"/>
    <m/>
    <m/>
    <x v="3"/>
    <x v="1"/>
    <s v="Gap"/>
    <s v="Not documented"/>
    <x v="1"/>
    <n v="0"/>
    <n v="0"/>
    <s v="No"/>
    <n v="0"/>
    <n v="1"/>
    <n v="0"/>
    <n v="0"/>
    <n v="0"/>
    <n v="1"/>
    <n v="82"/>
    <n v="1"/>
    <n v="82"/>
    <n v="1"/>
    <n v="82"/>
    <x v="0"/>
    <n v="0"/>
    <n v="0"/>
    <n v="0"/>
    <n v="0"/>
    <n v="0"/>
    <n v="1"/>
    <n v="82"/>
    <m/>
    <n v="9"/>
    <n v="20"/>
    <n v="0"/>
    <x v="4"/>
    <n v="1"/>
    <n v="82"/>
    <n v="1"/>
    <n v="82"/>
    <n v="0"/>
    <n v="0"/>
    <n v="0"/>
    <n v="1"/>
    <n v="82"/>
    <n v="4.0999999999999996"/>
    <n v="0"/>
    <s v="Not separated yet"/>
    <n v="0"/>
    <n v="0"/>
    <n v="0.82"/>
    <n v="0"/>
    <n v="0"/>
    <n v="0"/>
    <n v="0"/>
    <n v="0.82"/>
    <n v="0"/>
    <s v="currently, People used individual latrine. KBC have a plan to set up as a camp this host familities. WASH facilities may be needed at that time."/>
    <m/>
    <s v="To be realised"/>
    <n v="0"/>
    <n v="0"/>
    <n v="20"/>
    <n v="0"/>
    <n v="0"/>
    <x v="4"/>
    <m/>
    <n v="0"/>
    <n v="0"/>
    <n v="0"/>
    <s v="No coverage"/>
    <n v="0"/>
    <x v="2"/>
    <m/>
  </r>
  <r>
    <x v="3"/>
    <s v="MMR001CMP237"/>
    <x v="2"/>
    <x v="93"/>
    <n v="96.94135"/>
    <n v="25.294460000000001"/>
    <x v="0"/>
    <x v="0"/>
    <n v="15"/>
    <n v="23"/>
    <n v="34"/>
    <x v="1"/>
    <s v="Trocaires"/>
    <s v="KMSS"/>
    <x v="2"/>
    <x v="0"/>
    <d v="2015-12-31T00:00:00"/>
    <s v="Focal NGO"/>
    <x v="0"/>
    <n v="0"/>
    <n v="0"/>
    <s v="No"/>
    <n v="0"/>
    <n v="1"/>
    <n v="0"/>
    <n v="0"/>
    <n v="0"/>
    <n v="1"/>
    <n v="34"/>
    <n v="1"/>
    <n v="34"/>
    <n v="1"/>
    <n v="34"/>
    <x v="0"/>
    <n v="0"/>
    <n v="0"/>
    <n v="0"/>
    <n v="0"/>
    <n v="0"/>
    <n v="1"/>
    <n v="34"/>
    <m/>
    <n v="285"/>
    <n v="2"/>
    <n v="0"/>
    <x v="4"/>
    <n v="1"/>
    <n v="34"/>
    <n v="1"/>
    <n v="34"/>
    <n v="0"/>
    <n v="0"/>
    <n v="0"/>
    <n v="1"/>
    <n v="34"/>
    <n v="1.7"/>
    <n v="0"/>
    <s v="Not separated yet"/>
    <n v="0"/>
    <n v="0"/>
    <n v="0.23"/>
    <n v="0"/>
    <n v="0"/>
    <n v="0"/>
    <n v="0"/>
    <n v="0.23"/>
    <n v="0"/>
    <s v="current 2 emergency latrines are funitioned but not safe, it need to upgrade to semi-permannent"/>
    <m/>
    <s v="To be realised"/>
    <n v="0"/>
    <n v="0"/>
    <n v="15"/>
    <n v="0"/>
    <n v="0"/>
    <x v="4"/>
    <m/>
    <n v="0"/>
    <n v="0"/>
    <n v="0"/>
    <s v="No coverage"/>
    <n v="0"/>
    <x v="2"/>
    <m/>
  </r>
  <r>
    <x v="9"/>
    <s v="MMR001CMP194"/>
    <x v="6"/>
    <x v="94"/>
    <n v="97.252650000000003"/>
    <n v="24.260466999999998"/>
    <x v="0"/>
    <x v="0"/>
    <n v="13"/>
    <n v="58"/>
    <n v="58"/>
    <x v="1"/>
    <s v="HIDA, WHH"/>
    <s v="KBC"/>
    <x v="4"/>
    <x v="0"/>
    <d v="2016-03-30T00:00:00"/>
    <s v="Focal NGO"/>
    <x v="0"/>
    <n v="0"/>
    <n v="0"/>
    <s v="No"/>
    <n v="1"/>
    <n v="0"/>
    <n v="0"/>
    <n v="0"/>
    <n v="0"/>
    <n v="1"/>
    <n v="58"/>
    <n v="1"/>
    <n v="58"/>
    <n v="1"/>
    <n v="58"/>
    <x v="0"/>
    <n v="0"/>
    <n v="0"/>
    <n v="0"/>
    <n v="0"/>
    <n v="0"/>
    <n v="1"/>
    <n v="58"/>
    <m/>
    <n v="112"/>
    <n v="3"/>
    <n v="0"/>
    <x v="4"/>
    <n v="1"/>
    <n v="58"/>
    <n v="1"/>
    <n v="58"/>
    <n v="0"/>
    <n v="0"/>
    <n v="0"/>
    <n v="1"/>
    <n v="58"/>
    <n v="2.9"/>
    <n v="0"/>
    <s v="Not separated yet"/>
    <n v="0"/>
    <n v="0"/>
    <n v="0.57999999999999996"/>
    <n v="0"/>
    <n v="0"/>
    <n v="1"/>
    <n v="1"/>
    <n v="0"/>
    <n v="1"/>
    <m/>
    <d v="2014-05-12T00:00:00"/>
    <s v="To be realised"/>
    <n v="13"/>
    <n v="6"/>
    <n v="13"/>
    <n v="0"/>
    <n v="0"/>
    <x v="8"/>
    <m/>
    <n v="0.9"/>
    <n v="52.2"/>
    <n v="0"/>
    <s v="No coverage"/>
    <n v="0"/>
    <x v="2"/>
    <m/>
  </r>
  <r>
    <x v="9"/>
    <s v="MMR001CMP052"/>
    <x v="6"/>
    <x v="95"/>
    <n v="97.236919999999998"/>
    <n v="24.24766"/>
    <x v="0"/>
    <x v="0"/>
    <n v="45"/>
    <n v="241"/>
    <n v="241"/>
    <x v="1"/>
    <s v="HIDA, WHH"/>
    <s v="KBC"/>
    <x v="4"/>
    <x v="0"/>
    <d v="2016-03-30T00:00:00"/>
    <s v="Focal NGO"/>
    <x v="0"/>
    <n v="0"/>
    <n v="0"/>
    <s v="No"/>
    <n v="1"/>
    <n v="0"/>
    <n v="14400"/>
    <n v="0"/>
    <n v="0"/>
    <n v="1"/>
    <n v="241"/>
    <n v="1"/>
    <n v="241"/>
    <n v="1"/>
    <n v="241"/>
    <x v="0"/>
    <n v="0"/>
    <n v="0"/>
    <n v="0"/>
    <n v="0"/>
    <n v="0"/>
    <n v="1"/>
    <n v="241"/>
    <m/>
    <n v="25"/>
    <n v="0"/>
    <n v="7"/>
    <x v="0"/>
    <n v="0.58091286307053946"/>
    <n v="140"/>
    <n v="0"/>
    <n v="0"/>
    <n v="0.58091286307053946"/>
    <n v="140"/>
    <n v="0"/>
    <n v="0.69"/>
    <n v="166.29"/>
    <n v="5.0500000000000007"/>
    <n v="2"/>
    <s v="Separate, but not clearly perceived"/>
    <n v="0.82987551867219922"/>
    <n v="200"/>
    <n v="0.41000000000000014"/>
    <n v="0.83"/>
    <n v="200.03"/>
    <n v="2"/>
    <n v="0.82987551867219922"/>
    <n v="0.41000000000000014"/>
    <n v="0.83"/>
    <m/>
    <d v="2014-07-08T00:00:00"/>
    <s v="To be realised"/>
    <n v="46"/>
    <n v="6"/>
    <n v="45"/>
    <n v="0"/>
    <n v="0"/>
    <x v="2"/>
    <m/>
    <n v="0.8"/>
    <n v="192.8"/>
    <n v="1"/>
    <s v="Excellent coverage"/>
    <n v="0"/>
    <x v="0"/>
    <m/>
  </r>
  <r>
    <x v="9"/>
    <s v="MMR001CMP049"/>
    <x v="6"/>
    <x v="96"/>
    <n v="97.241630000000001"/>
    <n v="24.266110000000001"/>
    <x v="0"/>
    <x v="0"/>
    <n v="91"/>
    <n v="641"/>
    <n v="641"/>
    <x v="0"/>
    <s v="HIDA, WHH"/>
    <s v="Shalom"/>
    <x v="4"/>
    <x v="0"/>
    <d v="2016-03-30T00:00:00"/>
    <s v="Focal NGO"/>
    <x v="0"/>
    <n v="0"/>
    <n v="0"/>
    <s v="No"/>
    <n v="3"/>
    <n v="0"/>
    <n v="13500"/>
    <n v="0"/>
    <n v="0"/>
    <n v="1"/>
    <n v="641"/>
    <n v="1"/>
    <n v="641"/>
    <n v="1"/>
    <n v="641"/>
    <x v="0"/>
    <n v="0"/>
    <n v="0"/>
    <n v="0"/>
    <n v="0"/>
    <n v="0"/>
    <n v="1"/>
    <n v="641"/>
    <m/>
    <n v="5"/>
    <n v="7"/>
    <n v="14"/>
    <x v="0"/>
    <n v="0.65522620904836193"/>
    <n v="420"/>
    <n v="0.21840873634945396"/>
    <n v="140"/>
    <n v="0.43681747269890797"/>
    <n v="280"/>
    <n v="0"/>
    <n v="0.66"/>
    <n v="423.06"/>
    <n v="18.049999999999997"/>
    <n v="5"/>
    <s v="Separate, clearly perceived"/>
    <n v="0.78003120124804992"/>
    <n v="500"/>
    <n v="1.4100000000000001"/>
    <n v="0.78"/>
    <n v="499.98"/>
    <n v="7"/>
    <n v="1"/>
    <n v="0"/>
    <n v="1"/>
    <m/>
    <d v="2014-05-07T00:00:00"/>
    <s v="To be realised"/>
    <n v="103"/>
    <n v="6"/>
    <n v="91"/>
    <n v="0"/>
    <n v="0"/>
    <x v="8"/>
    <m/>
    <n v="0.8"/>
    <n v="512.80000000000007"/>
    <n v="2"/>
    <s v="Excellent coverage"/>
    <n v="0"/>
    <x v="1"/>
    <m/>
  </r>
  <r>
    <x v="9"/>
    <s v="MMR001CMP051"/>
    <x v="6"/>
    <x v="97"/>
    <n v="97.234200000000001"/>
    <n v="24.253067000000001"/>
    <x v="0"/>
    <x v="0"/>
    <n v="21"/>
    <n v="96"/>
    <n v="93"/>
    <x v="1"/>
    <s v="HIDA, WHH"/>
    <s v="Shalom"/>
    <x v="4"/>
    <x v="0"/>
    <d v="2016-03-30T00:00:00"/>
    <s v="Focal NGO"/>
    <x v="0"/>
    <n v="0"/>
    <n v="0"/>
    <s v="No"/>
    <n v="0"/>
    <n v="2"/>
    <n v="0"/>
    <n v="0"/>
    <n v="0"/>
    <n v="1"/>
    <n v="93"/>
    <n v="1"/>
    <n v="93"/>
    <n v="1"/>
    <n v="93"/>
    <x v="0"/>
    <n v="0"/>
    <n v="0"/>
    <n v="0"/>
    <n v="0"/>
    <n v="0"/>
    <n v="1"/>
    <n v="93"/>
    <m/>
    <n v="34"/>
    <n v="0"/>
    <n v="4"/>
    <x v="2"/>
    <n v="0.86021505376344087"/>
    <n v="80"/>
    <n v="0"/>
    <n v="0"/>
    <n v="0.86021505376344087"/>
    <n v="80"/>
    <n v="0"/>
    <n v="0.86"/>
    <n v="79.98"/>
    <n v="0.65000000000000036"/>
    <n v="3"/>
    <s v="Not separated yet"/>
    <n v="1"/>
    <n v="93"/>
    <n v="0"/>
    <n v="1"/>
    <n v="93"/>
    <n v="3"/>
    <n v="1"/>
    <n v="0"/>
    <n v="1"/>
    <m/>
    <d v="2014-05-07T00:00:00"/>
    <s v="To be realised"/>
    <n v="19"/>
    <n v="6"/>
    <n v="21"/>
    <n v="0"/>
    <n v="0"/>
    <x v="8"/>
    <m/>
    <n v="0.8"/>
    <n v="74.400000000000006"/>
    <n v="1"/>
    <s v="Excellent coverage"/>
    <n v="0"/>
    <x v="2"/>
    <m/>
  </r>
  <r>
    <x v="9"/>
    <s v="MMR001CMP054"/>
    <x v="6"/>
    <x v="98"/>
    <n v="97.315860000000001"/>
    <n v="24.32638"/>
    <x v="0"/>
    <x v="0"/>
    <n v="22"/>
    <n v="123"/>
    <n v="123"/>
    <x v="1"/>
    <s v="HIDA, WHH"/>
    <s v="KMSS"/>
    <x v="4"/>
    <x v="0"/>
    <d v="2016-03-30T00:00:00"/>
    <s v="Focal NGO"/>
    <x v="0"/>
    <n v="0"/>
    <n v="0"/>
    <s v="No"/>
    <n v="0"/>
    <n v="0"/>
    <n v="4860"/>
    <n v="0"/>
    <n v="0"/>
    <n v="1"/>
    <n v="123"/>
    <n v="1"/>
    <n v="123"/>
    <n v="1"/>
    <n v="123"/>
    <x v="0"/>
    <n v="0"/>
    <n v="0"/>
    <n v="0.3075"/>
    <n v="0"/>
    <n v="0"/>
    <n v="1"/>
    <n v="123"/>
    <m/>
    <n v="113"/>
    <n v="0"/>
    <n v="10"/>
    <x v="2"/>
    <n v="1"/>
    <n v="123"/>
    <n v="0"/>
    <n v="0"/>
    <n v="1"/>
    <n v="123"/>
    <n v="0"/>
    <n v="1"/>
    <n v="123"/>
    <n v="0"/>
    <n v="2"/>
    <s v="Separate, clearly perceived"/>
    <n v="1"/>
    <n v="123"/>
    <n v="0"/>
    <n v="1"/>
    <n v="123"/>
    <n v="1"/>
    <n v="0.81300813008130079"/>
    <n v="0.22999999999999998"/>
    <n v="0.81"/>
    <m/>
    <d v="2014-07-14T00:00:00"/>
    <s v="To be realised"/>
    <n v="22"/>
    <n v="6"/>
    <n v="22"/>
    <n v="0"/>
    <n v="0"/>
    <x v="2"/>
    <m/>
    <n v="0.8"/>
    <n v="98.4"/>
    <n v="1"/>
    <s v="Excellent coverage"/>
    <n v="0"/>
    <x v="1"/>
    <m/>
  </r>
  <r>
    <x v="9"/>
    <s v="MMR001CMP053"/>
    <x v="6"/>
    <x v="99"/>
    <n v="97.246889999999993"/>
    <n v="24.244129999999998"/>
    <x v="0"/>
    <x v="0"/>
    <n v="16"/>
    <n v="75"/>
    <n v="75"/>
    <x v="1"/>
    <s v="HIDA, WHH"/>
    <s v="Shalom"/>
    <x v="4"/>
    <x v="0"/>
    <d v="2016-03-30T00:00:00"/>
    <s v="Focal NGO"/>
    <x v="0"/>
    <n v="0"/>
    <n v="0"/>
    <s v="No"/>
    <n v="0"/>
    <n v="2"/>
    <n v="3915"/>
    <n v="0"/>
    <n v="0"/>
    <n v="1"/>
    <n v="75"/>
    <n v="1"/>
    <n v="75"/>
    <n v="1"/>
    <n v="75"/>
    <x v="0"/>
    <n v="0"/>
    <n v="0"/>
    <n v="0"/>
    <n v="0"/>
    <n v="0"/>
    <n v="1"/>
    <n v="75"/>
    <m/>
    <n v="4"/>
    <n v="0"/>
    <n v="10"/>
    <x v="0"/>
    <n v="1"/>
    <n v="75"/>
    <n v="0"/>
    <n v="0"/>
    <n v="1"/>
    <n v="75"/>
    <n v="0"/>
    <n v="1"/>
    <n v="75"/>
    <n v="0"/>
    <n v="1"/>
    <s v="Not separated yet"/>
    <n v="1"/>
    <n v="75"/>
    <n v="0"/>
    <n v="1"/>
    <n v="75"/>
    <n v="1"/>
    <n v="1"/>
    <n v="0"/>
    <n v="1"/>
    <m/>
    <d v="2014-05-07T00:00:00"/>
    <s v="To be realised"/>
    <n v="17"/>
    <n v="6"/>
    <n v="16"/>
    <n v="0"/>
    <n v="0"/>
    <x v="8"/>
    <m/>
    <n v="0.8"/>
    <n v="60"/>
    <n v="1"/>
    <s v="Excellent coverage"/>
    <n v="0"/>
    <x v="0"/>
    <m/>
  </r>
  <r>
    <x v="10"/>
    <s v="MMR001CMP066"/>
    <x v="6"/>
    <x v="100"/>
    <n v="97.291820000000001"/>
    <n v="24.129059999999999"/>
    <x v="0"/>
    <x v="0"/>
    <n v="150"/>
    <n v="696"/>
    <n v="696"/>
    <x v="0"/>
    <s v="HIDA, WHH"/>
    <s v="KBC"/>
    <x v="4"/>
    <x v="0"/>
    <d v="2016-03-30T00:00:00"/>
    <s v="Focal NGO"/>
    <x v="0"/>
    <n v="0"/>
    <n v="0"/>
    <s v="No"/>
    <n v="3"/>
    <n v="0"/>
    <n v="20335"/>
    <n v="0.5"/>
    <n v="0.3"/>
    <n v="1"/>
    <n v="696"/>
    <n v="1"/>
    <n v="696"/>
    <n v="1"/>
    <n v="696"/>
    <x v="0"/>
    <n v="0"/>
    <n v="0"/>
    <n v="0"/>
    <n v="45"/>
    <n v="348"/>
    <n v="1"/>
    <n v="696"/>
    <m/>
    <n v="573"/>
    <n v="10"/>
    <n v="24"/>
    <x v="2"/>
    <n v="0.97701149425287359"/>
    <n v="680"/>
    <n v="0.28735632183908044"/>
    <n v="200"/>
    <n v="0.68965517241379315"/>
    <n v="480.00000000000006"/>
    <n v="0"/>
    <n v="0.98"/>
    <n v="682.08"/>
    <n v="10.799999999999997"/>
    <n v="6"/>
    <s v="Separate, but not clearly perceived"/>
    <n v="0.86206896551724133"/>
    <n v="600"/>
    <n v="0.96"/>
    <n v="0.86"/>
    <n v="598.55999999999995"/>
    <n v="10"/>
    <n v="1"/>
    <n v="0"/>
    <n v="1"/>
    <m/>
    <d v="2014-07-15T00:00:00"/>
    <s v="To be realised"/>
    <n v="153"/>
    <n v="6"/>
    <n v="150"/>
    <n v="0"/>
    <n v="0"/>
    <x v="2"/>
    <m/>
    <n v="0.75"/>
    <n v="522"/>
    <n v="2"/>
    <s v="Excellent coverage"/>
    <n v="0"/>
    <x v="1"/>
    <m/>
  </r>
  <r>
    <x v="5"/>
    <s v="MMR001CMP056"/>
    <x v="6"/>
    <x v="101"/>
    <n v="97.347049999999996"/>
    <n v="24.255870000000002"/>
    <x v="0"/>
    <x v="0"/>
    <n v="141"/>
    <n v="625"/>
    <n v="625"/>
    <x v="0"/>
    <s v="HIDA, WHH"/>
    <s v="KBC"/>
    <x v="4"/>
    <x v="0"/>
    <d v="2016-03-30T00:00:00"/>
    <s v="Focal NGO"/>
    <x v="0"/>
    <n v="0"/>
    <n v="0"/>
    <s v="No"/>
    <n v="1"/>
    <n v="1"/>
    <n v="9555"/>
    <n v="0.1"/>
    <n v="0.68"/>
    <n v="1"/>
    <n v="625"/>
    <n v="1"/>
    <n v="625"/>
    <n v="1"/>
    <n v="625"/>
    <x v="0"/>
    <n v="0"/>
    <n v="0"/>
    <n v="0"/>
    <n v="95.88000000000001"/>
    <n v="62.5"/>
    <n v="1"/>
    <n v="625"/>
    <m/>
    <n v="0"/>
    <n v="14"/>
    <n v="16"/>
    <x v="1"/>
    <n v="0.96"/>
    <n v="600"/>
    <n v="0.44799999999999995"/>
    <n v="279.99999999999994"/>
    <n v="0.51200000000000001"/>
    <n v="320"/>
    <n v="0"/>
    <n v="0.96"/>
    <n v="600"/>
    <n v="15.25"/>
    <n v="4"/>
    <s v="Separate, but not clearly perceived"/>
    <n v="0.64"/>
    <n v="400"/>
    <n v="2.25"/>
    <n v="0.64"/>
    <n v="400"/>
    <n v="15"/>
    <n v="1"/>
    <n v="0"/>
    <n v="1"/>
    <m/>
    <d v="2014-05-12T00:00:00"/>
    <s v="To be realised"/>
    <n v="143"/>
    <n v="6"/>
    <n v="141"/>
    <n v="0"/>
    <n v="0"/>
    <x v="8"/>
    <m/>
    <n v="0.8"/>
    <n v="500"/>
    <n v="1"/>
    <s v="Good coverage"/>
    <n v="0"/>
    <x v="0"/>
    <m/>
  </r>
  <r>
    <x v="5"/>
    <s v="MMR001CMP056"/>
    <x v="6"/>
    <x v="102"/>
    <n v="97.346310000000003"/>
    <n v="24.253630000000001"/>
    <x v="0"/>
    <x v="0"/>
    <n v="18"/>
    <n v="113"/>
    <n v="113"/>
    <x v="1"/>
    <s v="HIDA, WHH"/>
    <s v="KBC"/>
    <x v="4"/>
    <x v="0"/>
    <d v="2016-03-30T00:00:00"/>
    <s v="Focal NGO"/>
    <x v="0"/>
    <n v="0"/>
    <n v="0"/>
    <s v="No"/>
    <n v="1"/>
    <n v="0"/>
    <n v="2000"/>
    <n v="0"/>
    <n v="1"/>
    <n v="1"/>
    <n v="113"/>
    <n v="1"/>
    <n v="113"/>
    <n v="1"/>
    <n v="113"/>
    <x v="0"/>
    <n v="0"/>
    <n v="0"/>
    <n v="0"/>
    <n v="18"/>
    <n v="0"/>
    <n v="1"/>
    <n v="113"/>
    <m/>
    <n v="16"/>
    <n v="2"/>
    <n v="6"/>
    <x v="0"/>
    <n v="1"/>
    <n v="113"/>
    <n v="0"/>
    <n v="0"/>
    <n v="1"/>
    <n v="113"/>
    <n v="0"/>
    <n v="1"/>
    <n v="113"/>
    <n v="0"/>
    <n v="2"/>
    <s v="Not separated yet"/>
    <n v="1"/>
    <n v="113"/>
    <n v="0"/>
    <n v="1"/>
    <n v="113"/>
    <n v="3"/>
    <n v="1"/>
    <n v="0"/>
    <n v="1"/>
    <m/>
    <d v="2014-05-12T00:00:00"/>
    <s v="To be realised"/>
    <n v="23"/>
    <n v="6"/>
    <n v="18"/>
    <n v="0"/>
    <n v="0"/>
    <x v="8"/>
    <m/>
    <n v="0.75"/>
    <n v="84.75"/>
    <n v="1"/>
    <s v="Excellent coverage"/>
    <n v="0"/>
    <x v="0"/>
    <m/>
  </r>
  <r>
    <x v="5"/>
    <s v="MMR001CMP056"/>
    <x v="6"/>
    <x v="103"/>
    <n v="97.359300000000005"/>
    <n v="24.267040000000001"/>
    <x v="0"/>
    <x v="0"/>
    <n v="7"/>
    <n v="39"/>
    <n v="39"/>
    <x v="1"/>
    <s v="HIDA, WHH"/>
    <s v="KBC"/>
    <x v="4"/>
    <x v="0"/>
    <d v="2016-03-30T00:00:00"/>
    <s v="Focal NGO"/>
    <x v="0"/>
    <n v="0"/>
    <n v="0"/>
    <s v="No"/>
    <n v="0"/>
    <n v="0"/>
    <n v="1080"/>
    <n v="0"/>
    <n v="0.8"/>
    <n v="1"/>
    <n v="39"/>
    <n v="1"/>
    <n v="39"/>
    <n v="1"/>
    <n v="39"/>
    <x v="0"/>
    <n v="0"/>
    <n v="0"/>
    <n v="9.7500000000000003E-2"/>
    <n v="5.6000000000000005"/>
    <n v="0"/>
    <n v="1"/>
    <n v="39"/>
    <m/>
    <n v="15"/>
    <n v="2"/>
    <n v="1"/>
    <x v="0"/>
    <n v="1"/>
    <n v="39"/>
    <n v="0.48717948717948723"/>
    <n v="19"/>
    <n v="0.51282051282051277"/>
    <n v="20"/>
    <n v="0"/>
    <n v="1"/>
    <n v="39"/>
    <n v="0.95"/>
    <n v="1"/>
    <s v="Not separated yet"/>
    <n v="1"/>
    <n v="39"/>
    <n v="0"/>
    <n v="1"/>
    <n v="39"/>
    <n v="1"/>
    <n v="1"/>
    <n v="0"/>
    <n v="1"/>
    <m/>
    <d v="2014-05-09T00:00:00"/>
    <s v="To be realised"/>
    <n v="7"/>
    <n v="6"/>
    <n v="7"/>
    <n v="0"/>
    <n v="0"/>
    <x v="8"/>
    <m/>
    <n v="0.85"/>
    <n v="33.15"/>
    <n v="1"/>
    <s v="Excellent coverage"/>
    <n v="0"/>
    <x v="0"/>
    <m/>
  </r>
  <r>
    <x v="5"/>
    <s v="MMR001CMP062"/>
    <x v="6"/>
    <x v="104"/>
    <n v="97.325019999999995"/>
    <n v="24.245100000000001"/>
    <x v="0"/>
    <x v="0"/>
    <n v="259"/>
    <n v="1134"/>
    <n v="1079"/>
    <x v="2"/>
    <s v="HIDA, WHH"/>
    <s v="KMSS"/>
    <x v="4"/>
    <x v="0"/>
    <d v="2016-03-30T00:00:00"/>
    <s v="Focal NGO"/>
    <x v="0"/>
    <n v="0"/>
    <n v="0"/>
    <s v="No"/>
    <n v="1"/>
    <n v="0"/>
    <n v="52740"/>
    <n v="0.2"/>
    <n v="0.01"/>
    <n v="1"/>
    <n v="1079"/>
    <n v="1"/>
    <n v="1079"/>
    <n v="1"/>
    <n v="1079"/>
    <x v="0"/>
    <n v="0"/>
    <n v="0"/>
    <n v="1.6974999999999998"/>
    <n v="2.59"/>
    <n v="215.8"/>
    <n v="1"/>
    <n v="1079"/>
    <m/>
    <n v="2"/>
    <n v="2"/>
    <n v="52"/>
    <x v="0"/>
    <n v="1"/>
    <n v="1079"/>
    <n v="3.6144578313253017E-2"/>
    <n v="39.000000000000007"/>
    <n v="0.96385542168674698"/>
    <n v="1040"/>
    <n v="2"/>
    <n v="1"/>
    <n v="1079"/>
    <n v="3.9500000000000028"/>
    <n v="7"/>
    <s v="Separate, but not clearly perceived"/>
    <n v="0.64874884151992585"/>
    <n v="700"/>
    <n v="4.34"/>
    <n v="0.65"/>
    <n v="701.35"/>
    <n v="15"/>
    <n v="1"/>
    <n v="0"/>
    <n v="1"/>
    <m/>
    <d v="2014-05-09T00:00:00"/>
    <s v="To be realised"/>
    <n v="153"/>
    <n v="6"/>
    <n v="259"/>
    <n v="0"/>
    <n v="0"/>
    <x v="8"/>
    <m/>
    <n v="0.85"/>
    <n v="917.15"/>
    <n v="2"/>
    <s v="Good coverage"/>
    <n v="0"/>
    <x v="0"/>
    <m/>
  </r>
  <r>
    <x v="5"/>
    <s v="MMR001CMP058"/>
    <x v="6"/>
    <x v="105"/>
    <n v="97.346940000000004"/>
    <n v="24.251860000000001"/>
    <x v="0"/>
    <x v="0"/>
    <n v="4"/>
    <n v="17"/>
    <n v="17"/>
    <x v="1"/>
    <s v="HIDA, WHH"/>
    <s v="Shalom"/>
    <x v="4"/>
    <x v="0"/>
    <d v="2016-03-30T00:00:00"/>
    <s v="Focal NGO"/>
    <x v="0"/>
    <n v="0"/>
    <n v="0"/>
    <s v="No"/>
    <n v="2"/>
    <n v="0"/>
    <n v="720"/>
    <n v="0"/>
    <n v="0.5"/>
    <n v="1"/>
    <n v="17"/>
    <n v="1"/>
    <n v="17"/>
    <n v="1"/>
    <n v="17"/>
    <x v="0"/>
    <n v="0"/>
    <n v="0"/>
    <n v="0"/>
    <n v="2"/>
    <n v="0"/>
    <n v="1"/>
    <n v="17"/>
    <m/>
    <n v="2"/>
    <n v="0"/>
    <n v="5"/>
    <x v="0"/>
    <n v="1"/>
    <n v="17"/>
    <n v="0"/>
    <n v="0"/>
    <n v="1"/>
    <n v="17"/>
    <n v="0"/>
    <n v="1"/>
    <n v="17"/>
    <n v="0"/>
    <n v="2"/>
    <s v="Separate, clearly perceived"/>
    <n v="1"/>
    <n v="17"/>
    <n v="0"/>
    <n v="1"/>
    <n v="17"/>
    <n v="1"/>
    <n v="1"/>
    <n v="0"/>
    <n v="1"/>
    <m/>
    <d v="2014-05-12T00:00:00"/>
    <s v="To be realised"/>
    <n v="4"/>
    <n v="6"/>
    <n v="4"/>
    <n v="0"/>
    <n v="0"/>
    <x v="8"/>
    <m/>
    <n v="0.8"/>
    <n v="13.600000000000001"/>
    <n v="1"/>
    <s v="Excellent coverage"/>
    <n v="0"/>
    <x v="0"/>
    <m/>
  </r>
  <r>
    <x v="5"/>
    <s v="MMR001CMP056"/>
    <x v="6"/>
    <x v="106"/>
    <n v="97.344359999999995"/>
    <n v="24.250689999999999"/>
    <x v="0"/>
    <x v="0"/>
    <n v="182"/>
    <n v="739"/>
    <n v="727"/>
    <x v="0"/>
    <s v="HIDA, WHH"/>
    <s v="KBC"/>
    <x v="4"/>
    <x v="0"/>
    <d v="2016-03-30T00:00:00"/>
    <s v="Focal NGO"/>
    <x v="0"/>
    <n v="0"/>
    <n v="0"/>
    <s v="No"/>
    <n v="1"/>
    <n v="0"/>
    <n v="15020"/>
    <n v="0.1"/>
    <n v="0.01"/>
    <n v="1"/>
    <n v="727"/>
    <n v="1"/>
    <n v="727"/>
    <n v="1"/>
    <n v="727"/>
    <x v="0"/>
    <n v="0"/>
    <n v="0"/>
    <n v="0.81749999999999989"/>
    <n v="1.82"/>
    <n v="72.7"/>
    <n v="1"/>
    <n v="727"/>
    <m/>
    <n v="0"/>
    <n v="13"/>
    <n v="10"/>
    <x v="2"/>
    <n v="0.6327372764786795"/>
    <n v="460"/>
    <n v="0.35763411279229712"/>
    <n v="260"/>
    <n v="0.27510316368638238"/>
    <n v="200"/>
    <n v="0"/>
    <n v="0.63"/>
    <n v="458.01"/>
    <n v="26.35"/>
    <n v="4"/>
    <s v="Separate, clearly perceived"/>
    <n v="0.55020632737276476"/>
    <n v="400"/>
    <n v="3.3899999999999997"/>
    <n v="0.55000000000000004"/>
    <n v="399.85"/>
    <n v="6"/>
    <n v="0.82530949105914719"/>
    <n v="1.3899999999999997"/>
    <n v="0.83"/>
    <m/>
    <d v="2014-05-09T00:00:00"/>
    <s v="To be realised"/>
    <n v="209"/>
    <n v="6"/>
    <n v="182"/>
    <n v="0"/>
    <n v="0"/>
    <x v="8"/>
    <m/>
    <n v="0.75"/>
    <n v="545.25"/>
    <n v="1"/>
    <s v="Good coverage"/>
    <n v="0"/>
    <x v="0"/>
    <m/>
  </r>
  <r>
    <x v="11"/>
    <s v="MMR001CMP067"/>
    <x v="6"/>
    <x v="107"/>
    <n v="96.807353000000006"/>
    <n v="24.200361000000001"/>
    <x v="0"/>
    <x v="0"/>
    <n v="88"/>
    <n v="299"/>
    <n v="238"/>
    <x v="0"/>
    <s v="HIDA, WHH"/>
    <s v="KBC"/>
    <x v="4"/>
    <x v="0"/>
    <d v="2016-03-30T00:00:00"/>
    <s v="Focal NGO"/>
    <x v="0"/>
    <n v="0"/>
    <n v="0"/>
    <s v="No"/>
    <n v="0"/>
    <n v="1"/>
    <n v="11745"/>
    <n v="0.01"/>
    <n v="0"/>
    <n v="1"/>
    <n v="238"/>
    <n v="1"/>
    <n v="238"/>
    <n v="1"/>
    <n v="238"/>
    <x v="0"/>
    <n v="0"/>
    <n v="0"/>
    <n v="0"/>
    <n v="0"/>
    <n v="2.38"/>
    <n v="1"/>
    <n v="238"/>
    <m/>
    <n v="21"/>
    <n v="9"/>
    <n v="11"/>
    <x v="0"/>
    <n v="1"/>
    <n v="238"/>
    <n v="7.5630252100840289E-2"/>
    <n v="17.999999999999989"/>
    <n v="0.92436974789915971"/>
    <n v="220"/>
    <n v="0"/>
    <n v="1"/>
    <n v="238"/>
    <n v="0.90000000000000036"/>
    <n v="5"/>
    <s v="Not separated yet"/>
    <n v="1"/>
    <n v="238"/>
    <n v="0"/>
    <n v="1"/>
    <n v="238"/>
    <n v="5"/>
    <n v="1"/>
    <n v="0"/>
    <n v="1"/>
    <m/>
    <d v="2014-05-20T00:00:00"/>
    <s v="To be realised"/>
    <n v="70"/>
    <n v="6"/>
    <n v="88"/>
    <n v="0"/>
    <n v="0"/>
    <x v="8"/>
    <m/>
    <n v="0.6"/>
    <n v="142.79999999999998"/>
    <n v="1"/>
    <s v="Excellent coverage"/>
    <n v="0"/>
    <x v="1"/>
    <m/>
  </r>
  <r>
    <x v="11"/>
    <s v="MMR001CMP068"/>
    <x v="6"/>
    <x v="108"/>
    <n v="96.807353000000006"/>
    <n v="24.200367"/>
    <x v="0"/>
    <x v="0"/>
    <n v="49"/>
    <n v="174"/>
    <n v="174"/>
    <x v="1"/>
    <s v="HIDA, WHH"/>
    <s v="KMSS"/>
    <x v="4"/>
    <x v="0"/>
    <d v="2016-03-30T00:00:00"/>
    <s v="Focal NGO"/>
    <x v="0"/>
    <n v="0"/>
    <n v="0"/>
    <s v="No"/>
    <n v="0"/>
    <n v="3"/>
    <n v="4000"/>
    <n v="0"/>
    <n v="0.21"/>
    <n v="1"/>
    <n v="174"/>
    <n v="1"/>
    <n v="174"/>
    <n v="1"/>
    <n v="174"/>
    <x v="0"/>
    <n v="0"/>
    <n v="0"/>
    <n v="0"/>
    <n v="10.29"/>
    <n v="0"/>
    <n v="1"/>
    <n v="174"/>
    <m/>
    <n v="9"/>
    <n v="6"/>
    <n v="10"/>
    <x v="2"/>
    <n v="1"/>
    <n v="174"/>
    <n v="0"/>
    <n v="0"/>
    <n v="1"/>
    <n v="174"/>
    <n v="0"/>
    <n v="1"/>
    <n v="174"/>
    <n v="0"/>
    <n v="4"/>
    <s v="Not separated yet"/>
    <n v="1"/>
    <n v="174"/>
    <n v="0"/>
    <n v="1"/>
    <n v="174"/>
    <n v="2"/>
    <n v="1"/>
    <n v="0"/>
    <n v="1"/>
    <m/>
    <d v="2014-05-20T00:00:00"/>
    <s v="To be realised"/>
    <n v="54"/>
    <n v="6"/>
    <n v="49"/>
    <n v="0"/>
    <n v="0"/>
    <x v="8"/>
    <m/>
    <n v="0.65"/>
    <n v="113.10000000000001"/>
    <n v="1"/>
    <s v="Excellent coverage"/>
    <n v="0"/>
    <x v="0"/>
    <m/>
  </r>
  <r>
    <x v="9"/>
    <s v="MMR001CMP050"/>
    <x v="6"/>
    <x v="109"/>
    <n v="97.238829999999993"/>
    <n v="24.260719999999999"/>
    <x v="0"/>
    <x v="0"/>
    <n v="210"/>
    <n v="965"/>
    <n v="965"/>
    <x v="0"/>
    <s v="UNICEF"/>
    <s v="KMSS"/>
    <x v="5"/>
    <x v="0"/>
    <d v="2015-08-31T00:00:00"/>
    <s v="Focal NGO"/>
    <x v="0"/>
    <n v="0"/>
    <n v="0"/>
    <s v="No"/>
    <n v="0"/>
    <n v="4"/>
    <n v="21600"/>
    <n v="0.8"/>
    <n v="0.11088082901554404"/>
    <n v="1"/>
    <n v="965"/>
    <n v="1"/>
    <n v="965"/>
    <n v="1"/>
    <n v="965"/>
    <x v="0"/>
    <n v="0"/>
    <n v="0"/>
    <n v="0"/>
    <n v="23.28497409326425"/>
    <n v="772"/>
    <n v="1"/>
    <n v="965"/>
    <s v="3 DTW"/>
    <n v="0"/>
    <n v="0"/>
    <n v="24"/>
    <x v="0"/>
    <n v="0.49740932642487046"/>
    <n v="480"/>
    <n v="0"/>
    <n v="0"/>
    <n v="0.49740932642487046"/>
    <n v="480"/>
    <n v="0"/>
    <n v="0.52"/>
    <n v="501.8"/>
    <n v="24.25"/>
    <n v="3"/>
    <s v="Separate, but not clearly perceived"/>
    <n v="0.31088082901554404"/>
    <n v="300"/>
    <n v="6.65"/>
    <n v="0.41"/>
    <n v="395.65"/>
    <n v="7"/>
    <n v="0.72538860103626945"/>
    <n v="2.6500000000000004"/>
    <n v="0.73"/>
    <s v="SI have plan additional construction 4 doors SPL/ 1EBP"/>
    <d v="2014-05-29T00:00:00"/>
    <s v="To be realised"/>
    <n v="212"/>
    <n v="6"/>
    <n v="210"/>
    <n v="0"/>
    <n v="0"/>
    <x v="9"/>
    <m/>
    <n v="0.35453895639742672"/>
    <n v="342.13009292351677"/>
    <n v="5"/>
    <s v="Excellent coverage"/>
    <n v="0"/>
    <x v="0"/>
    <m/>
  </r>
  <r>
    <x v="9"/>
    <s v="MMR001CMP050"/>
    <x v="6"/>
    <x v="110"/>
    <n v="97.243579999999994"/>
    <n v="24.260120000000001"/>
    <x v="0"/>
    <x v="0"/>
    <n v="83"/>
    <n v="434"/>
    <n v="434"/>
    <x v="0"/>
    <s v="UNICEF"/>
    <s v="KMSS"/>
    <x v="5"/>
    <x v="0"/>
    <d v="2015-08-31T00:00:00"/>
    <s v="Focal NGO"/>
    <x v="0"/>
    <n v="0"/>
    <n v="0"/>
    <s v="No"/>
    <n v="0"/>
    <n v="1"/>
    <n v="14400"/>
    <n v="0.26666666666666666"/>
    <n v="8.5253456221198162E-2"/>
    <n v="1"/>
    <n v="434"/>
    <n v="1"/>
    <n v="434"/>
    <n v="1"/>
    <n v="434"/>
    <x v="0"/>
    <n v="0"/>
    <n v="0"/>
    <n v="8.4999999999999964E-2"/>
    <n v="7.0760368663594475"/>
    <n v="115.73333333333333"/>
    <n v="1"/>
    <n v="434"/>
    <s v="1 DTW"/>
    <n v="0"/>
    <n v="5"/>
    <n v="8"/>
    <x v="2"/>
    <n v="0.59907834101382484"/>
    <n v="260"/>
    <n v="0.23041474654377875"/>
    <n v="99.999999999999972"/>
    <n v="0.3686635944700461"/>
    <n v="160"/>
    <n v="0"/>
    <n v="0.6"/>
    <n v="260.39999999999998"/>
    <n v="13.7"/>
    <n v="1"/>
    <s v="Separate, but not clearly perceived"/>
    <n v="0.2304147465437788"/>
    <n v="100"/>
    <n v="3.34"/>
    <n v="0.23"/>
    <n v="99.820000000000007"/>
    <n v="3"/>
    <n v="0.69124423963133641"/>
    <n v="1.3399999999999999"/>
    <n v="0.69"/>
    <m/>
    <d v="2014-05-29T00:00:00"/>
    <s v="To be realised"/>
    <n v="78"/>
    <n v="6"/>
    <n v="83"/>
    <n v="0"/>
    <n v="0"/>
    <x v="9"/>
    <m/>
    <n v="1"/>
    <n v="434"/>
    <n v="2"/>
    <s v="Excellent coverage"/>
    <n v="0"/>
    <x v="0"/>
    <m/>
  </r>
  <r>
    <x v="9"/>
    <s v="MMR001CMP193"/>
    <x v="6"/>
    <x v="111"/>
    <n v="97.252650000000003"/>
    <n v="24.222349999999999"/>
    <x v="0"/>
    <x v="0"/>
    <n v="157"/>
    <n v="749"/>
    <n v="749"/>
    <x v="0"/>
    <s v="UNICEF"/>
    <s v="KBC"/>
    <x v="5"/>
    <x v="0"/>
    <d v="2015-08-31T00:00:00"/>
    <s v="Focal NGO"/>
    <x v="0"/>
    <n v="0"/>
    <n v="0"/>
    <s v="No"/>
    <n v="1"/>
    <n v="0"/>
    <n v="18000"/>
    <n v="0"/>
    <n v="0.2136181575433912"/>
    <n v="1"/>
    <n v="749"/>
    <n v="1"/>
    <n v="749"/>
    <n v="1"/>
    <n v="749"/>
    <x v="0"/>
    <n v="0"/>
    <n v="0"/>
    <n v="0.87250000000000005"/>
    <n v="33.538050734312421"/>
    <n v="0"/>
    <n v="1"/>
    <n v="749"/>
    <s v="3 DTW"/>
    <n v="4"/>
    <n v="32"/>
    <n v="18"/>
    <x v="1"/>
    <n v="1"/>
    <n v="749"/>
    <n v="0.51935914552736984"/>
    <n v="389"/>
    <n v="0.48064085447263016"/>
    <n v="360"/>
    <n v="0"/>
    <n v="1"/>
    <n v="749"/>
    <n v="19.450000000000003"/>
    <n v="7"/>
    <s v="Separate, clearly perceived"/>
    <n v="0.93457943925233644"/>
    <n v="700"/>
    <n v="0.49000000000000021"/>
    <n v="1"/>
    <n v="749"/>
    <n v="18"/>
    <n v="1"/>
    <n v="0"/>
    <n v="1"/>
    <s v="SI have plan additional construction 3doors SPL/ 2 EBP"/>
    <d v="2014-05-28T00:00:00"/>
    <s v="To be realised"/>
    <n v="178"/>
    <n v="6"/>
    <n v="157"/>
    <n v="0"/>
    <n v="0"/>
    <x v="9"/>
    <m/>
    <n v="0.22563417890520696"/>
    <n v="169"/>
    <n v="7"/>
    <s v="Excellent coverage"/>
    <n v="0"/>
    <x v="0"/>
    <m/>
  </r>
  <r>
    <x v="9"/>
    <s v="MMR001CMP047"/>
    <x v="6"/>
    <x v="112"/>
    <n v="97.228769999999997"/>
    <n v="24.26502"/>
    <x v="0"/>
    <x v="0"/>
    <n v="626"/>
    <n v="3781"/>
    <n v="3781"/>
    <x v="3"/>
    <s v="UNICEF"/>
    <s v="KBC"/>
    <x v="5"/>
    <x v="0"/>
    <d v="2015-08-31T00:00:00"/>
    <s v="Focal NGO"/>
    <x v="0"/>
    <n v="0"/>
    <n v="0"/>
    <s v="No"/>
    <n v="0"/>
    <n v="20"/>
    <n v="36000"/>
    <n v="1"/>
    <n v="8.1724411531340913E-2"/>
    <n v="1"/>
    <n v="3781"/>
    <n v="1"/>
    <n v="3781"/>
    <n v="1"/>
    <n v="3781"/>
    <x v="0"/>
    <n v="0"/>
    <n v="0"/>
    <n v="0"/>
    <n v="51.159481618619409"/>
    <n v="3781"/>
    <n v="1"/>
    <n v="3781"/>
    <s v="3 DTW"/>
    <n v="2"/>
    <n v="46"/>
    <n v="106"/>
    <x v="2"/>
    <n v="0.8040201005025126"/>
    <n v="3040"/>
    <n v="0.24332187252049731"/>
    <n v="920.00000000000034"/>
    <n v="0.5606982279820153"/>
    <n v="2120"/>
    <n v="4"/>
    <n v="0.87"/>
    <n v="3289.47"/>
    <n v="87.050000000000011"/>
    <n v="10"/>
    <s v="Separate, but not clearly perceived"/>
    <n v="0.26448029621793179"/>
    <n v="1000.0000000000001"/>
    <n v="27.810000000000002"/>
    <n v="0.26"/>
    <n v="983.06000000000006"/>
    <n v="30"/>
    <n v="0.79344088865379525"/>
    <n v="7.8100000000000023"/>
    <n v="0.79"/>
    <s v="SI have plan additional construction 8doors SPL."/>
    <d v="2014-05-09T00:00:00"/>
    <s v="To be realised"/>
    <n v="649"/>
    <n v="6"/>
    <n v="626"/>
    <n v="0"/>
    <n v="0"/>
    <x v="8"/>
    <m/>
    <n v="0.12800846336947896"/>
    <n v="483.99999999999994"/>
    <n v="11"/>
    <s v="Excellent coverage"/>
    <n v="0"/>
    <x v="0"/>
    <m/>
  </r>
  <r>
    <x v="9"/>
    <s v="MMR001CMP055"/>
    <x v="6"/>
    <x v="113"/>
    <n v="97.227789999999999"/>
    <n v="24.29138"/>
    <x v="0"/>
    <x v="0"/>
    <n v="27"/>
    <n v="111"/>
    <n v="111"/>
    <x v="1"/>
    <s v="UNICEF"/>
    <s v="Shalom"/>
    <x v="5"/>
    <x v="0"/>
    <d v="2015-08-31T00:00:00"/>
    <s v="Focal NGO"/>
    <x v="0"/>
    <n v="0"/>
    <n v="0"/>
    <s v="No"/>
    <n v="0"/>
    <n v="3"/>
    <n v="4000"/>
    <n v="0"/>
    <n v="0.25225225225225223"/>
    <n v="1"/>
    <n v="111"/>
    <n v="1"/>
    <n v="111"/>
    <n v="1"/>
    <n v="111"/>
    <x v="0"/>
    <n v="0"/>
    <n v="0"/>
    <n v="0"/>
    <n v="6.8108108108108105"/>
    <n v="0"/>
    <n v="1"/>
    <n v="111"/>
    <s v="1 DTW"/>
    <n v="24"/>
    <n v="8"/>
    <n v="10"/>
    <x v="0"/>
    <n v="1"/>
    <n v="111"/>
    <n v="0"/>
    <n v="0"/>
    <n v="1"/>
    <n v="111"/>
    <n v="0"/>
    <n v="1"/>
    <n v="111"/>
    <n v="0"/>
    <n v="3"/>
    <s v="Separate, clearly perceived"/>
    <n v="1"/>
    <n v="111"/>
    <n v="0"/>
    <n v="1"/>
    <n v="111"/>
    <n v="3"/>
    <n v="1"/>
    <n v="0"/>
    <n v="1"/>
    <m/>
    <d v="2014-06-10T00:00:00"/>
    <s v="To be realised"/>
    <n v="42"/>
    <n v="6"/>
    <n v="27"/>
    <n v="0"/>
    <n v="0"/>
    <x v="9"/>
    <m/>
    <n v="1"/>
    <n v="111"/>
    <n v="2"/>
    <s v="Excellent coverage"/>
    <n v="0"/>
    <x v="0"/>
    <m/>
  </r>
  <r>
    <x v="5"/>
    <s v="MMR001CMP121"/>
    <x v="4"/>
    <x v="114"/>
    <n v="97.568282999999994"/>
    <n v="24.688167"/>
    <x v="0"/>
    <x v="1"/>
    <n v="1548"/>
    <n v="7247"/>
    <n v="7247"/>
    <x v="4"/>
    <s v="UNICEF"/>
    <s v="KMSS"/>
    <x v="1"/>
    <x v="0"/>
    <d v="2015-08-31T00:00:00"/>
    <s v="Focal NGO"/>
    <x v="0"/>
    <n v="0"/>
    <n v="0"/>
    <s v="No"/>
    <n v="5"/>
    <n v="0"/>
    <n v="97500"/>
    <n v="0"/>
    <n v="0"/>
    <n v="1"/>
    <n v="7247"/>
    <n v="1"/>
    <n v="7247"/>
    <n v="1"/>
    <n v="7247"/>
    <x v="0"/>
    <n v="0"/>
    <n v="0"/>
    <n v="13.1175"/>
    <n v="0"/>
    <n v="0"/>
    <n v="1"/>
    <n v="7247"/>
    <m/>
    <n v="12"/>
    <n v="25"/>
    <n v="465"/>
    <x v="0"/>
    <n v="1"/>
    <n v="7247"/>
    <n v="0"/>
    <n v="0"/>
    <n v="1"/>
    <n v="7247"/>
    <n v="0"/>
    <n v="1"/>
    <n v="7247"/>
    <n v="0"/>
    <n v="50"/>
    <s v="Not separated yet"/>
    <n v="0.68994066510280116"/>
    <n v="5000"/>
    <n v="22.47"/>
    <n v="0.69"/>
    <n v="5000.4299999999994"/>
    <n v="102"/>
    <n v="1"/>
    <n v="0"/>
    <n v="1"/>
    <m/>
    <d v="2013-10-10T00:00:00"/>
    <s v="To be realised"/>
    <n v="1646"/>
    <n v="6"/>
    <n v="1548"/>
    <n v="0"/>
    <n v="0"/>
    <x v="10"/>
    <m/>
    <n v="0.14405961087346489"/>
    <n v="1044"/>
    <n v="17"/>
    <s v="Excellent coverage"/>
    <n v="0"/>
    <x v="0"/>
    <m/>
  </r>
  <r>
    <x v="5"/>
    <s v="MMR001CMP071"/>
    <x v="3"/>
    <x v="115"/>
    <n v="97.718582999999995"/>
    <n v="24.200972"/>
    <x v="0"/>
    <x v="0"/>
    <n v="30"/>
    <n v="182"/>
    <n v="128"/>
    <x v="1"/>
    <s v="UNICEF"/>
    <s v="KBC"/>
    <x v="5"/>
    <x v="0"/>
    <d v="2015-08-31T00:00:00"/>
    <s v="Focal NGO"/>
    <x v="0"/>
    <n v="0"/>
    <n v="0"/>
    <s v="No"/>
    <n v="0"/>
    <n v="1"/>
    <n v="3000"/>
    <n v="0"/>
    <n v="0.12087912087912088"/>
    <n v="1"/>
    <n v="128"/>
    <n v="1"/>
    <n v="128"/>
    <n v="1"/>
    <n v="128"/>
    <x v="0"/>
    <n v="0"/>
    <n v="0"/>
    <n v="0"/>
    <n v="3.6263736263736264"/>
    <n v="0"/>
    <n v="1"/>
    <n v="128"/>
    <m/>
    <n v="2"/>
    <n v="0"/>
    <n v="10"/>
    <x v="2"/>
    <n v="1"/>
    <n v="128"/>
    <n v="0"/>
    <n v="0"/>
    <n v="1"/>
    <n v="128"/>
    <n v="0"/>
    <n v="1"/>
    <n v="128"/>
    <n v="0"/>
    <n v="1"/>
    <s v="Separate, clearly perceived"/>
    <n v="0.78125"/>
    <n v="100"/>
    <n v="0.82000000000000006"/>
    <n v="0.78"/>
    <n v="99.84"/>
    <n v="6"/>
    <n v="1"/>
    <n v="0"/>
    <n v="1"/>
    <m/>
    <d v="2014-06-04T00:00:00"/>
    <s v="To be realised"/>
    <n v="29"/>
    <n v="6"/>
    <n v="30"/>
    <n v="0"/>
    <n v="0"/>
    <x v="9"/>
    <m/>
    <n v="1"/>
    <n v="128"/>
    <n v="1"/>
    <s v="Excellent coverage"/>
    <n v="0"/>
    <x v="0"/>
    <m/>
  </r>
  <r>
    <x v="5"/>
    <s v="MMR001CMP069"/>
    <x v="3"/>
    <x v="116"/>
    <n v="97.724566999999993"/>
    <n v="24.205417000000001"/>
    <x v="0"/>
    <x v="0"/>
    <n v="69"/>
    <n v="369"/>
    <n v="107"/>
    <x v="0"/>
    <s v="UNICEF"/>
    <s v="KMSS"/>
    <x v="5"/>
    <x v="0"/>
    <d v="2015-08-31T00:00:00"/>
    <s v="Focal NGO"/>
    <x v="0"/>
    <n v="0"/>
    <n v="0"/>
    <s v="No"/>
    <n v="0"/>
    <n v="1"/>
    <n v="25200"/>
    <n v="0"/>
    <n v="0.12466124661246612"/>
    <n v="1"/>
    <n v="107"/>
    <n v="1"/>
    <n v="107"/>
    <n v="1"/>
    <n v="107"/>
    <x v="0"/>
    <n v="0"/>
    <n v="0"/>
    <n v="0"/>
    <n v="8.6016260162601625"/>
    <n v="0"/>
    <n v="1"/>
    <n v="107"/>
    <s v="1 DTW"/>
    <n v="8"/>
    <n v="8"/>
    <n v="12"/>
    <x v="1"/>
    <n v="1"/>
    <n v="107"/>
    <n v="0"/>
    <n v="0"/>
    <n v="1"/>
    <n v="107"/>
    <n v="0"/>
    <n v="1"/>
    <n v="107"/>
    <n v="0"/>
    <n v="2"/>
    <s v="Not separated yet"/>
    <n v="1"/>
    <n v="107"/>
    <n v="1.69"/>
    <n v="1"/>
    <n v="107"/>
    <n v="5"/>
    <n v="1"/>
    <n v="0"/>
    <n v="1"/>
    <m/>
    <d v="2014-06-04T00:00:00"/>
    <s v="To be realised"/>
    <n v="55"/>
    <n v="6"/>
    <n v="69"/>
    <n v="0"/>
    <n v="0"/>
    <x v="9"/>
    <m/>
    <n v="0.91221374045801529"/>
    <n v="97.60687022900764"/>
    <n v="3"/>
    <s v="Excellent coverage"/>
    <n v="0"/>
    <x v="0"/>
    <m/>
  </r>
  <r>
    <x v="5"/>
    <s v="MMR001CMP070"/>
    <x v="3"/>
    <x v="117"/>
    <n v="97.717133000000004"/>
    <n v="24.200433"/>
    <x v="0"/>
    <x v="0"/>
    <n v="74"/>
    <n v="412"/>
    <n v="412"/>
    <x v="0"/>
    <s v="UNICEF"/>
    <s v="KBC"/>
    <x v="5"/>
    <x v="0"/>
    <d v="2015-08-31T00:00:00"/>
    <s v="Focal NGO"/>
    <x v="0"/>
    <n v="0"/>
    <n v="0"/>
    <s v="No"/>
    <n v="0"/>
    <n v="1"/>
    <n v="8400"/>
    <n v="0"/>
    <n v="0.16990291262135923"/>
    <n v="1"/>
    <n v="412"/>
    <n v="1"/>
    <n v="412"/>
    <n v="1"/>
    <n v="412"/>
    <x v="0"/>
    <n v="0"/>
    <n v="0"/>
    <n v="3.0000000000000027E-2"/>
    <n v="12.572815533980583"/>
    <n v="0"/>
    <n v="1"/>
    <n v="412"/>
    <s v="1 DTW"/>
    <n v="0"/>
    <n v="0"/>
    <n v="12"/>
    <x v="1"/>
    <n v="0.58252427184466016"/>
    <n v="239.99999999999997"/>
    <n v="0"/>
    <n v="0"/>
    <n v="0.58252427184466016"/>
    <n v="239.99999999999997"/>
    <n v="0"/>
    <n v="0.57999999999999996"/>
    <n v="238.95999999999998"/>
    <n v="8.6000000000000014"/>
    <n v="1"/>
    <s v="Not separated yet"/>
    <n v="0.24271844660194175"/>
    <n v="100"/>
    <n v="3.12"/>
    <n v="0.24"/>
    <n v="98.88"/>
    <n v="4"/>
    <n v="0.970873786407767"/>
    <n v="0.12000000000000011"/>
    <n v="0.97"/>
    <m/>
    <d v="2014-06-06T00:00:00"/>
    <s v="To be realised"/>
    <n v="113"/>
    <n v="6"/>
    <n v="74"/>
    <n v="0"/>
    <n v="0"/>
    <x v="9"/>
    <m/>
    <n v="1"/>
    <n v="412"/>
    <n v="4"/>
    <s v="Excellent coverage"/>
    <n v="0"/>
    <x v="0"/>
    <m/>
  </r>
  <r>
    <x v="5"/>
    <s v="MMR001CMP070"/>
    <x v="3"/>
    <x v="118"/>
    <n v="97.715400000000002"/>
    <n v="24.20083"/>
    <x v="0"/>
    <x v="0"/>
    <n v="40"/>
    <n v="220"/>
    <n v="220"/>
    <x v="1"/>
    <s v="UNICEF"/>
    <s v="KBC"/>
    <x v="5"/>
    <x v="0"/>
    <d v="2015-08-31T00:00:00"/>
    <s v="Focal NGO"/>
    <x v="0"/>
    <n v="0"/>
    <n v="0"/>
    <s v="No"/>
    <n v="0"/>
    <n v="1"/>
    <n v="4000"/>
    <n v="0"/>
    <n v="0.15454545454545454"/>
    <n v="1"/>
    <n v="220"/>
    <n v="1"/>
    <n v="220"/>
    <n v="1"/>
    <n v="220"/>
    <x v="0"/>
    <n v="0"/>
    <n v="0"/>
    <n v="0"/>
    <n v="6.1818181818181817"/>
    <n v="0"/>
    <n v="1"/>
    <n v="220"/>
    <m/>
    <n v="34"/>
    <n v="2"/>
    <n v="8"/>
    <x v="0"/>
    <n v="0.90909090909090906"/>
    <n v="200"/>
    <n v="0.18181818181818177"/>
    <n v="39.999999999999986"/>
    <n v="0.72727272727272729"/>
    <n v="160"/>
    <n v="0"/>
    <n v="0.91"/>
    <n v="200.20000000000002"/>
    <n v="3"/>
    <n v="1"/>
    <s v="Not separated yet"/>
    <n v="0.45454545454545453"/>
    <n v="100"/>
    <n v="1.2000000000000002"/>
    <n v="0.45"/>
    <n v="99"/>
    <n v="4"/>
    <n v="1"/>
    <n v="0"/>
    <n v="1"/>
    <m/>
    <d v="2014-06-06T00:00:00"/>
    <s v="To be realised"/>
    <n v="35"/>
    <n v="6"/>
    <n v="40"/>
    <n v="0"/>
    <n v="0"/>
    <x v="9"/>
    <m/>
    <n v="1"/>
    <n v="220"/>
    <n v="1"/>
    <s v="Excellent coverage"/>
    <n v="0"/>
    <x v="0"/>
    <m/>
  </r>
  <r>
    <x v="5"/>
    <s v="MMR001CMP070"/>
    <x v="3"/>
    <x v="119"/>
    <n v="97.716260000000005"/>
    <n v="24.20411"/>
    <x v="0"/>
    <x v="0"/>
    <n v="21"/>
    <n v="115"/>
    <n v="115"/>
    <x v="1"/>
    <s v="UNICEF"/>
    <s v="KBC"/>
    <x v="5"/>
    <x v="0"/>
    <d v="2015-08-31T00:00:00"/>
    <s v="Focal NGO"/>
    <x v="0"/>
    <n v="0"/>
    <n v="0"/>
    <s v="No"/>
    <n v="0"/>
    <n v="1"/>
    <n v="1500"/>
    <n v="0"/>
    <n v="0.18260869565217391"/>
    <n v="1"/>
    <n v="115"/>
    <n v="1"/>
    <n v="115"/>
    <n v="1"/>
    <n v="115"/>
    <x v="0"/>
    <n v="0"/>
    <n v="0"/>
    <n v="0"/>
    <n v="3.8347826086956522"/>
    <n v="0"/>
    <n v="1"/>
    <n v="115"/>
    <m/>
    <n v="30"/>
    <n v="2"/>
    <n v="4"/>
    <x v="2"/>
    <n v="1"/>
    <n v="115"/>
    <n v="0.30434782608695654"/>
    <n v="35"/>
    <n v="0.69565217391304346"/>
    <n v="80"/>
    <n v="0"/>
    <n v="1"/>
    <n v="115"/>
    <n v="1.75"/>
    <n v="1"/>
    <s v="Not separated yet"/>
    <n v="0.86956521739130432"/>
    <n v="100"/>
    <n v="0.14999999999999991"/>
    <n v="0.87"/>
    <n v="100.05"/>
    <n v="1"/>
    <n v="0.86956521739130432"/>
    <n v="0.14999999999999991"/>
    <n v="0.87"/>
    <m/>
    <d v="2014-06-06T00:00:00"/>
    <s v="To be realised"/>
    <n v="22"/>
    <n v="6"/>
    <n v="21"/>
    <n v="0"/>
    <n v="0"/>
    <x v="9"/>
    <m/>
    <n v="1"/>
    <n v="115"/>
    <n v="1"/>
    <s v="Excellent coverage"/>
    <n v="0"/>
    <x v="0"/>
    <m/>
  </r>
  <r>
    <x v="5"/>
    <s v="MMR001CMP070"/>
    <x v="3"/>
    <x v="120"/>
    <n v="97.714839999999995"/>
    <n v="24.20757"/>
    <x v="0"/>
    <x v="0"/>
    <n v="52"/>
    <n v="248"/>
    <n v="248"/>
    <x v="0"/>
    <s v="UNICEF"/>
    <s v="KBC"/>
    <x v="5"/>
    <x v="0"/>
    <d v="2015-08-31T00:00:00"/>
    <s v="Focal NGO"/>
    <x v="0"/>
    <n v="0"/>
    <n v="0"/>
    <s v="No"/>
    <n v="0"/>
    <n v="1"/>
    <n v="4000"/>
    <n v="0"/>
    <n v="0.16532258064516128"/>
    <n v="1"/>
    <n v="248"/>
    <n v="1"/>
    <n v="248"/>
    <n v="1"/>
    <n v="248"/>
    <x v="0"/>
    <n v="0"/>
    <n v="0"/>
    <n v="0"/>
    <n v="8.5967741935483861"/>
    <n v="0"/>
    <n v="1"/>
    <n v="248"/>
    <m/>
    <n v="2"/>
    <n v="0"/>
    <n v="10"/>
    <x v="2"/>
    <n v="0.80645161290322576"/>
    <n v="200"/>
    <n v="0"/>
    <n v="0"/>
    <n v="0.80645161290322576"/>
    <n v="200"/>
    <m/>
    <n v="0.81"/>
    <n v="200.88000000000002"/>
    <n v="2.4000000000000004"/>
    <n v="2"/>
    <s v="Not separated yet"/>
    <n v="0.80645161290322576"/>
    <n v="200"/>
    <n v="0.48"/>
    <n v="0.81"/>
    <n v="200.88000000000002"/>
    <n v="2"/>
    <n v="0.80645161290322576"/>
    <n v="0.48"/>
    <n v="0.84"/>
    <m/>
    <d v="2014-06-06T00:00:00"/>
    <s v="To be realised"/>
    <n v="47"/>
    <n v="6"/>
    <n v="52"/>
    <n v="0"/>
    <n v="0"/>
    <x v="9"/>
    <m/>
    <n v="1"/>
    <n v="248"/>
    <n v="1"/>
    <s v="Excellent coverage"/>
    <n v="0"/>
    <x v="0"/>
    <m/>
  </r>
  <r>
    <x v="5"/>
    <s v="MMR001CMP072"/>
    <x v="3"/>
    <x v="121"/>
    <n v="97.724483000000006"/>
    <n v="24.205417000000001"/>
    <x v="0"/>
    <x v="0"/>
    <n v="50"/>
    <n v="295"/>
    <n v="295"/>
    <x v="1"/>
    <s v="UNICEF"/>
    <s v="KBC"/>
    <x v="5"/>
    <x v="0"/>
    <d v="2015-08-31T00:00:00"/>
    <s v="Focal NGO"/>
    <x v="0"/>
    <n v="0"/>
    <n v="0"/>
    <s v="No"/>
    <n v="1"/>
    <n v="1"/>
    <n v="3000"/>
    <n v="0"/>
    <n v="0.16610169491525423"/>
    <n v="1"/>
    <n v="295"/>
    <n v="1"/>
    <n v="295"/>
    <n v="1"/>
    <n v="295"/>
    <x v="0"/>
    <n v="0"/>
    <n v="0"/>
    <n v="0"/>
    <n v="8.3050847457627111"/>
    <n v="0"/>
    <n v="1"/>
    <n v="295"/>
    <m/>
    <n v="1"/>
    <n v="10"/>
    <n v="12"/>
    <x v="2"/>
    <n v="1"/>
    <n v="295"/>
    <n v="0.18644067796610164"/>
    <n v="54.999999999999986"/>
    <n v="0.81355932203389836"/>
    <n v="240.00000000000003"/>
    <n v="0"/>
    <n v="1"/>
    <n v="295"/>
    <n v="2.75"/>
    <n v="3"/>
    <s v="Separate, clearly perceived"/>
    <n v="1"/>
    <n v="295"/>
    <n v="0"/>
    <n v="1"/>
    <n v="295"/>
    <n v="4"/>
    <n v="1"/>
    <n v="0"/>
    <n v="1"/>
    <m/>
    <d v="2014-06-05T00:00:00"/>
    <s v="To be realised"/>
    <n v="48"/>
    <n v="6"/>
    <n v="50"/>
    <n v="0"/>
    <n v="0"/>
    <x v="9"/>
    <m/>
    <n v="0.66101694915254239"/>
    <n v="195"/>
    <n v="2"/>
    <s v="Excellent coverage"/>
    <n v="0"/>
    <x v="0"/>
    <m/>
  </r>
  <r>
    <x v="5"/>
    <s v="MMR001CMP073"/>
    <x v="3"/>
    <x v="122"/>
    <n v="97.710864000000001"/>
    <n v="24.207332999999998"/>
    <x v="0"/>
    <x v="0"/>
    <n v="48"/>
    <n v="285"/>
    <n v="285"/>
    <x v="1"/>
    <s v="UNICEF"/>
    <s v="KBC"/>
    <x v="5"/>
    <x v="0"/>
    <d v="2015-08-31T00:00:00"/>
    <s v="Focal NGO"/>
    <x v="0"/>
    <n v="0"/>
    <n v="0"/>
    <s v="No"/>
    <n v="1"/>
    <n v="1"/>
    <n v="3000"/>
    <n v="0"/>
    <n v="0.16140350877192983"/>
    <n v="1"/>
    <n v="285"/>
    <n v="1"/>
    <n v="285"/>
    <n v="1"/>
    <n v="285"/>
    <x v="0"/>
    <n v="0"/>
    <n v="0"/>
    <n v="0"/>
    <n v="7.7473684210526317"/>
    <n v="0"/>
    <n v="1"/>
    <n v="285"/>
    <m/>
    <n v="33"/>
    <n v="0"/>
    <n v="20"/>
    <x v="3"/>
    <n v="1"/>
    <n v="285"/>
    <n v="0"/>
    <n v="0"/>
    <n v="1"/>
    <n v="285"/>
    <n v="0"/>
    <n v="1"/>
    <n v="285"/>
    <n v="0"/>
    <n v="3"/>
    <s v="Separate, clearly perceived"/>
    <n v="1"/>
    <n v="285"/>
    <n v="0"/>
    <n v="1"/>
    <n v="285"/>
    <n v="11"/>
    <n v="1"/>
    <n v="0"/>
    <n v="1"/>
    <m/>
    <d v="2014-06-05T00:00:00"/>
    <s v="To be realised"/>
    <n v="33"/>
    <n v="6"/>
    <n v="48"/>
    <n v="0"/>
    <n v="0"/>
    <x v="9"/>
    <m/>
    <n v="1"/>
    <n v="285"/>
    <n v="1"/>
    <s v="Excellent coverage"/>
    <n v="0"/>
    <x v="0"/>
    <m/>
  </r>
  <r>
    <x v="5"/>
    <s v="MMR001CMP056"/>
    <x v="6"/>
    <x v="123"/>
    <n v="97.337649999999996"/>
    <n v="24.242049999999999"/>
    <x v="0"/>
    <x v="0"/>
    <n v="75"/>
    <n v="406"/>
    <n v="406"/>
    <x v="0"/>
    <s v="UNICEF"/>
    <s v="KBC"/>
    <x v="5"/>
    <x v="0"/>
    <d v="2015-08-31T00:00:00"/>
    <s v="Focal NGO"/>
    <x v="0"/>
    <n v="0"/>
    <n v="0"/>
    <s v="No"/>
    <n v="0"/>
    <n v="1"/>
    <n v="7200"/>
    <n v="1"/>
    <n v="0.15270935960591134"/>
    <n v="1"/>
    <n v="406"/>
    <n v="1"/>
    <n v="406"/>
    <n v="1"/>
    <n v="406"/>
    <x v="0"/>
    <n v="0"/>
    <n v="0"/>
    <n v="1.4999999999999902E-2"/>
    <n v="11.453201970443351"/>
    <n v="406"/>
    <n v="1"/>
    <n v="406"/>
    <s v="1 DTW"/>
    <n v="0"/>
    <n v="0"/>
    <n v="15"/>
    <x v="1"/>
    <n v="0.73891625615763545"/>
    <n v="300"/>
    <n v="0"/>
    <n v="0"/>
    <n v="0.73891625615763545"/>
    <n v="300"/>
    <n v="0"/>
    <n v="0.74"/>
    <n v="300.44"/>
    <n v="5.3000000000000007"/>
    <n v="3"/>
    <s v="Separate, clearly perceived"/>
    <n v="0.73891625615763545"/>
    <n v="300"/>
    <n v="1.0599999999999996"/>
    <n v="0.74"/>
    <n v="300.44"/>
    <n v="5"/>
    <n v="1"/>
    <n v="0"/>
    <n v="1"/>
    <m/>
    <d v="2014-04-16T00:00:00"/>
    <s v="To be realised"/>
    <n v="9"/>
    <n v="6"/>
    <n v="75"/>
    <n v="0"/>
    <n v="0"/>
    <x v="11"/>
    <m/>
    <n v="0.62315270935960587"/>
    <n v="252.99999999999997"/>
    <n v="3"/>
    <s v="Excellent coverage"/>
    <n v="0"/>
    <x v="0"/>
    <m/>
  </r>
  <r>
    <x v="5"/>
    <s v="MMR001CMP059"/>
    <x v="6"/>
    <x v="124"/>
    <n v="97.347740000000002"/>
    <n v="24.253769999999999"/>
    <x v="0"/>
    <x v="0"/>
    <n v="25"/>
    <n v="92"/>
    <n v="92"/>
    <x v="1"/>
    <s v="UNICEF"/>
    <s v="Shalom"/>
    <x v="5"/>
    <x v="0"/>
    <d v="2015-08-31T00:00:00"/>
    <s v="Focal NGO"/>
    <x v="0"/>
    <n v="0"/>
    <n v="0"/>
    <s v="No"/>
    <n v="0"/>
    <n v="0"/>
    <n v="1800"/>
    <n v="0"/>
    <n v="0.17391304347826086"/>
    <n v="1"/>
    <n v="92"/>
    <n v="1"/>
    <n v="92"/>
    <n v="1"/>
    <n v="92"/>
    <x v="0"/>
    <n v="0"/>
    <n v="0"/>
    <n v="0.23"/>
    <n v="4.3478260869565215"/>
    <n v="0"/>
    <n v="1"/>
    <n v="92"/>
    <m/>
    <n v="64"/>
    <n v="1"/>
    <n v="3"/>
    <x v="0"/>
    <n v="0.86956521739130432"/>
    <n v="80"/>
    <n v="0.21739130434782605"/>
    <n v="19.999999999999996"/>
    <n v="0.65217391304347827"/>
    <n v="60"/>
    <n v="0"/>
    <n v="0.87"/>
    <n v="80.040000000000006"/>
    <n v="1.5999999999999996"/>
    <n v="1"/>
    <s v="Not separated yet"/>
    <n v="1"/>
    <n v="92"/>
    <n v="0"/>
    <n v="1"/>
    <n v="92"/>
    <n v="2"/>
    <n v="1"/>
    <n v="0"/>
    <n v="1"/>
    <m/>
    <d v="2014-05-26T00:00:00"/>
    <s v="To be realised"/>
    <n v="23"/>
    <n v="6"/>
    <n v="25"/>
    <n v="0"/>
    <n v="0"/>
    <x v="9"/>
    <m/>
    <n v="1"/>
    <n v="92"/>
    <n v="1"/>
    <s v="Excellent coverage"/>
    <n v="0"/>
    <x v="0"/>
    <m/>
  </r>
  <r>
    <x v="10"/>
    <s v="MMR001CMP212"/>
    <x v="3"/>
    <x v="125"/>
    <n v="97.710989999999995"/>
    <n v="24.181640000000002"/>
    <x v="0"/>
    <x v="0"/>
    <n v="282"/>
    <n v="1214"/>
    <n v="1203"/>
    <x v="2"/>
    <s v="ECHO"/>
    <s v="KBC"/>
    <x v="6"/>
    <x v="0"/>
    <d v="2015-08-31T00:00:00"/>
    <s v="Focal NGO"/>
    <x v="0"/>
    <n v="0"/>
    <n v="0"/>
    <s v="No"/>
    <n v="2"/>
    <n v="0"/>
    <n v="36000"/>
    <n v="0"/>
    <n v="0"/>
    <n v="1"/>
    <n v="1203"/>
    <n v="1"/>
    <n v="1203"/>
    <n v="1"/>
    <n v="1203"/>
    <x v="0"/>
    <n v="0"/>
    <n v="0"/>
    <n v="1.0074999999999998"/>
    <n v="0"/>
    <n v="0"/>
    <n v="1"/>
    <n v="1203"/>
    <m/>
    <n v="12"/>
    <n v="19"/>
    <n v="38"/>
    <x v="0"/>
    <n v="0.94763092269326688"/>
    <n v="1140"/>
    <n v="0.31587697423108896"/>
    <n v="380"/>
    <n v="0.63175394846217792"/>
    <n v="760"/>
    <n v="6"/>
    <n v="1"/>
    <n v="1203"/>
    <n v="28.15"/>
    <n v="6"/>
    <s v="Separate, clearly perceived"/>
    <n v="0.49875311720698257"/>
    <n v="600"/>
    <n v="6.1400000000000006"/>
    <n v="0.5"/>
    <n v="601.5"/>
    <n v="19"/>
    <n v="1"/>
    <n v="0"/>
    <n v="1"/>
    <s v="Land limited to costruct more Semi-permanent in this camp"/>
    <d v="2015-02-20T00:00:00"/>
    <d v="2016-02-20T00:00:00"/>
    <n v="285"/>
    <n v="3"/>
    <n v="0"/>
    <n v="1"/>
    <n v="1203"/>
    <x v="5"/>
    <m/>
    <n v="1"/>
    <n v="1203"/>
    <n v="2"/>
    <s v="Good coverage"/>
    <n v="0"/>
    <x v="0"/>
    <m/>
  </r>
  <r>
    <x v="10"/>
    <s v="MMR001CMP213"/>
    <x v="3"/>
    <x v="126"/>
    <n v="97.710989999999995"/>
    <n v="24.181640000000002"/>
    <x v="0"/>
    <x v="0"/>
    <n v="132"/>
    <n v="618"/>
    <n v="604"/>
    <x v="0"/>
    <s v="ECHO"/>
    <s v="KMSS"/>
    <x v="6"/>
    <x v="0"/>
    <d v="2015-08-31T00:00:00"/>
    <s v="Focal NGO"/>
    <x v="0"/>
    <n v="0"/>
    <n v="0"/>
    <s v="No"/>
    <n v="1"/>
    <n v="0"/>
    <n v="13500"/>
    <n v="0"/>
    <n v="0"/>
    <n v="1"/>
    <n v="604"/>
    <n v="1"/>
    <n v="604"/>
    <n v="1"/>
    <n v="604"/>
    <x v="0"/>
    <n v="0"/>
    <n v="0"/>
    <n v="0.51"/>
    <n v="0"/>
    <n v="0"/>
    <n v="1"/>
    <n v="604"/>
    <m/>
    <n v="14"/>
    <n v="9"/>
    <n v="16"/>
    <x v="3"/>
    <n v="0.82781456953642385"/>
    <n v="500"/>
    <n v="0.29801324503311255"/>
    <n v="179.99999999999997"/>
    <n v="0.5298013245033113"/>
    <n v="320"/>
    <n v="0"/>
    <n v="1"/>
    <n v="604"/>
    <n v="14.2"/>
    <n v="4"/>
    <s v="Separate, clearly perceived"/>
    <n v="0.66225165562913912"/>
    <n v="400.00000000000006"/>
    <n v="2.1799999999999997"/>
    <n v="0.83"/>
    <n v="501.32"/>
    <n v="9"/>
    <n v="1"/>
    <n v="0"/>
    <n v="1"/>
    <s v="Land limited to costruct more Semi-permanent in this camp"/>
    <d v="2015-02-20T00:00:00"/>
    <d v="2016-02-20T00:00:00"/>
    <n v="135"/>
    <n v="3"/>
    <n v="0"/>
    <n v="1"/>
    <n v="604"/>
    <x v="5"/>
    <m/>
    <n v="1"/>
    <n v="604"/>
    <n v="1"/>
    <s v="Good coverage"/>
    <n v="0"/>
    <x v="0"/>
    <m/>
  </r>
  <r>
    <x v="5"/>
    <s v="MMR001CMP197"/>
    <x v="6"/>
    <x v="127"/>
    <n v="97.344350000000006"/>
    <n v="24.25067"/>
    <x v="1"/>
    <x v="0"/>
    <n v="394"/>
    <n v="1504"/>
    <n v="1504"/>
    <x v="2"/>
    <s v="ECHO"/>
    <m/>
    <x v="6"/>
    <x v="0"/>
    <d v="2015-08-31T00:00:00"/>
    <s v="Focal NGO"/>
    <x v="0"/>
    <n v="0"/>
    <n v="0"/>
    <s v="No"/>
    <n v="150"/>
    <n v="63"/>
    <n v="0"/>
    <n v="0"/>
    <n v="0"/>
    <n v="1"/>
    <n v="1504"/>
    <n v="1"/>
    <n v="1504"/>
    <n v="1"/>
    <n v="1504"/>
    <x v="0"/>
    <n v="0"/>
    <n v="0"/>
    <n v="0"/>
    <n v="0"/>
    <n v="0"/>
    <n v="1"/>
    <n v="1504"/>
    <s v="CESVI implement WASH activities such as HP and HK distribution and renovation of WASH facilities in this host families"/>
    <n v="0"/>
    <n v="276"/>
    <n v="9"/>
    <x v="2"/>
    <n v="1"/>
    <n v="1504"/>
    <n v="0.88031914893617025"/>
    <n v="1324"/>
    <n v="0.11968085106382979"/>
    <n v="180"/>
    <n v="0"/>
    <n v="1"/>
    <n v="1504"/>
    <n v="66.2"/>
    <n v="213"/>
    <s v="Not separated yet"/>
    <n v="1"/>
    <n v="1504"/>
    <n v="0"/>
    <n v="1"/>
    <n v="1504"/>
    <n v="0"/>
    <n v="0"/>
    <n v="15.04"/>
    <n v="0"/>
    <m/>
    <d v="2014-12-19T00:00:00"/>
    <d v="2015-12-19T00:00:00"/>
    <n v="334"/>
    <n v="0"/>
    <n v="60"/>
    <n v="0.84771573604060912"/>
    <n v="1274.9644670050761"/>
    <x v="2"/>
    <m/>
    <n v="1"/>
    <n v="1504"/>
    <n v="4"/>
    <s v="Excellent coverage"/>
    <n v="0"/>
    <x v="0"/>
    <m/>
  </r>
  <r>
    <x v="9"/>
    <s v="MMR001CMP163"/>
    <x v="6"/>
    <x v="128"/>
    <n v="97.228769999999997"/>
    <n v="24.26502"/>
    <x v="1"/>
    <x v="0"/>
    <n v="216"/>
    <n v="965"/>
    <n v="965"/>
    <x v="0"/>
    <s v="ECHO"/>
    <m/>
    <x v="6"/>
    <x v="0"/>
    <d v="2015-08-31T00:00:00"/>
    <s v="Focal NGO"/>
    <x v="0"/>
    <n v="0"/>
    <n v="0"/>
    <s v="No"/>
    <n v="40"/>
    <n v="105"/>
    <n v="0"/>
    <n v="0"/>
    <n v="0"/>
    <n v="1"/>
    <n v="965"/>
    <n v="1"/>
    <n v="965"/>
    <n v="1"/>
    <n v="965"/>
    <x v="0"/>
    <n v="0"/>
    <n v="0"/>
    <n v="0"/>
    <n v="0"/>
    <n v="0"/>
    <n v="1"/>
    <n v="965"/>
    <s v="CESVI implement WASH activities such as HP and HK distribution and renovation of WASH facilities in this host families"/>
    <n v="0"/>
    <n v="100"/>
    <n v="12"/>
    <x v="2"/>
    <n v="1"/>
    <n v="965"/>
    <n v="0.75129533678756477"/>
    <n v="725"/>
    <n v="0.24870466321243523"/>
    <n v="240"/>
    <n v="0"/>
    <n v="1"/>
    <n v="965"/>
    <n v="36.25"/>
    <n v="163"/>
    <s v="Not separated yet"/>
    <n v="1"/>
    <n v="965"/>
    <n v="0"/>
    <n v="1"/>
    <n v="965"/>
    <n v="0"/>
    <n v="0"/>
    <n v="9.65"/>
    <n v="0"/>
    <m/>
    <d v="2015-06-18T00:00:00"/>
    <d v="2016-06-17T00:00:00"/>
    <n v="118"/>
    <n v="0"/>
    <n v="98"/>
    <n v="0.54629629629629628"/>
    <n v="527.17592592592587"/>
    <x v="0"/>
    <m/>
    <n v="1"/>
    <n v="965"/>
    <n v="4"/>
    <s v="Excellent coverage"/>
    <n v="0"/>
    <x v="0"/>
    <m/>
  </r>
  <r>
    <x v="10"/>
    <s v="MMR001CMP129"/>
    <x v="3"/>
    <x v="129"/>
    <n v="97.609832999999995"/>
    <n v="24.002433"/>
    <x v="0"/>
    <x v="1"/>
    <n v="169"/>
    <n v="742"/>
    <n v="742"/>
    <x v="0"/>
    <s v="SCI"/>
    <s v="KMSS"/>
    <x v="7"/>
    <x v="0"/>
    <d v="2015-08-31T00:00:00"/>
    <s v="Focal NGO"/>
    <x v="0"/>
    <n v="0"/>
    <n v="0"/>
    <s v="No"/>
    <n v="2"/>
    <n v="0"/>
    <n v="81090"/>
    <n v="0"/>
    <n v="0.95"/>
    <n v="1"/>
    <n v="742"/>
    <n v="1"/>
    <n v="742"/>
    <n v="1"/>
    <n v="742"/>
    <x v="0"/>
    <n v="0"/>
    <n v="0"/>
    <n v="0"/>
    <n v="160.54999999999998"/>
    <n v="0"/>
    <n v="1"/>
    <n v="742"/>
    <m/>
    <n v="0"/>
    <n v="42"/>
    <n v="14"/>
    <x v="2"/>
    <n v="1"/>
    <n v="742"/>
    <n v="0.62264150943396224"/>
    <n v="462"/>
    <n v="0.37735849056603776"/>
    <n v="280"/>
    <n v="0"/>
    <n v="1"/>
    <n v="742"/>
    <n v="23.1"/>
    <n v="4"/>
    <s v="Not separated yet"/>
    <n v="0.53908355795148244"/>
    <n v="399.99999999999994"/>
    <n v="3.42"/>
    <n v="0.54"/>
    <n v="400.68"/>
    <n v="1"/>
    <n v="0.13477088948787061"/>
    <n v="6.42"/>
    <n v="0.13"/>
    <m/>
    <d v="2014-03-28T00:00:00"/>
    <s v="To be realised"/>
    <n v="166"/>
    <n v="3"/>
    <n v="169"/>
    <n v="0"/>
    <n v="0"/>
    <x v="12"/>
    <m/>
    <n v="0.2"/>
    <n v="148.4"/>
    <n v="7"/>
    <s v="Excellent coverage"/>
    <n v="0"/>
    <x v="1"/>
    <m/>
  </r>
  <r>
    <x v="10"/>
    <s v="MMR001CMP202"/>
    <x v="3"/>
    <x v="130"/>
    <n v="97.609832999999995"/>
    <n v="24.002433"/>
    <x v="0"/>
    <x v="1"/>
    <n v="207"/>
    <n v="878"/>
    <n v="878"/>
    <x v="0"/>
    <s v="SCI"/>
    <s v="KMSS- Lashio"/>
    <x v="7"/>
    <x v="0"/>
    <d v="2015-08-31T00:00:00"/>
    <s v="Focal NGO"/>
    <x v="0"/>
    <n v="0"/>
    <n v="0"/>
    <s v="No"/>
    <n v="3"/>
    <n v="0"/>
    <n v="38340"/>
    <n v="0"/>
    <n v="0.45"/>
    <n v="1"/>
    <n v="878"/>
    <n v="1"/>
    <n v="878"/>
    <n v="1"/>
    <n v="878"/>
    <x v="0"/>
    <n v="0"/>
    <n v="0"/>
    <n v="0"/>
    <n v="93.15"/>
    <n v="0"/>
    <n v="1"/>
    <n v="878"/>
    <m/>
    <n v="0"/>
    <n v="21"/>
    <n v="31"/>
    <x v="2"/>
    <n v="1"/>
    <n v="878"/>
    <n v="0.29384965831435084"/>
    <n v="258.00000000000006"/>
    <n v="0.70615034168564916"/>
    <n v="620"/>
    <n v="0"/>
    <n v="1"/>
    <n v="878"/>
    <n v="12.899999999999999"/>
    <n v="3"/>
    <s v="Separate, clearly perceived"/>
    <n v="0.34168564920273348"/>
    <n v="300"/>
    <n v="5.7799999999999994"/>
    <n v="0.34"/>
    <n v="298.52000000000004"/>
    <n v="3"/>
    <n v="0.34168564920273348"/>
    <n v="5.7799999999999994"/>
    <n v="0.34"/>
    <m/>
    <d v="2014-12-23T00:00:00"/>
    <d v="2015-12-23T00:00:00"/>
    <n v="206"/>
    <n v="0"/>
    <n v="1"/>
    <n v="0.99516908212560384"/>
    <n v="873.75845410628017"/>
    <x v="2"/>
    <m/>
    <n v="0.25"/>
    <n v="219.5"/>
    <n v="12"/>
    <s v="Excellent coverage"/>
    <n v="0"/>
    <x v="2"/>
    <m/>
  </r>
  <r>
    <x v="10"/>
    <s v="MMR001CMP129"/>
    <x v="3"/>
    <x v="131"/>
    <n v="97.602490000000003"/>
    <n v="24.000039999999998"/>
    <x v="0"/>
    <x v="1"/>
    <n v="53"/>
    <n v="201"/>
    <n v="201"/>
    <x v="0"/>
    <s v="SCI"/>
    <m/>
    <x v="7"/>
    <x v="0"/>
    <d v="2015-08-31T00:00:00"/>
    <s v="Focal NGO"/>
    <x v="0"/>
    <n v="0"/>
    <n v="0"/>
    <s v="No"/>
    <n v="1"/>
    <n v="0"/>
    <n v="10000"/>
    <n v="0"/>
    <n v="0"/>
    <n v="1"/>
    <n v="201"/>
    <n v="1"/>
    <n v="201"/>
    <n v="1"/>
    <n v="201"/>
    <x v="0"/>
    <n v="0"/>
    <n v="0"/>
    <n v="0"/>
    <n v="0"/>
    <n v="0"/>
    <n v="1"/>
    <n v="201"/>
    <m/>
    <n v="0"/>
    <n v="0"/>
    <n v="20"/>
    <x v="2"/>
    <n v="1"/>
    <n v="201"/>
    <n v="0"/>
    <n v="0"/>
    <n v="1"/>
    <n v="201"/>
    <n v="0"/>
    <n v="1"/>
    <n v="201"/>
    <n v="0"/>
    <n v="4"/>
    <s v="Separate, clearly perceived"/>
    <n v="1"/>
    <n v="201"/>
    <n v="0"/>
    <n v="1"/>
    <n v="201"/>
    <n v="5"/>
    <n v="1"/>
    <n v="0"/>
    <n v="1"/>
    <s v="the 20 semi-permanent latrine are constructed by KBC"/>
    <d v="2015-04-13T00:00:00"/>
    <d v="2016-04-12T00:00:00"/>
    <n v="47"/>
    <n v="0"/>
    <n v="6"/>
    <n v="0.8867924528301887"/>
    <n v="178.24528301886792"/>
    <x v="13"/>
    <m/>
    <n v="0"/>
    <n v="0"/>
    <n v="3"/>
    <s v="Excellent coverage"/>
    <n v="0"/>
    <x v="1"/>
    <m/>
  </r>
  <r>
    <x v="10"/>
    <s v="MMR001CMP128"/>
    <x v="3"/>
    <x v="132"/>
    <n v="97.625617000000005"/>
    <n v="24.056132999999999"/>
    <x v="0"/>
    <x v="1"/>
    <n v="545"/>
    <n v="2561"/>
    <n v="2561"/>
    <x v="3"/>
    <s v="SCI"/>
    <s v="KMSS"/>
    <x v="7"/>
    <x v="0"/>
    <d v="2015-08-31T00:00:00"/>
    <s v="Focal NGO"/>
    <x v="0"/>
    <n v="0"/>
    <n v="0"/>
    <s v="No"/>
    <n v="2"/>
    <n v="0"/>
    <n v="128565"/>
    <n v="0"/>
    <n v="0.5"/>
    <n v="1"/>
    <n v="2561"/>
    <n v="1"/>
    <n v="2561"/>
    <n v="1"/>
    <n v="2561"/>
    <x v="0"/>
    <n v="0"/>
    <n v="0"/>
    <n v="4.4024999999999999"/>
    <n v="272.5"/>
    <n v="0"/>
    <n v="1"/>
    <n v="2561"/>
    <m/>
    <n v="0"/>
    <n v="20"/>
    <n v="72"/>
    <x v="2"/>
    <n v="0.71846934791097228"/>
    <n v="1840"/>
    <n v="0.15618898867629827"/>
    <n v="399.99999999999989"/>
    <n v="0.56228035923467401"/>
    <n v="1440.0000000000002"/>
    <n v="1"/>
    <n v="0.72"/>
    <n v="1843.9199999999998"/>
    <n v="57.050000000000011"/>
    <n v="1"/>
    <s v="Not separated yet"/>
    <n v="3.9047247169074581E-2"/>
    <n v="100"/>
    <n v="24.61"/>
    <n v="0.04"/>
    <n v="102.44"/>
    <n v="0"/>
    <n v="0"/>
    <n v="25.61"/>
    <n v="0"/>
    <m/>
    <d v="2014-12-23T00:00:00"/>
    <d v="2015-12-23T00:00:00"/>
    <n v="563"/>
    <n v="0"/>
    <n v="0"/>
    <n v="1"/>
    <n v="2561"/>
    <x v="2"/>
    <m/>
    <n v="0.25"/>
    <n v="640.25"/>
    <n v="25"/>
    <s v="Excellent coverage"/>
    <n v="0"/>
    <x v="1"/>
    <m/>
  </r>
  <r>
    <x v="5"/>
    <s v="MMR001CMP131"/>
    <x v="3"/>
    <x v="133"/>
    <n v="97.669366999999994"/>
    <n v="24.378167000000001"/>
    <x v="0"/>
    <x v="1"/>
    <n v="369"/>
    <n v="1633"/>
    <n v="1633"/>
    <x v="2"/>
    <s v="SCI"/>
    <s v="KMSS"/>
    <x v="7"/>
    <x v="0"/>
    <d v="2015-08-31T00:00:00"/>
    <s v="Focal NGO"/>
    <x v="0"/>
    <n v="0"/>
    <n v="0"/>
    <s v="No"/>
    <n v="0"/>
    <n v="0"/>
    <n v="216000"/>
    <n v="0"/>
    <n v="1"/>
    <n v="1"/>
    <n v="1633"/>
    <n v="1"/>
    <n v="1633"/>
    <n v="1"/>
    <n v="1633"/>
    <x v="0"/>
    <n v="0"/>
    <n v="0"/>
    <n v="4.0824999999999996"/>
    <n v="369"/>
    <n v="0"/>
    <n v="1"/>
    <n v="1633"/>
    <m/>
    <n v="0"/>
    <n v="50"/>
    <n v="54"/>
    <x v="2"/>
    <n v="1"/>
    <n v="1633"/>
    <n v="0.33864053888548684"/>
    <n v="553"/>
    <n v="0.66135946111451316"/>
    <n v="1080"/>
    <n v="18"/>
    <n v="1"/>
    <n v="1633"/>
    <n v="45.650000000000006"/>
    <n v="7"/>
    <s v="Not separated yet"/>
    <n v="0.42865890998162892"/>
    <n v="700"/>
    <n v="9.3299999999999983"/>
    <n v="0.43"/>
    <n v="702.18999999999994"/>
    <n v="10"/>
    <n v="0.61236987140232702"/>
    <n v="6.3299999999999983"/>
    <n v="0.85"/>
    <m/>
    <d v="2014-12-23T00:00:00"/>
    <d v="2015-12-23T00:00:00"/>
    <n v="378"/>
    <n v="0"/>
    <n v="0"/>
    <n v="1"/>
    <n v="1633"/>
    <x v="2"/>
    <m/>
    <n v="0.65"/>
    <n v="1061.45"/>
    <n v="15"/>
    <s v="Excellent coverage"/>
    <n v="0"/>
    <x v="1"/>
    <m/>
  </r>
  <r>
    <x v="5"/>
    <s v="MMR001CMP126"/>
    <x v="3"/>
    <x v="134"/>
    <n v="97.751050000000006"/>
    <n v="24.279910000000001"/>
    <x v="0"/>
    <x v="1"/>
    <n v="128"/>
    <n v="538"/>
    <n v="538"/>
    <x v="0"/>
    <s v="SCI"/>
    <s v="KMSS"/>
    <x v="7"/>
    <x v="0"/>
    <d v="2015-08-31T00:00:00"/>
    <s v="Focal NGO"/>
    <x v="0"/>
    <n v="0"/>
    <n v="0"/>
    <s v="No"/>
    <n v="0"/>
    <n v="0"/>
    <n v="94000"/>
    <n v="0"/>
    <n v="0.5"/>
    <n v="1"/>
    <n v="538"/>
    <n v="1"/>
    <n v="538"/>
    <n v="1"/>
    <n v="538"/>
    <x v="0"/>
    <n v="0"/>
    <n v="0"/>
    <n v="1.345"/>
    <n v="64"/>
    <n v="0"/>
    <n v="1"/>
    <n v="538"/>
    <m/>
    <n v="63"/>
    <n v="10"/>
    <n v="30"/>
    <x v="1"/>
    <n v="1"/>
    <n v="538"/>
    <n v="0"/>
    <n v="0"/>
    <n v="1"/>
    <n v="538"/>
    <n v="0"/>
    <n v="1"/>
    <n v="538"/>
    <n v="0"/>
    <n v="4"/>
    <s v="Separate, but not clearly perceived"/>
    <n v="0.74349442379182151"/>
    <n v="400"/>
    <n v="1.38"/>
    <n v="0.74"/>
    <n v="398.12"/>
    <n v="16"/>
    <n v="1"/>
    <n v="0"/>
    <n v="1"/>
    <m/>
    <d v="2014-12-23T00:00:00"/>
    <d v="2015-12-23T00:00:00"/>
    <n v="228"/>
    <n v="0"/>
    <n v="0"/>
    <n v="1"/>
    <n v="538"/>
    <x v="2"/>
    <m/>
    <n v="0.4"/>
    <n v="215.20000000000002"/>
    <n v="14"/>
    <s v="Excellent coverage"/>
    <n v="0"/>
    <x v="1"/>
    <m/>
  </r>
  <r>
    <x v="5"/>
    <s v="MMR001CMP126"/>
    <x v="3"/>
    <x v="135"/>
    <n v="97.754009999999994"/>
    <n v="24.275549999999999"/>
    <x v="0"/>
    <x v="1"/>
    <n v="58"/>
    <n v="251"/>
    <n v="251"/>
    <x v="0"/>
    <s v="SCI"/>
    <s v="KMSS"/>
    <x v="7"/>
    <x v="0"/>
    <d v="2015-08-31T00:00:00"/>
    <s v="Focal NGO"/>
    <x v="0"/>
    <n v="0"/>
    <n v="0"/>
    <s v="No"/>
    <n v="0"/>
    <n v="0"/>
    <n v="8640"/>
    <n v="0"/>
    <n v="0"/>
    <n v="1"/>
    <n v="251"/>
    <n v="1"/>
    <n v="251"/>
    <n v="1"/>
    <n v="251"/>
    <x v="0"/>
    <n v="0"/>
    <n v="0"/>
    <n v="0.62749999999999995"/>
    <n v="0"/>
    <n v="0"/>
    <n v="1"/>
    <n v="251"/>
    <m/>
    <n v="88"/>
    <n v="0"/>
    <n v="27"/>
    <x v="1"/>
    <n v="1"/>
    <n v="251"/>
    <n v="0"/>
    <n v="0"/>
    <n v="1"/>
    <n v="251"/>
    <n v="0"/>
    <n v="1"/>
    <n v="251"/>
    <n v="0"/>
    <n v="1"/>
    <s v="Not separated yet"/>
    <n v="0.39840637450199201"/>
    <n v="100"/>
    <n v="1.5099999999999998"/>
    <n v="0.4"/>
    <n v="100.4"/>
    <n v="18"/>
    <n v="1"/>
    <n v="0"/>
    <n v="1"/>
    <m/>
    <d v="2014-12-23T00:00:00"/>
    <d v="2015-12-23T00:00:00"/>
    <n v="58"/>
    <n v="0"/>
    <n v="0"/>
    <n v="1"/>
    <n v="251"/>
    <x v="2"/>
    <m/>
    <n v="0.2"/>
    <n v="50.2"/>
    <n v="10"/>
    <s v="Excellent coverage"/>
    <n v="0"/>
    <x v="1"/>
    <m/>
  </r>
  <r>
    <x v="5"/>
    <s v="MMR001CMP126"/>
    <x v="3"/>
    <x v="136"/>
    <n v="97.755750000000006"/>
    <n v="24.273479999999999"/>
    <x v="0"/>
    <x v="1"/>
    <n v="297"/>
    <n v="1342"/>
    <n v="1342"/>
    <x v="2"/>
    <s v="SCI"/>
    <s v="KMSS"/>
    <x v="7"/>
    <x v="0"/>
    <d v="2015-08-31T00:00:00"/>
    <s v="Focal NGO"/>
    <x v="0"/>
    <n v="0"/>
    <n v="0"/>
    <s v="No"/>
    <n v="0"/>
    <n v="0"/>
    <n v="99540"/>
    <n v="0"/>
    <n v="0.5"/>
    <n v="1"/>
    <n v="1342"/>
    <n v="1"/>
    <n v="1342"/>
    <n v="1"/>
    <n v="1342"/>
    <x v="0"/>
    <n v="0"/>
    <n v="0"/>
    <n v="3.355"/>
    <n v="148.5"/>
    <n v="0"/>
    <n v="1"/>
    <n v="1342"/>
    <s v="HH need more filter for more coverage"/>
    <n v="0"/>
    <n v="0"/>
    <n v="70"/>
    <x v="1"/>
    <n v="1"/>
    <n v="1342"/>
    <n v="0"/>
    <n v="0"/>
    <n v="1"/>
    <n v="1342"/>
    <n v="0"/>
    <n v="1"/>
    <n v="1342"/>
    <n v="0"/>
    <n v="2"/>
    <s v="Separate, but not clearly perceived"/>
    <n v="0.14903129657228018"/>
    <n v="200"/>
    <n v="11.42"/>
    <n v="0.15"/>
    <n v="201.29999999999998"/>
    <n v="33"/>
    <n v="1"/>
    <n v="0"/>
    <n v="1"/>
    <m/>
    <d v="2014-12-23T00:00:00"/>
    <d v="2015-12-23T00:00:00"/>
    <n v="322"/>
    <n v="3"/>
    <n v="0"/>
    <n v="1"/>
    <n v="1342"/>
    <x v="13"/>
    <m/>
    <n v="0.3"/>
    <n v="402.59999999999997"/>
    <n v="4"/>
    <s v="Excellent coverage"/>
    <n v="0"/>
    <x v="1"/>
    <m/>
  </r>
  <r>
    <x v="5"/>
    <s v="MMR001CMP126"/>
    <x v="3"/>
    <x v="137"/>
    <n v="97.755750000000006"/>
    <n v="24.273479999999999"/>
    <x v="2"/>
    <x v="1"/>
    <m/>
    <n v="211"/>
    <n v="211"/>
    <x v="1"/>
    <s v="SCI"/>
    <s v="KMSS"/>
    <x v="7"/>
    <x v="0"/>
    <d v="2015-08-31T00:00:00"/>
    <s v="Focal NGO"/>
    <x v="0"/>
    <n v="0"/>
    <n v="0"/>
    <s v="No"/>
    <n v="0"/>
    <n v="0"/>
    <n v="9000"/>
    <n v="0"/>
    <n v="0"/>
    <n v="1"/>
    <n v="211"/>
    <n v="1"/>
    <n v="211"/>
    <n v="1"/>
    <n v="211"/>
    <x v="0"/>
    <n v="0"/>
    <n v="0"/>
    <n v="0.52749999999999997"/>
    <n v="0"/>
    <n v="0"/>
    <n v="1"/>
    <n v="211"/>
    <m/>
    <n v="84"/>
    <n v="6"/>
    <n v="0"/>
    <x v="3"/>
    <n v="0.56872037914691942"/>
    <n v="120"/>
    <n v="0.56872037914691942"/>
    <n v="120"/>
    <n v="0"/>
    <n v="0"/>
    <n v="0"/>
    <n v="0.57299999999999995"/>
    <n v="120.90299999999999"/>
    <n v="10.55"/>
    <n v="2"/>
    <s v="Separate, clearly perceived"/>
    <n v="0.94786729857819907"/>
    <n v="200"/>
    <n v="0.10999999999999988"/>
    <n v="0.95"/>
    <n v="200.45"/>
    <n v="0"/>
    <n v="0"/>
    <n v="2.11"/>
    <n v="0"/>
    <m/>
    <d v="2014-12-23T00:00:00"/>
    <d v="2015-12-23T00:00:00"/>
    <n v="0"/>
    <n v="0"/>
    <n v="0"/>
    <n v="1"/>
    <n v="211"/>
    <x v="2"/>
    <m/>
    <n v="0.2"/>
    <n v="42.2"/>
    <n v="0"/>
    <s v="No coverage"/>
    <n v="0"/>
    <x v="1"/>
    <m/>
  </r>
  <r>
    <x v="5"/>
    <s v="MMR001CMP126"/>
    <x v="3"/>
    <x v="138"/>
    <n v="97.758769999999998"/>
    <n v="24.255469999999999"/>
    <x v="2"/>
    <x v="1"/>
    <m/>
    <n v="506"/>
    <n v="506"/>
    <x v="1"/>
    <s v="SCI"/>
    <s v="KMSS"/>
    <x v="7"/>
    <x v="0"/>
    <d v="2015-08-31T00:00:00"/>
    <s v="Focal NGO"/>
    <x v="0"/>
    <n v="0"/>
    <n v="0"/>
    <s v="No"/>
    <n v="0"/>
    <n v="0"/>
    <n v="24300"/>
    <n v="0"/>
    <n v="0"/>
    <n v="1"/>
    <n v="506"/>
    <n v="1"/>
    <n v="506"/>
    <n v="1"/>
    <n v="506"/>
    <x v="0"/>
    <n v="0"/>
    <n v="0"/>
    <n v="1.2649999999999999"/>
    <n v="0"/>
    <n v="0"/>
    <n v="1"/>
    <n v="506"/>
    <m/>
    <n v="50"/>
    <n v="6"/>
    <n v="16"/>
    <x v="2"/>
    <n v="0.86956521739130432"/>
    <n v="440"/>
    <n v="0.23715415019762842"/>
    <n v="119.99999999999999"/>
    <n v="0.6324110671936759"/>
    <n v="320"/>
    <n v="0"/>
    <n v="0.873"/>
    <n v="441.738"/>
    <n v="9.3000000000000007"/>
    <n v="1"/>
    <s v="Separate, clearly perceived"/>
    <n v="0.19762845849802371"/>
    <n v="100"/>
    <n v="4.0599999999999996"/>
    <n v="0.28999999999999998"/>
    <n v="146.73999999999998"/>
    <n v="2"/>
    <n v="0.39525691699604742"/>
    <n v="3.0599999999999996"/>
    <n v="0.4"/>
    <m/>
    <d v="2014-12-23T00:00:00"/>
    <d v="2015-12-23T00:00:00"/>
    <n v="0"/>
    <n v="0"/>
    <n v="0"/>
    <n v="1"/>
    <n v="506"/>
    <x v="2"/>
    <m/>
    <n v="0.2"/>
    <n v="101.2"/>
    <n v="2"/>
    <s v="Excellent coverage"/>
    <n v="0"/>
    <x v="1"/>
    <m/>
  </r>
  <r>
    <x v="5"/>
    <s v="MMR001CMP126"/>
    <x v="3"/>
    <x v="139"/>
    <n v="97.740570000000005"/>
    <n v="24.266819999999999"/>
    <x v="2"/>
    <x v="1"/>
    <m/>
    <n v="333"/>
    <n v="333"/>
    <x v="1"/>
    <s v="SCI"/>
    <s v="KMSS"/>
    <x v="7"/>
    <x v="0"/>
    <d v="2015-08-31T00:00:00"/>
    <s v="Focal NGO"/>
    <x v="0"/>
    <n v="0"/>
    <n v="0"/>
    <s v="No"/>
    <n v="0"/>
    <n v="0"/>
    <n v="8640"/>
    <n v="0"/>
    <n v="0"/>
    <n v="1"/>
    <n v="333"/>
    <n v="1"/>
    <n v="333"/>
    <n v="1"/>
    <n v="333"/>
    <x v="0"/>
    <n v="0"/>
    <n v="0"/>
    <n v="0.83250000000000002"/>
    <n v="0"/>
    <n v="0"/>
    <n v="1"/>
    <n v="333"/>
    <m/>
    <n v="10"/>
    <n v="0"/>
    <n v="27"/>
    <x v="2"/>
    <n v="1"/>
    <n v="333"/>
    <n v="0"/>
    <n v="0"/>
    <n v="1"/>
    <n v="333"/>
    <n v="0"/>
    <n v="1"/>
    <n v="333"/>
    <n v="0"/>
    <n v="4"/>
    <s v="Separate, but not clearly perceived"/>
    <n v="1"/>
    <n v="333"/>
    <n v="0"/>
    <n v="1"/>
    <n v="333"/>
    <n v="4"/>
    <n v="1"/>
    <n v="0"/>
    <n v="1"/>
    <m/>
    <d v="2014-12-23T00:00:00"/>
    <d v="2015-12-23T00:00:00"/>
    <n v="0"/>
    <n v="0"/>
    <n v="0"/>
    <n v="1"/>
    <n v="333"/>
    <x v="2"/>
    <m/>
    <n v="0.2"/>
    <n v="66.600000000000009"/>
    <n v="2"/>
    <s v="Excellent coverage"/>
    <n v="0"/>
    <x v="1"/>
    <m/>
  </r>
  <r>
    <x v="5"/>
    <s v="MMR001CMP126"/>
    <x v="3"/>
    <x v="140"/>
    <n v="97.758769999999998"/>
    <n v="24.255469999999999"/>
    <x v="1"/>
    <x v="1"/>
    <n v="78"/>
    <n v="326"/>
    <n v="326"/>
    <x v="0"/>
    <s v="SCI"/>
    <s v="KMSS"/>
    <x v="7"/>
    <x v="0"/>
    <d v="2015-08-31T00:00:00"/>
    <s v="Focal NGO"/>
    <x v="0"/>
    <n v="0"/>
    <n v="0"/>
    <s v="No"/>
    <n v="0"/>
    <n v="0"/>
    <n v="10631"/>
    <n v="0"/>
    <n v="0"/>
    <n v="1"/>
    <n v="326"/>
    <n v="1"/>
    <n v="326"/>
    <n v="1"/>
    <n v="326"/>
    <x v="0"/>
    <n v="0"/>
    <n v="0"/>
    <n v="0.81499999999999995"/>
    <n v="0"/>
    <n v="0"/>
    <n v="1"/>
    <n v="326"/>
    <m/>
    <n v="0"/>
    <n v="78"/>
    <n v="0"/>
    <x v="2"/>
    <n v="1"/>
    <n v="326"/>
    <n v="1"/>
    <n v="326"/>
    <n v="0"/>
    <n v="0"/>
    <n v="0"/>
    <n v="1"/>
    <n v="326"/>
    <n v="16.3"/>
    <n v="0"/>
    <s v="Not separated yet"/>
    <n v="0"/>
    <n v="0"/>
    <n v="3.26"/>
    <n v="0"/>
    <n v="0"/>
    <n v="0"/>
    <n v="0"/>
    <n v="3.26"/>
    <n v="0"/>
    <m/>
    <d v="2014-12-23T00:00:00"/>
    <d v="2015-12-23T00:00:00"/>
    <n v="78"/>
    <n v="0"/>
    <n v="0"/>
    <n v="1"/>
    <n v="326"/>
    <x v="2"/>
    <m/>
    <n v="0"/>
    <n v="0"/>
    <n v="0"/>
    <s v="No coverage"/>
    <n v="0"/>
    <x v="2"/>
    <m/>
  </r>
  <r>
    <x v="10"/>
    <s v="MMR001CMP196"/>
    <x v="6"/>
    <x v="141"/>
    <n v="97.291820000000001"/>
    <n v="24.129059999999999"/>
    <x v="1"/>
    <x v="0"/>
    <n v="135"/>
    <n v="499"/>
    <n v="499"/>
    <x v="0"/>
    <m/>
    <s v="KBC"/>
    <x v="3"/>
    <x v="1"/>
    <m/>
    <s v="Not documented"/>
    <x v="1"/>
    <n v="0"/>
    <n v="0"/>
    <s v="No"/>
    <n v="0"/>
    <n v="0"/>
    <n v="0"/>
    <n v="0"/>
    <n v="0"/>
    <n v="0"/>
    <n v="0"/>
    <n v="0"/>
    <n v="0"/>
    <n v="0"/>
    <n v="0"/>
    <x v="1"/>
    <n v="0"/>
    <n v="0"/>
    <n v="1.2475000000000001"/>
    <n v="0"/>
    <n v="0"/>
    <n v="0"/>
    <n v="0"/>
    <s v="these IDPs are using nearest water sources "/>
    <n v="60"/>
    <n v="0"/>
    <n v="0"/>
    <x v="2"/>
    <n v="0"/>
    <n v="0"/>
    <n v="0"/>
    <n v="0"/>
    <n v="0"/>
    <n v="0"/>
    <n v="0"/>
    <n v="0"/>
    <n v="0"/>
    <n v="24.95"/>
    <n v="0"/>
    <s v="Not separated yet"/>
    <n v="0"/>
    <n v="0"/>
    <n v="4.99"/>
    <n v="0"/>
    <n v="0"/>
    <n v="0"/>
    <n v="0"/>
    <n v="4.99"/>
    <n v="0"/>
    <m/>
    <d v="2014-04-15T00:00:00"/>
    <s v="To be realised"/>
    <n v="20"/>
    <n v="0"/>
    <n v="135"/>
    <n v="0"/>
    <n v="0"/>
    <x v="10"/>
    <m/>
    <n v="0"/>
    <n v="0"/>
    <n v="0"/>
    <s v="No coverage"/>
    <n v="0"/>
    <x v="2"/>
    <s v="SC and Metta will organize for WASH committee forming"/>
  </r>
  <r>
    <x v="5"/>
    <s v="MMR001CMP200"/>
    <x v="6"/>
    <x v="142"/>
    <n v="97.193340000000006"/>
    <n v="24.230450000000001"/>
    <x v="1"/>
    <x v="0"/>
    <n v="4"/>
    <n v="26"/>
    <n v="26"/>
    <x v="1"/>
    <m/>
    <m/>
    <x v="3"/>
    <x v="1"/>
    <m/>
    <s v="Not documented"/>
    <x v="1"/>
    <n v="0"/>
    <n v="0"/>
    <s v="No"/>
    <n v="0"/>
    <n v="0"/>
    <n v="0"/>
    <n v="0"/>
    <n v="0"/>
    <n v="0"/>
    <n v="0"/>
    <n v="0"/>
    <n v="0"/>
    <n v="0"/>
    <n v="0"/>
    <x v="1"/>
    <n v="0"/>
    <n v="0"/>
    <n v="6.5000000000000002E-2"/>
    <n v="0"/>
    <n v="0"/>
    <n v="0"/>
    <n v="0"/>
    <m/>
    <n v="6"/>
    <n v="0"/>
    <n v="0"/>
    <x v="2"/>
    <n v="0"/>
    <n v="0"/>
    <n v="0"/>
    <n v="0"/>
    <n v="0"/>
    <n v="0"/>
    <n v="0"/>
    <n v="0"/>
    <n v="0"/>
    <n v="1.3"/>
    <n v="0"/>
    <s v="Not separated yet"/>
    <n v="0"/>
    <n v="0"/>
    <n v="0.26"/>
    <n v="0"/>
    <n v="0"/>
    <n v="0"/>
    <n v="0"/>
    <n v="0.26"/>
    <n v="0"/>
    <m/>
    <m/>
    <s v="To be realised"/>
    <n v="0"/>
    <n v="0"/>
    <n v="4"/>
    <n v="0"/>
    <n v="0"/>
    <x v="4"/>
    <m/>
    <n v="0"/>
    <n v="0"/>
    <n v="0"/>
    <s v="No coverage"/>
    <n v="0"/>
    <x v="2"/>
    <m/>
  </r>
  <r>
    <x v="5"/>
    <s v="MMR001CMP064"/>
    <x v="6"/>
    <x v="143"/>
    <n v="97.242360000000005"/>
    <n v="24.264130000000002"/>
    <x v="1"/>
    <x v="0"/>
    <n v="2"/>
    <n v="9"/>
    <n v="9"/>
    <x v="1"/>
    <m/>
    <m/>
    <x v="3"/>
    <x v="1"/>
    <m/>
    <s v="Not documented"/>
    <x v="1"/>
    <n v="0"/>
    <n v="0"/>
    <s v="No"/>
    <n v="0"/>
    <n v="0"/>
    <n v="0"/>
    <n v="0"/>
    <n v="0"/>
    <n v="0"/>
    <n v="0"/>
    <n v="0"/>
    <n v="0"/>
    <n v="0"/>
    <n v="0"/>
    <x v="1"/>
    <n v="0"/>
    <n v="0"/>
    <n v="2.2499999999999999E-2"/>
    <n v="0"/>
    <n v="0"/>
    <n v="0"/>
    <n v="0"/>
    <m/>
    <n v="14"/>
    <n v="0"/>
    <n v="0"/>
    <x v="2"/>
    <n v="0"/>
    <n v="0"/>
    <n v="0"/>
    <n v="0"/>
    <n v="0"/>
    <n v="0"/>
    <n v="0"/>
    <n v="0"/>
    <n v="0"/>
    <n v="0.45"/>
    <n v="0"/>
    <s v="Not separated yet"/>
    <n v="0"/>
    <n v="0"/>
    <n v="0.09"/>
    <n v="0"/>
    <n v="0"/>
    <n v="0"/>
    <n v="0"/>
    <n v="0.09"/>
    <n v="0"/>
    <m/>
    <m/>
    <s v="To be realised"/>
    <n v="0"/>
    <n v="0"/>
    <n v="2"/>
    <n v="0"/>
    <n v="0"/>
    <x v="4"/>
    <m/>
    <n v="0"/>
    <n v="0"/>
    <n v="0"/>
    <s v="No coverage"/>
    <n v="0"/>
    <x v="2"/>
    <m/>
  </r>
  <r>
    <x v="5"/>
    <s v="MMR001CMP063"/>
    <x v="6"/>
    <x v="144"/>
    <n v="97.321659999999994"/>
    <n v="24.41"/>
    <x v="1"/>
    <x v="0"/>
    <n v="28"/>
    <n v="136"/>
    <n v="136"/>
    <x v="1"/>
    <m/>
    <m/>
    <x v="3"/>
    <x v="1"/>
    <m/>
    <s v="Not documented"/>
    <x v="1"/>
    <n v="0"/>
    <n v="0"/>
    <s v="No"/>
    <n v="0"/>
    <n v="0"/>
    <n v="0"/>
    <n v="0"/>
    <n v="0"/>
    <n v="0"/>
    <n v="0"/>
    <n v="0"/>
    <n v="0"/>
    <n v="0"/>
    <n v="0"/>
    <x v="1"/>
    <n v="0"/>
    <n v="0"/>
    <n v="0.34"/>
    <n v="0"/>
    <n v="0"/>
    <n v="0"/>
    <n v="0"/>
    <m/>
    <n v="23"/>
    <n v="0"/>
    <n v="0"/>
    <x v="1"/>
    <n v="0"/>
    <n v="0"/>
    <n v="0"/>
    <n v="0"/>
    <n v="0"/>
    <n v="0"/>
    <n v="0"/>
    <n v="0"/>
    <n v="0"/>
    <n v="6.8"/>
    <n v="0"/>
    <s v="Not separated yet"/>
    <n v="0"/>
    <n v="0"/>
    <n v="1.36"/>
    <n v="0"/>
    <n v="0"/>
    <n v="0"/>
    <n v="0"/>
    <n v="1.36"/>
    <n v="0"/>
    <m/>
    <m/>
    <s v="To be realised"/>
    <n v="0"/>
    <n v="0"/>
    <n v="28"/>
    <n v="0"/>
    <n v="0"/>
    <x v="4"/>
    <m/>
    <n v="0"/>
    <n v="0"/>
    <n v="0"/>
    <s v="No coverage"/>
    <n v="0"/>
    <x v="2"/>
    <m/>
  </r>
  <r>
    <x v="5"/>
    <s v="MMR001CMP061"/>
    <x v="6"/>
    <x v="145"/>
    <n v="97.406239999999997"/>
    <n v="24.40457"/>
    <x v="1"/>
    <x v="0"/>
    <n v="13"/>
    <n v="53"/>
    <n v="53"/>
    <x v="1"/>
    <m/>
    <m/>
    <x v="3"/>
    <x v="1"/>
    <m/>
    <s v="Not documented"/>
    <x v="1"/>
    <n v="0"/>
    <n v="0"/>
    <s v="No"/>
    <n v="0"/>
    <n v="0"/>
    <n v="0"/>
    <n v="0"/>
    <n v="0"/>
    <n v="0"/>
    <n v="0"/>
    <n v="0"/>
    <n v="0"/>
    <n v="0"/>
    <n v="0"/>
    <x v="1"/>
    <n v="0"/>
    <n v="0"/>
    <n v="0.13250000000000001"/>
    <n v="0"/>
    <n v="0"/>
    <n v="0"/>
    <n v="0"/>
    <m/>
    <n v="78"/>
    <n v="0"/>
    <n v="0"/>
    <x v="2"/>
    <n v="0"/>
    <n v="0"/>
    <n v="0"/>
    <n v="0"/>
    <n v="0"/>
    <n v="0"/>
    <n v="0"/>
    <n v="0"/>
    <n v="0"/>
    <n v="2.65"/>
    <n v="0"/>
    <s v="Not separated yet"/>
    <n v="0"/>
    <n v="0"/>
    <n v="0.53"/>
    <n v="0"/>
    <n v="0"/>
    <n v="0"/>
    <n v="0"/>
    <n v="0.53"/>
    <n v="0"/>
    <m/>
    <m/>
    <s v="To be realised"/>
    <n v="0"/>
    <n v="0"/>
    <n v="13"/>
    <n v="0"/>
    <n v="0"/>
    <x v="4"/>
    <m/>
    <n v="0"/>
    <n v="0"/>
    <n v="0"/>
    <s v="No coverage"/>
    <n v="0"/>
    <x v="2"/>
    <m/>
  </r>
  <r>
    <x v="5"/>
    <s v="MMR001CMP060"/>
    <x v="6"/>
    <x v="146"/>
    <n v="97.417240000000007"/>
    <n v="24.49184"/>
    <x v="1"/>
    <x v="0"/>
    <n v="10"/>
    <n v="38"/>
    <n v="38"/>
    <x v="1"/>
    <m/>
    <m/>
    <x v="3"/>
    <x v="1"/>
    <m/>
    <s v="Not documented"/>
    <x v="1"/>
    <n v="0"/>
    <n v="0"/>
    <s v="No"/>
    <n v="0"/>
    <n v="0"/>
    <n v="0"/>
    <n v="0"/>
    <n v="0"/>
    <n v="0"/>
    <n v="0"/>
    <n v="0"/>
    <n v="0"/>
    <n v="0"/>
    <n v="0"/>
    <x v="1"/>
    <n v="0"/>
    <n v="0"/>
    <n v="9.5000000000000001E-2"/>
    <n v="0"/>
    <n v="0"/>
    <n v="0"/>
    <n v="0"/>
    <m/>
    <n v="1"/>
    <n v="0"/>
    <n v="0"/>
    <x v="3"/>
    <n v="0"/>
    <n v="0"/>
    <n v="0"/>
    <n v="0"/>
    <n v="0"/>
    <n v="0"/>
    <n v="0"/>
    <n v="0"/>
    <n v="0"/>
    <n v="1.9"/>
    <n v="0"/>
    <s v="Not separated yet"/>
    <n v="0"/>
    <n v="0"/>
    <n v="0.38"/>
    <n v="0"/>
    <n v="0"/>
    <n v="0"/>
    <n v="0"/>
    <n v="0.38"/>
    <n v="0"/>
    <m/>
    <m/>
    <s v="To be realised"/>
    <n v="0"/>
    <n v="0"/>
    <n v="10"/>
    <n v="0"/>
    <n v="0"/>
    <x v="4"/>
    <m/>
    <n v="0"/>
    <n v="0"/>
    <n v="0"/>
    <s v="No coverage"/>
    <n v="0"/>
    <x v="2"/>
    <m/>
  </r>
  <r>
    <x v="11"/>
    <s v="MMR001CMP199"/>
    <x v="6"/>
    <x v="147"/>
    <n v="96.807350999999997"/>
    <n v="24.200362999999999"/>
    <x v="1"/>
    <x v="0"/>
    <n v="15"/>
    <n v="40"/>
    <n v="40"/>
    <x v="1"/>
    <m/>
    <m/>
    <x v="3"/>
    <x v="1"/>
    <m/>
    <s v="Not documented"/>
    <x v="1"/>
    <n v="0"/>
    <n v="0"/>
    <s v="No"/>
    <n v="0"/>
    <n v="0"/>
    <n v="0"/>
    <n v="0"/>
    <n v="0"/>
    <n v="0"/>
    <n v="0"/>
    <n v="0"/>
    <n v="0"/>
    <n v="0"/>
    <n v="0"/>
    <x v="1"/>
    <n v="0"/>
    <n v="0"/>
    <n v="0.1"/>
    <n v="0"/>
    <n v="0"/>
    <n v="0"/>
    <n v="0"/>
    <m/>
    <n v="28"/>
    <n v="0"/>
    <n v="0"/>
    <x v="1"/>
    <n v="0"/>
    <n v="0"/>
    <n v="0"/>
    <n v="0"/>
    <n v="0"/>
    <n v="0"/>
    <n v="0"/>
    <n v="0"/>
    <n v="0"/>
    <n v="2"/>
    <n v="0"/>
    <s v="Not separated yet"/>
    <n v="0"/>
    <n v="0"/>
    <n v="0.4"/>
    <n v="0"/>
    <n v="0"/>
    <n v="0"/>
    <n v="0"/>
    <n v="0.4"/>
    <n v="0"/>
    <m/>
    <m/>
    <s v="To be realised"/>
    <n v="0"/>
    <n v="0"/>
    <n v="15"/>
    <n v="0"/>
    <n v="0"/>
    <x v="4"/>
    <m/>
    <n v="0"/>
    <n v="0"/>
    <n v="0"/>
    <s v="No coverage"/>
    <n v="0"/>
    <x v="2"/>
    <m/>
  </r>
  <r>
    <x v="5"/>
    <s v="MMR001CMP069"/>
    <x v="3"/>
    <x v="148"/>
    <n v="97.724000000000004"/>
    <n v="24.204999999999998"/>
    <x v="2"/>
    <x v="0"/>
    <n v="40"/>
    <n v="136"/>
    <n v="136"/>
    <x v="1"/>
    <s v="UNICEF"/>
    <s v="KMSS"/>
    <x v="3"/>
    <x v="1"/>
    <d v="2016-05-31T00:00:00"/>
    <s v="Focal NGO"/>
    <x v="0"/>
    <n v="0"/>
    <n v="0"/>
    <s v="No"/>
    <n v="2"/>
    <n v="1"/>
    <n v="2720"/>
    <n v="0"/>
    <n v="0"/>
    <n v="1"/>
    <n v="136"/>
    <n v="1"/>
    <n v="136"/>
    <n v="1"/>
    <n v="136"/>
    <x v="0"/>
    <n v="0"/>
    <n v="0"/>
    <n v="0"/>
    <n v="0"/>
    <n v="0"/>
    <n v="1"/>
    <n v="136"/>
    <m/>
    <n v="20"/>
    <n v="9"/>
    <n v="0"/>
    <x v="3"/>
    <n v="1"/>
    <n v="136"/>
    <n v="1"/>
    <n v="136"/>
    <n v="0"/>
    <n v="0"/>
    <n v="0"/>
    <n v="1"/>
    <n v="136"/>
    <n v="6.8"/>
    <n v="1"/>
    <s v="Not separated yet"/>
    <n v="0.73529411764705888"/>
    <n v="100"/>
    <n v="0.3600000000000001"/>
    <n v="0.74"/>
    <n v="100.64"/>
    <n v="0"/>
    <n v="0"/>
    <n v="1.36"/>
    <n v="0"/>
    <m/>
    <d v="2013-11-06T00:00:00"/>
    <s v="To be realised"/>
    <n v="5"/>
    <n v="3"/>
    <n v="40"/>
    <n v="0"/>
    <n v="0"/>
    <x v="14"/>
    <m/>
    <n v="0"/>
    <n v="0"/>
    <n v="0"/>
    <s v="No coverage"/>
    <n v="0"/>
    <x v="2"/>
    <m/>
  </r>
  <r>
    <x v="10"/>
    <s v="MMR001CMP230"/>
    <x v="7"/>
    <x v="149"/>
    <n v="97.590767"/>
    <n v="23.829599000000002"/>
    <x v="0"/>
    <x v="0"/>
    <n v="114"/>
    <n v="486"/>
    <n v="486"/>
    <x v="0"/>
    <s v="FCA/HIDA/WHH"/>
    <s v="KBC"/>
    <x v="4"/>
    <x v="0"/>
    <d v="2016-03-31T00:00:00"/>
    <s v="Focal NGO"/>
    <x v="0"/>
    <n v="0"/>
    <n v="0"/>
    <s v="No"/>
    <n v="0"/>
    <n v="0"/>
    <n v="28000"/>
    <n v="0"/>
    <n v="0"/>
    <n v="1"/>
    <n v="486"/>
    <n v="1"/>
    <n v="486"/>
    <n v="1"/>
    <n v="486"/>
    <x v="0"/>
    <n v="0"/>
    <n v="0"/>
    <n v="1.2150000000000001"/>
    <n v="0"/>
    <n v="0"/>
    <n v="1"/>
    <n v="486"/>
    <s v="SCI constructed 1 chlorine treated station."/>
    <n v="10"/>
    <n v="1"/>
    <n v="9"/>
    <x v="1"/>
    <n v="0.41152263374485598"/>
    <n v="200"/>
    <n v="4.1152263374485631E-2"/>
    <n v="20.000000000000018"/>
    <n v="0.37037037037037035"/>
    <n v="180"/>
    <n v="7"/>
    <n v="1"/>
    <n v="486"/>
    <n v="22.3"/>
    <n v="5"/>
    <s v="Separate, clearly perceived"/>
    <n v="1"/>
    <n v="486"/>
    <n v="0"/>
    <n v="1"/>
    <n v="486"/>
    <n v="4"/>
    <n v="0.82304526748971196"/>
    <n v="0.86000000000000032"/>
    <n v="0.82"/>
    <s v="land limited to construct more semi-permanent"/>
    <d v="2014-04-12T00:00:00"/>
    <s v="To be realised"/>
    <n v="117"/>
    <n v="3"/>
    <n v="114"/>
    <n v="0"/>
    <n v="0"/>
    <x v="12"/>
    <s v="metta provided refil items "/>
    <n v="1"/>
    <n v="486"/>
    <n v="9"/>
    <s v="Excellent coverage"/>
    <n v="0"/>
    <x v="0"/>
    <m/>
  </r>
  <r>
    <x v="10"/>
    <s v="MMR001CMP228"/>
    <x v="7"/>
    <x v="150"/>
    <n v="97.577347000000003"/>
    <n v="23.836462999999998"/>
    <x v="0"/>
    <x v="0"/>
    <n v="121"/>
    <n v="549"/>
    <n v="549"/>
    <x v="0"/>
    <s v="ECHO/OFDA"/>
    <s v="KMSS"/>
    <x v="8"/>
    <x v="0"/>
    <d v="2015-08-31T00:00:00"/>
    <s v="Focal NGO"/>
    <x v="0"/>
    <n v="0"/>
    <n v="0"/>
    <s v="No"/>
    <n v="0"/>
    <n v="0"/>
    <n v="8000"/>
    <n v="1"/>
    <n v="0"/>
    <n v="0.97146326654523385"/>
    <n v="533.33333333333337"/>
    <n v="0.97146326654523385"/>
    <n v="533.33333333333337"/>
    <n v="0.97146326654523385"/>
    <n v="533.33333333333337"/>
    <x v="0"/>
    <n v="0"/>
    <n v="0"/>
    <n v="1.3725000000000001"/>
    <n v="0"/>
    <n v="549"/>
    <n v="1"/>
    <n v="549"/>
    <m/>
    <n v="0"/>
    <n v="24"/>
    <n v="0"/>
    <x v="0"/>
    <n v="0.87431693989071035"/>
    <n v="480"/>
    <n v="0.87431693989071035"/>
    <n v="480"/>
    <n v="0"/>
    <n v="0"/>
    <n v="0"/>
    <n v="0.87"/>
    <n v="477.63"/>
    <n v="27.45"/>
    <n v="2"/>
    <s v="Separate, clearly perceived"/>
    <n v="0.36429872495446264"/>
    <n v="200"/>
    <n v="3.49"/>
    <n v="0.42"/>
    <n v="230.57999999999998"/>
    <n v="4"/>
    <n v="0.72859744990892528"/>
    <n v="1.4900000000000002"/>
    <n v="0.82"/>
    <s v="SCI have plan for hand washing basin"/>
    <d v="2015-05-19T00:00:00"/>
    <d v="2016-05-18T00:00:00"/>
    <n v="121"/>
    <n v="12"/>
    <n v="0"/>
    <n v="1"/>
    <n v="549"/>
    <x v="0"/>
    <m/>
    <n v="0.5"/>
    <n v="274.5"/>
    <n v="7"/>
    <s v="Excellent coverage"/>
    <n v="0"/>
    <x v="0"/>
    <m/>
  </r>
  <r>
    <x v="12"/>
    <s v="MMR015CMP213"/>
    <x v="7"/>
    <x v="151"/>
    <n v="97.909217999999996"/>
    <n v="24.005448999999999"/>
    <x v="0"/>
    <x v="0"/>
    <n v="82"/>
    <n v="331"/>
    <n v="331"/>
    <x v="0"/>
    <s v="FCA/HIDA/WHH"/>
    <s v="KBC"/>
    <x v="4"/>
    <x v="0"/>
    <d v="2016-03-31T00:00:00"/>
    <s v="Focal NGO"/>
    <x v="0"/>
    <n v="0"/>
    <n v="0"/>
    <s v="No"/>
    <n v="0"/>
    <n v="0"/>
    <n v="20000"/>
    <n v="1"/>
    <n v="0"/>
    <n v="1"/>
    <n v="331"/>
    <n v="1"/>
    <n v="331"/>
    <n v="1"/>
    <n v="331"/>
    <x v="0"/>
    <n v="0"/>
    <n v="0"/>
    <n v="0.82750000000000001"/>
    <n v="0"/>
    <n v="331"/>
    <n v="1"/>
    <n v="331"/>
    <m/>
    <n v="65"/>
    <n v="20"/>
    <n v="0"/>
    <x v="0"/>
    <n v="1"/>
    <n v="331"/>
    <n v="1"/>
    <n v="331"/>
    <n v="0"/>
    <n v="0"/>
    <n v="3"/>
    <n v="1"/>
    <n v="331"/>
    <n v="19.55"/>
    <n v="4"/>
    <s v="Separate, clearly perceived"/>
    <n v="1"/>
    <n v="331"/>
    <n v="0"/>
    <n v="1"/>
    <n v="331"/>
    <n v="2"/>
    <n v="0.60422960725075525"/>
    <n v="1.31"/>
    <n v="0.7"/>
    <s v="No Plan for Semi permanent latrines construction"/>
    <d v="2015-05-11T00:00:00"/>
    <d v="2016-05-10T00:00:00"/>
    <n v="81"/>
    <n v="1"/>
    <n v="1"/>
    <n v="0.98780487804878048"/>
    <n v="326.96341463414632"/>
    <x v="5"/>
    <m/>
    <n v="0.5"/>
    <n v="165.5"/>
    <n v="2"/>
    <s v="Excellent coverage"/>
    <n v="0"/>
    <x v="0"/>
    <m/>
  </r>
  <r>
    <x v="12"/>
    <s v="MMR015CMP216"/>
    <x v="7"/>
    <x v="152"/>
    <n v="97.911671100000007"/>
    <n v="24.006896999999999"/>
    <x v="0"/>
    <x v="0"/>
    <n v="31"/>
    <n v="127"/>
    <n v="127"/>
    <x v="1"/>
    <s v="ECHO/OFDA"/>
    <s v="KMSS"/>
    <x v="8"/>
    <x v="0"/>
    <d v="2015-08-31T00:00:00"/>
    <s v="Focal NGO"/>
    <x v="0"/>
    <n v="0"/>
    <n v="0"/>
    <s v="No"/>
    <n v="0"/>
    <n v="0"/>
    <n v="5000"/>
    <n v="0.6"/>
    <n v="0"/>
    <n v="1"/>
    <n v="127"/>
    <n v="1"/>
    <n v="127"/>
    <n v="1"/>
    <n v="127"/>
    <x v="0"/>
    <n v="0"/>
    <n v="0"/>
    <n v="0.3175"/>
    <n v="0"/>
    <n v="76.2"/>
    <n v="1"/>
    <n v="127"/>
    <m/>
    <n v="17"/>
    <n v="10"/>
    <n v="3"/>
    <x v="1"/>
    <n v="1"/>
    <n v="127"/>
    <n v="0.52755905511811019"/>
    <n v="67"/>
    <n v="0.47244094488188976"/>
    <n v="60"/>
    <n v="2"/>
    <n v="1"/>
    <n v="127"/>
    <n v="5.35"/>
    <n v="2"/>
    <s v="Separate, clearly perceived"/>
    <n v="1"/>
    <n v="127"/>
    <n v="0"/>
    <n v="1"/>
    <n v="127"/>
    <n v="0"/>
    <n v="0"/>
    <n v="1.27"/>
    <n v="0"/>
    <s v="No Plan for Semi permanent latrines construction"/>
    <d v="2014-05-17T00:00:00"/>
    <s v="To be realised"/>
    <n v="80"/>
    <n v="9"/>
    <n v="31"/>
    <n v="0"/>
    <n v="0"/>
    <x v="15"/>
    <m/>
    <n v="0.5"/>
    <n v="63.5"/>
    <n v="1"/>
    <s v="Excellent coverage"/>
    <n v="0"/>
    <x v="0"/>
    <m/>
  </r>
  <r>
    <x v="10"/>
    <s v="MMR001CMP133"/>
    <x v="7"/>
    <x v="153"/>
    <n v="97.587900000000005"/>
    <n v="23.83"/>
    <x v="0"/>
    <x v="0"/>
    <n v="115"/>
    <n v="680"/>
    <n v="680"/>
    <x v="0"/>
    <s v="ECHO/OFDA"/>
    <s v="KBC"/>
    <x v="8"/>
    <x v="0"/>
    <d v="2015-08-31T00:00:00"/>
    <s v="Focal NGO"/>
    <x v="0"/>
    <n v="0"/>
    <n v="0"/>
    <s v="No"/>
    <n v="0"/>
    <n v="1"/>
    <n v="8000"/>
    <n v="1"/>
    <n v="0"/>
    <n v="1"/>
    <n v="680"/>
    <n v="1"/>
    <n v="680"/>
    <n v="1"/>
    <n v="680"/>
    <x v="0"/>
    <n v="0"/>
    <n v="0"/>
    <n v="0.7"/>
    <n v="0"/>
    <n v="680"/>
    <n v="1"/>
    <n v="680"/>
    <m/>
    <n v="0"/>
    <n v="0"/>
    <n v="16"/>
    <x v="1"/>
    <n v="0.47058823529411764"/>
    <n v="320"/>
    <n v="0"/>
    <n v="0"/>
    <n v="0.47058823529411764"/>
    <n v="320"/>
    <n v="0"/>
    <n v="0.47"/>
    <n v="319.59999999999997"/>
    <n v="18"/>
    <n v="2"/>
    <s v="Separate, but not clearly perceived"/>
    <n v="0.29411764705882354"/>
    <n v="200"/>
    <n v="4.8"/>
    <n v="0.3"/>
    <n v="204"/>
    <n v="4"/>
    <n v="0.58823529411764708"/>
    <n v="2.8"/>
    <n v="0.72"/>
    <s v="Land issuse for latrines coverage"/>
    <d v="2014-12-10T00:00:00"/>
    <d v="2015-12-10T00:00:00"/>
    <n v="115"/>
    <n v="15"/>
    <n v="0"/>
    <n v="1"/>
    <n v="680"/>
    <x v="0"/>
    <s v="Hygiene resupply kit distrubution at KBC 2 host family 205 kits (30.6.15)"/>
    <n v="0.9"/>
    <n v="612"/>
    <n v="6"/>
    <s v="Excellent coverage"/>
    <n v="0"/>
    <x v="0"/>
    <m/>
  </r>
  <r>
    <x v="10"/>
    <s v="MMR001CMP132"/>
    <x v="7"/>
    <x v="154"/>
    <n v="97.596000000000004"/>
    <n v="23.831"/>
    <x v="0"/>
    <x v="0"/>
    <n v="506"/>
    <n v="2374"/>
    <n v="2101"/>
    <x v="3"/>
    <s v="ECHO/OFDA"/>
    <s v="KMSS"/>
    <x v="8"/>
    <x v="0"/>
    <d v="2015-08-31T00:00:00"/>
    <s v="Focal NGO"/>
    <x v="0"/>
    <n v="0"/>
    <n v="0"/>
    <s v="No"/>
    <n v="2"/>
    <n v="1"/>
    <n v="43140"/>
    <n v="1"/>
    <n v="0"/>
    <n v="1"/>
    <n v="2101"/>
    <n v="1"/>
    <n v="2101"/>
    <n v="1"/>
    <n v="2101"/>
    <x v="0"/>
    <n v="0"/>
    <n v="0"/>
    <n v="2.2525000000000004"/>
    <n v="0"/>
    <n v="2101"/>
    <n v="1"/>
    <n v="2101"/>
    <m/>
    <n v="0"/>
    <n v="65"/>
    <n v="58"/>
    <x v="1"/>
    <n v="1"/>
    <n v="2101"/>
    <n v="0.44788196097096622"/>
    <n v="941"/>
    <n v="0.55211803902903378"/>
    <n v="1160"/>
    <n v="18"/>
    <n v="1"/>
    <n v="2101"/>
    <n v="65.05"/>
    <n v="8"/>
    <s v="Not separated yet"/>
    <n v="0.38077106139933364"/>
    <n v="800"/>
    <n v="15.739999999999998"/>
    <n v="0.4"/>
    <n v="840.40000000000009"/>
    <n v="15"/>
    <n v="0.71394574012375056"/>
    <n v="8.7399999999999984"/>
    <n v="0.76"/>
    <s v="some semi-latrines have closed by CMC to manage latrines usage"/>
    <d v="2014-12-10T00:00:00"/>
    <d v="2015-12-10T00:00:00"/>
    <n v="477"/>
    <n v="12"/>
    <n v="29"/>
    <n v="0.94268774703557312"/>
    <n v="1980.5869565217392"/>
    <x v="0"/>
    <m/>
    <n v="0.5"/>
    <n v="1050.5"/>
    <n v="19"/>
    <s v="Excellent coverage"/>
    <n v="0"/>
    <x v="0"/>
    <m/>
  </r>
  <r>
    <x v="13"/>
    <s v="MMR015CMP004"/>
    <x v="7"/>
    <x v="155"/>
    <n v="97.681920000000005"/>
    <n v="23.821317000000001"/>
    <x v="0"/>
    <x v="0"/>
    <n v="78"/>
    <n v="378"/>
    <n v="378"/>
    <x v="0"/>
    <s v="ECHO/OFDA"/>
    <s v="KBC"/>
    <x v="8"/>
    <x v="0"/>
    <d v="2015-08-31T00:00:00"/>
    <s v="Focal NGO"/>
    <x v="0"/>
    <n v="0"/>
    <n v="0"/>
    <s v="No"/>
    <n v="0"/>
    <n v="0"/>
    <n v="24000"/>
    <n v="1"/>
    <n v="0"/>
    <n v="1"/>
    <n v="378"/>
    <n v="1"/>
    <n v="378"/>
    <n v="1"/>
    <n v="378"/>
    <x v="0"/>
    <n v="0"/>
    <n v="0"/>
    <n v="0.94499999999999995"/>
    <n v="0"/>
    <n v="378"/>
    <n v="1"/>
    <n v="378"/>
    <m/>
    <n v="5"/>
    <n v="16"/>
    <n v="1"/>
    <x v="2"/>
    <n v="0.89947089947089942"/>
    <n v="340"/>
    <n v="0.84656084656084651"/>
    <n v="320"/>
    <n v="5.2910052910052907E-2"/>
    <n v="20"/>
    <n v="1"/>
    <n v="0.9"/>
    <n v="340.2"/>
    <n v="18.899999999999999"/>
    <n v="2"/>
    <s v="Not separated yet"/>
    <n v="0.52910052910052907"/>
    <n v="200"/>
    <n v="1.7799999999999998"/>
    <n v="0.63"/>
    <n v="238.14000000000001"/>
    <n v="4"/>
    <n v="1"/>
    <n v="0"/>
    <n v="1"/>
    <s v="SCI have plan for hand washing basin maintenance/construction"/>
    <d v="2014-12-10T00:00:00"/>
    <d v="2015-12-10T00:00:00"/>
    <n v="77"/>
    <n v="20"/>
    <n v="1"/>
    <n v="0.98717948717948723"/>
    <n v="373.15384615384619"/>
    <x v="0"/>
    <m/>
    <n v="0.75"/>
    <n v="283.5"/>
    <n v="3"/>
    <s v="Excellent coverage"/>
    <n v="0"/>
    <x v="1"/>
    <m/>
  </r>
  <r>
    <x v="13"/>
    <s v="MMR015CMP001"/>
    <x v="7"/>
    <x v="156"/>
    <n v="97.683499999999995"/>
    <n v="23.831700000000001"/>
    <x v="0"/>
    <x v="0"/>
    <n v="68"/>
    <n v="291"/>
    <n v="291"/>
    <x v="0"/>
    <s v="ECHO/OFDA"/>
    <s v="KBC"/>
    <x v="8"/>
    <x v="0"/>
    <d v="2015-08-31T00:00:00"/>
    <s v="Focal NGO"/>
    <x v="0"/>
    <n v="0"/>
    <n v="0"/>
    <s v="No"/>
    <n v="0"/>
    <n v="0"/>
    <n v="15200"/>
    <n v="1"/>
    <n v="0"/>
    <n v="1"/>
    <n v="291"/>
    <n v="1"/>
    <n v="291"/>
    <n v="1"/>
    <n v="291"/>
    <x v="0"/>
    <n v="0"/>
    <n v="0"/>
    <n v="0.72750000000000004"/>
    <n v="0"/>
    <n v="291"/>
    <n v="1"/>
    <n v="291"/>
    <m/>
    <n v="21"/>
    <n v="0"/>
    <n v="10"/>
    <x v="1"/>
    <n v="0.6872852233676976"/>
    <n v="200"/>
    <n v="0"/>
    <n v="0"/>
    <n v="0.6872852233676976"/>
    <n v="200"/>
    <n v="3"/>
    <n v="0.69"/>
    <n v="200.79"/>
    <n v="7.5500000000000007"/>
    <n v="2"/>
    <s v="Separate, clearly perceived"/>
    <n v="0.6872852233676976"/>
    <n v="200"/>
    <n v="0.91000000000000014"/>
    <n v="0.69"/>
    <n v="200.79"/>
    <n v="2"/>
    <n v="0.6872852233676976"/>
    <n v="0.91000000000000014"/>
    <n v="1"/>
    <s v="Land limited for hardward construciton"/>
    <d v="2014-12-10T00:00:00"/>
    <d v="2015-12-10T00:00:00"/>
    <n v="73"/>
    <n v="20"/>
    <n v="0"/>
    <n v="1"/>
    <n v="291"/>
    <x v="0"/>
    <m/>
    <n v="0.9"/>
    <n v="261.90000000000003"/>
    <n v="5"/>
    <s v="Excellent coverage"/>
    <n v="0"/>
    <x v="2"/>
    <s v="need to follow up WASH committee situation within coming cluster meeting"/>
  </r>
  <r>
    <x v="13"/>
    <s v="MMR015CMP003"/>
    <x v="7"/>
    <x v="157"/>
    <n v="97.685199999999995"/>
    <n v="23.833100000000002"/>
    <x v="0"/>
    <x v="0"/>
    <n v="50"/>
    <n v="217"/>
    <n v="217"/>
    <x v="1"/>
    <s v="Trocaires"/>
    <s v="KMSS"/>
    <x v="2"/>
    <x v="0"/>
    <d v="2015-12-31T00:00:00"/>
    <s v="Focal NGO"/>
    <x v="0"/>
    <n v="0"/>
    <n v="0"/>
    <s v="No"/>
    <n v="1"/>
    <n v="0"/>
    <n v="35500"/>
    <n v="1"/>
    <n v="0"/>
    <n v="1"/>
    <n v="217"/>
    <n v="1"/>
    <n v="217"/>
    <n v="1"/>
    <n v="217"/>
    <x v="0"/>
    <n v="0"/>
    <n v="0"/>
    <n v="0"/>
    <n v="0"/>
    <n v="217"/>
    <n v="1"/>
    <n v="217"/>
    <m/>
    <n v="10"/>
    <n v="0"/>
    <n v="15"/>
    <x v="1"/>
    <n v="1"/>
    <n v="217"/>
    <n v="0"/>
    <n v="0"/>
    <n v="1"/>
    <n v="217"/>
    <n v="3"/>
    <n v="1"/>
    <n v="217"/>
    <n v="0"/>
    <n v="2"/>
    <s v="Separate, clearly perceived"/>
    <n v="0.92165898617511521"/>
    <n v="200"/>
    <n v="0.16999999999999993"/>
    <n v="0.92"/>
    <n v="199.64000000000001"/>
    <n v="0"/>
    <n v="0"/>
    <n v="2.17"/>
    <n v="1"/>
    <s v="SCI have plan for hand washing basin"/>
    <d v="2014-12-10T00:00:00"/>
    <d v="2015-12-10T00:00:00"/>
    <n v="53"/>
    <n v="17"/>
    <n v="0"/>
    <n v="1"/>
    <n v="217"/>
    <x v="0"/>
    <m/>
    <n v="0.5"/>
    <n v="108.5"/>
    <n v="3"/>
    <s v="Excellent coverage"/>
    <n v="0"/>
    <x v="2"/>
    <s v="need to follow up WASH committee situation within coming cluster meeting"/>
  </r>
  <r>
    <x v="12"/>
    <s v="MMR015CMP139"/>
    <x v="7"/>
    <x v="158"/>
    <n v="98.132779999999997"/>
    <n v="23.951699999999999"/>
    <x v="0"/>
    <x v="0"/>
    <n v="10"/>
    <n v="48"/>
    <n v="48"/>
    <x v="1"/>
    <s v="FCA/HIDA/WHH"/>
    <s v="KBC"/>
    <x v="4"/>
    <x v="0"/>
    <d v="2016-03-31T00:00:00"/>
    <s v="Focal NGO"/>
    <x v="0"/>
    <n v="0"/>
    <n v="0"/>
    <s v="No"/>
    <n v="0"/>
    <n v="0"/>
    <n v="0"/>
    <n v="1"/>
    <n v="0"/>
    <n v="0"/>
    <n v="0"/>
    <n v="0"/>
    <n v="0"/>
    <n v="0"/>
    <n v="0"/>
    <x v="1"/>
    <n v="0"/>
    <n v="0"/>
    <n v="0.12"/>
    <n v="0"/>
    <n v="48"/>
    <n v="1"/>
    <n v="48"/>
    <s v="The GFS is currently out of use"/>
    <n v="138"/>
    <n v="3"/>
    <n v="0"/>
    <x v="1"/>
    <n v="1"/>
    <n v="48"/>
    <n v="1"/>
    <n v="48"/>
    <n v="0"/>
    <n v="0"/>
    <n v="0"/>
    <n v="1"/>
    <n v="48"/>
    <n v="2.4"/>
    <n v="1"/>
    <s v="Not separated yet"/>
    <n v="1"/>
    <n v="48"/>
    <n v="0"/>
    <n v="1"/>
    <n v="48"/>
    <n v="0"/>
    <n v="0"/>
    <n v="0.48"/>
    <n v="0.8"/>
    <m/>
    <d v="2015-05-01T00:00:00"/>
    <d v="2016-04-30T00:00:00"/>
    <n v="10"/>
    <n v="10"/>
    <n v="0"/>
    <n v="1"/>
    <n v="48"/>
    <x v="0"/>
    <s v="Metta have 3 months refill distribution in July 15"/>
    <n v="0"/>
    <n v="0"/>
    <n v="0"/>
    <s v="No coverage"/>
    <n v="0"/>
    <x v="0"/>
    <m/>
  </r>
  <r>
    <x v="13"/>
    <s v="MMR015CMP215"/>
    <x v="7"/>
    <x v="159"/>
    <n v="97.709548999999996"/>
    <n v="23.838459"/>
    <x v="0"/>
    <x v="0"/>
    <n v="140"/>
    <n v="580"/>
    <n v="580"/>
    <x v="0"/>
    <s v="FCA/HIDA/WHH"/>
    <s v="KBC"/>
    <x v="4"/>
    <x v="0"/>
    <d v="2016-03-31T00:00:00"/>
    <s v="Focal NGO"/>
    <x v="0"/>
    <n v="0"/>
    <n v="0"/>
    <s v="No"/>
    <n v="0"/>
    <n v="0"/>
    <n v="35000"/>
    <n v="1"/>
    <n v="0"/>
    <n v="1"/>
    <n v="580"/>
    <n v="1"/>
    <n v="580"/>
    <n v="1"/>
    <n v="580"/>
    <x v="0"/>
    <n v="0"/>
    <n v="0"/>
    <n v="1.45"/>
    <n v="0"/>
    <n v="580"/>
    <n v="1"/>
    <n v="580"/>
    <s v="SCI constructed 1 chlorine treated station."/>
    <n v="15"/>
    <n v="11"/>
    <n v="12"/>
    <x v="2"/>
    <n v="0.7931034482758621"/>
    <n v="460"/>
    <n v="0.37931034482758624"/>
    <n v="220.00000000000003"/>
    <n v="0.41379310344827586"/>
    <n v="240"/>
    <n v="7"/>
    <n v="0.79"/>
    <n v="458.20000000000005"/>
    <n v="24"/>
    <n v="6"/>
    <s v="Separate, clearly perceived"/>
    <n v="1"/>
    <n v="580"/>
    <n v="0"/>
    <n v="1"/>
    <n v="580"/>
    <n v="5"/>
    <n v="0.86206896551724133"/>
    <n v="0.79999999999999982"/>
    <n v="1"/>
    <s v="land limited to construct more semi-permanent"/>
    <d v="2015-05-01T00:00:00"/>
    <d v="2016-04-30T00:00:00"/>
    <n v="141"/>
    <n v="5"/>
    <n v="0"/>
    <n v="1"/>
    <n v="580"/>
    <x v="0"/>
    <s v="Basic Hygiene kits already distributed by SCI and Overlappin with SCI"/>
    <n v="0.2"/>
    <n v="116"/>
    <n v="7"/>
    <s v="Excellent coverage"/>
    <n v="0"/>
    <x v="0"/>
    <m/>
  </r>
  <r>
    <x v="13"/>
    <s v="MMR015CMP214"/>
    <x v="7"/>
    <x v="160"/>
    <n v="97.701576000000003"/>
    <n v="23.842051000000001"/>
    <x v="0"/>
    <x v="0"/>
    <n v="41"/>
    <n v="218"/>
    <n v="218"/>
    <x v="1"/>
    <s v="FCA/HIDA/WHH"/>
    <s v="KBC"/>
    <x v="4"/>
    <x v="0"/>
    <d v="2016-03-31T00:00:00"/>
    <s v="Focal NGO"/>
    <x v="0"/>
    <n v="0"/>
    <n v="0"/>
    <s v="No"/>
    <n v="0"/>
    <n v="0"/>
    <n v="7000"/>
    <n v="1"/>
    <n v="0"/>
    <n v="1"/>
    <n v="218"/>
    <n v="1"/>
    <n v="218"/>
    <n v="1"/>
    <n v="218"/>
    <x v="0"/>
    <n v="0"/>
    <n v="0"/>
    <n v="0.54500000000000004"/>
    <n v="0"/>
    <n v="218"/>
    <n v="1"/>
    <n v="218"/>
    <s v="SCI constructed 1 chlorine treated station."/>
    <n v="10"/>
    <n v="6"/>
    <n v="0"/>
    <x v="1"/>
    <n v="0.55045871559633031"/>
    <n v="120"/>
    <n v="0.55045871559633031"/>
    <n v="120"/>
    <n v="0"/>
    <n v="0"/>
    <n v="2"/>
    <n v="0.55000000000000004"/>
    <n v="119.9"/>
    <n v="12.9"/>
    <n v="3"/>
    <s v="Separate, clearly perceived"/>
    <n v="1"/>
    <n v="218"/>
    <n v="0"/>
    <n v="1"/>
    <n v="218"/>
    <n v="4"/>
    <n v="1"/>
    <n v="0"/>
    <n v="1"/>
    <s v="land limited to construct more semi-permanent"/>
    <d v="2015-05-01T00:00:00"/>
    <d v="2016-04-30T00:00:00"/>
    <n v="59"/>
    <n v="5"/>
    <n v="0"/>
    <n v="1"/>
    <n v="218"/>
    <x v="0"/>
    <s v="Basic Hygiene kits already distributed by SCI and Overlappin with SCI"/>
    <n v="1"/>
    <n v="218"/>
    <n v="3"/>
    <s v="Excellent coverage"/>
    <n v="0"/>
    <x v="0"/>
    <m/>
  </r>
  <r>
    <x v="14"/>
    <s v="MMR015CMP015"/>
    <x v="8"/>
    <x v="161"/>
    <n v="97.848529999999997"/>
    <n v="23.4008"/>
    <x v="0"/>
    <x v="0"/>
    <n v="85"/>
    <n v="325"/>
    <n v="325"/>
    <x v="0"/>
    <s v="FCA/HIDA/WHH"/>
    <s v="KBC"/>
    <x v="4"/>
    <x v="0"/>
    <d v="2016-03-31T00:00:00"/>
    <s v="Focal NGO"/>
    <x v="0"/>
    <n v="0"/>
    <n v="0"/>
    <s v="No"/>
    <n v="0"/>
    <n v="0"/>
    <n v="86400"/>
    <n v="1"/>
    <n v="0"/>
    <n v="1"/>
    <n v="325"/>
    <n v="1"/>
    <n v="325"/>
    <n v="1"/>
    <n v="325"/>
    <x v="0"/>
    <n v="0"/>
    <n v="0"/>
    <n v="0.8125"/>
    <n v="0"/>
    <n v="325"/>
    <n v="1"/>
    <n v="325"/>
    <s v="Water Tank(1)"/>
    <n v="74"/>
    <n v="86"/>
    <n v="0"/>
    <x v="0"/>
    <n v="1"/>
    <n v="325"/>
    <n v="1"/>
    <n v="325"/>
    <n v="0"/>
    <n v="0"/>
    <n v="2"/>
    <n v="1"/>
    <n v="325"/>
    <n v="18.25"/>
    <n v="1"/>
    <s v="Not separated yet"/>
    <n v="0.30769230769230771"/>
    <n v="100"/>
    <n v="2.25"/>
    <n v="0.31"/>
    <n v="100.75"/>
    <n v="0"/>
    <n v="0"/>
    <n v="3.25"/>
    <n v="0.7"/>
    <s v="MDCG supported WASH-Shelter as HH level (no need to construct semi-parmanent)"/>
    <d v="2015-05-01T00:00:00"/>
    <d v="2016-04-30T00:00:00"/>
    <n v="82"/>
    <n v="5"/>
    <n v="3"/>
    <n v="0.96470588235294119"/>
    <n v="313.52941176470591"/>
    <x v="0"/>
    <m/>
    <n v="0.25"/>
    <n v="81.25"/>
    <n v="3"/>
    <s v="Excellent coverage"/>
    <n v="0"/>
    <x v="2"/>
    <m/>
  </r>
  <r>
    <x v="14"/>
    <s v="MMR015CMP016"/>
    <x v="8"/>
    <x v="162"/>
    <n v="97.926813999999993"/>
    <n v="23.450914000000001"/>
    <x v="0"/>
    <x v="0"/>
    <n v="63"/>
    <n v="294"/>
    <n v="294"/>
    <x v="0"/>
    <s v="FCA/HIDA/WHH"/>
    <s v="KBC"/>
    <x v="4"/>
    <x v="0"/>
    <d v="2016-03-31T00:00:00"/>
    <s v="Focal NGO"/>
    <x v="0"/>
    <n v="0"/>
    <n v="0"/>
    <s v="No"/>
    <n v="0"/>
    <n v="0"/>
    <n v="2000"/>
    <n v="1"/>
    <n v="0"/>
    <n v="0.45351473922902497"/>
    <n v="133.33333333333334"/>
    <n v="0.45351473922902497"/>
    <n v="133.33333333333334"/>
    <n v="0.45351473922902497"/>
    <n v="133.33333333333334"/>
    <x v="2"/>
    <n v="0"/>
    <n v="0"/>
    <n v="0.73499999999999999"/>
    <n v="0"/>
    <n v="294"/>
    <n v="1"/>
    <n v="294"/>
    <s v="tube-well(1)"/>
    <n v="49"/>
    <n v="6"/>
    <n v="0"/>
    <x v="0"/>
    <n v="0.40816326530612246"/>
    <n v="120"/>
    <n v="0.40816326530612246"/>
    <n v="120"/>
    <n v="0"/>
    <n v="0"/>
    <n v="3"/>
    <n v="0.41"/>
    <n v="120.53999999999999"/>
    <n v="17.7"/>
    <n v="2"/>
    <s v="Not separated yet"/>
    <n v="0.68027210884353739"/>
    <n v="200"/>
    <n v="0.94"/>
    <n v="0.68"/>
    <n v="199.92000000000002"/>
    <n v="2"/>
    <n v="0.68027210884353739"/>
    <n v="0.94"/>
    <n v="0.86"/>
    <s v="land limited to construct more semi-permanent"/>
    <d v="2012-10-01T00:00:00"/>
    <s v="To be realised"/>
    <n v="84"/>
    <n v="2"/>
    <n v="63"/>
    <n v="0"/>
    <n v="0"/>
    <x v="16"/>
    <m/>
    <n v="0.3"/>
    <n v="88.2"/>
    <n v="2"/>
    <s v="Excellent coverage"/>
    <n v="0"/>
    <x v="0"/>
    <m/>
  </r>
  <r>
    <x v="14"/>
    <s v="MMR015CMP017"/>
    <x v="8"/>
    <x v="163"/>
    <n v="97.947360000000003"/>
    <n v="23.460349999999998"/>
    <x v="0"/>
    <x v="0"/>
    <n v="34"/>
    <n v="150"/>
    <n v="150"/>
    <x v="1"/>
    <s v="Trocaires"/>
    <s v="KMSS"/>
    <x v="2"/>
    <x v="0"/>
    <d v="2015-12-31T00:00:00"/>
    <s v="Focal NGO"/>
    <x v="0"/>
    <n v="0"/>
    <n v="0"/>
    <s v="No"/>
    <n v="1"/>
    <n v="0"/>
    <n v="10960"/>
    <n v="1"/>
    <n v="0"/>
    <n v="1"/>
    <n v="150"/>
    <n v="1"/>
    <n v="150"/>
    <n v="1"/>
    <n v="150"/>
    <x v="0"/>
    <n v="0"/>
    <n v="0"/>
    <n v="0"/>
    <n v="0"/>
    <n v="150"/>
    <n v="1"/>
    <n v="150"/>
    <s v="KMSS have a plan to distrbute CWF filter"/>
    <n v="12"/>
    <n v="0"/>
    <n v="8"/>
    <x v="1"/>
    <n v="1"/>
    <n v="150"/>
    <n v="0"/>
    <n v="0"/>
    <n v="1"/>
    <n v="150"/>
    <n v="2"/>
    <n v="1"/>
    <n v="150"/>
    <n v="1.5"/>
    <n v="2"/>
    <s v="Separate, clearly perceived"/>
    <n v="1"/>
    <n v="150"/>
    <n v="0"/>
    <n v="1"/>
    <n v="150"/>
    <n v="0"/>
    <n v="0"/>
    <n v="1.5"/>
    <n v="0"/>
    <s v="Emergency Latrines need to renovate"/>
    <m/>
    <s v="To be realised"/>
    <n v="0"/>
    <n v="3"/>
    <n v="34"/>
    <n v="0"/>
    <n v="0"/>
    <x v="4"/>
    <s v=" KMSS will distribute Hygiene kit"/>
    <n v="0"/>
    <n v="0"/>
    <n v="2"/>
    <s v="Excellent coverage"/>
    <n v="0"/>
    <x v="0"/>
    <m/>
  </r>
  <r>
    <x v="14"/>
    <s v="MMR015CMP018"/>
    <x v="8"/>
    <x v="164"/>
    <n v="97.793306999999999"/>
    <n v="23.589089000000001"/>
    <x v="0"/>
    <x v="0"/>
    <n v="76"/>
    <n v="403"/>
    <n v="403"/>
    <x v="0"/>
    <s v="FCA/HIDA/WHH"/>
    <s v="KBC"/>
    <x v="4"/>
    <x v="0"/>
    <d v="2016-03-31T00:00:00"/>
    <s v="Focal NGO"/>
    <x v="0"/>
    <n v="0"/>
    <n v="0"/>
    <s v="No"/>
    <n v="0"/>
    <n v="0"/>
    <n v="100000"/>
    <n v="1"/>
    <n v="0"/>
    <n v="1"/>
    <n v="403"/>
    <n v="1"/>
    <n v="403"/>
    <n v="1"/>
    <n v="403"/>
    <x v="0"/>
    <n v="0"/>
    <n v="0"/>
    <n v="1.0075000000000001"/>
    <n v="0"/>
    <n v="403"/>
    <n v="1"/>
    <n v="403"/>
    <m/>
    <n v="9"/>
    <n v="74"/>
    <n v="0"/>
    <x v="0"/>
    <n v="1"/>
    <n v="403"/>
    <n v="1"/>
    <n v="403"/>
    <n v="0"/>
    <n v="0"/>
    <n v="2"/>
    <n v="1"/>
    <m/>
    <m/>
    <n v="5"/>
    <s v="Separated"/>
    <n v="1"/>
    <n v="403"/>
    <n v="0"/>
    <n v="1"/>
    <n v="403"/>
    <n v="0"/>
    <n v="0"/>
    <n v="4.03"/>
    <n v="0.7"/>
    <s v="MDCG + Metta supported WASH-Shelter facilities at  HH level (no need to construct semi-parmanent). "/>
    <d v="2015-05-01T00:00:00"/>
    <d v="2016-04-30T00:00:00"/>
    <n v="78"/>
    <n v="5"/>
    <n v="0"/>
    <n v="1"/>
    <n v="403"/>
    <x v="0"/>
    <m/>
    <n v="0"/>
    <m/>
    <n v="2"/>
    <s v="Excellent coverage"/>
    <n v="0"/>
    <x v="0"/>
    <m/>
  </r>
  <r>
    <x v="14"/>
    <s v="MMR015CMP006"/>
    <x v="8"/>
    <x v="165"/>
    <n v="98.220614999999995"/>
    <n v="23.400155999999999"/>
    <x v="0"/>
    <x v="0"/>
    <n v="45"/>
    <n v="211"/>
    <n v="211"/>
    <x v="1"/>
    <s v="FCA/HIDA/WHH"/>
    <s v="KBC"/>
    <x v="4"/>
    <x v="0"/>
    <d v="2016-03-31T00:00:00"/>
    <s v="Focal NGO"/>
    <x v="0"/>
    <n v="0"/>
    <n v="0"/>
    <s v="No"/>
    <n v="0"/>
    <n v="0"/>
    <n v="3500"/>
    <n v="1"/>
    <n v="0"/>
    <n v="1"/>
    <n v="211"/>
    <n v="1"/>
    <n v="211"/>
    <n v="1"/>
    <n v="211"/>
    <x v="0"/>
    <n v="0"/>
    <n v="0"/>
    <n v="0.52749999999999997"/>
    <n v="0"/>
    <n v="211"/>
    <n v="1"/>
    <n v="211"/>
    <m/>
    <n v="4"/>
    <n v="41"/>
    <n v="0"/>
    <x v="0"/>
    <n v="1"/>
    <n v="211"/>
    <n v="1"/>
    <n v="211"/>
    <n v="0"/>
    <n v="0"/>
    <n v="2"/>
    <n v="1"/>
    <n v="211"/>
    <n v="12.55"/>
    <n v="3"/>
    <s v="Separated"/>
    <n v="1"/>
    <n v="211"/>
    <n v="0"/>
    <n v="1"/>
    <n v="211"/>
    <n v="0"/>
    <n v="0"/>
    <n v="2.11"/>
    <n v="0.7"/>
    <s v="MDCG supported WASH-Shelter as HH level (no need to construct semi-parmanent)"/>
    <d v="2015-05-01T00:00:00"/>
    <d v="2016-04-30T00:00:00"/>
    <n v="49"/>
    <n v="5"/>
    <n v="0"/>
    <n v="1"/>
    <n v="211"/>
    <x v="0"/>
    <s v="Metta have 3 months refill distribution in July 15"/>
    <n v="1"/>
    <n v="211"/>
    <n v="0"/>
    <s v="No coverage"/>
    <n v="0"/>
    <x v="0"/>
    <m/>
  </r>
  <r>
    <x v="14"/>
    <s v="MMR015CMP019"/>
    <x v="8"/>
    <x v="166"/>
    <n v="98.213958000000005"/>
    <n v="23.391741"/>
    <x v="0"/>
    <x v="0"/>
    <n v="67"/>
    <n v="350"/>
    <n v="350"/>
    <x v="0"/>
    <s v="Trocaires"/>
    <s v="KMSS"/>
    <x v="2"/>
    <x v="0"/>
    <d v="2015-12-31T00:00:00"/>
    <s v="Focal NGO"/>
    <x v="0"/>
    <n v="0"/>
    <n v="0"/>
    <s v="No"/>
    <n v="0"/>
    <n v="0"/>
    <n v="14400"/>
    <n v="1"/>
    <n v="0"/>
    <n v="1"/>
    <n v="350"/>
    <n v="1"/>
    <n v="350"/>
    <n v="1"/>
    <n v="350"/>
    <x v="0"/>
    <n v="0"/>
    <n v="0"/>
    <n v="0.875"/>
    <n v="0"/>
    <n v="350"/>
    <n v="1"/>
    <n v="350"/>
    <s v="KMSS have a plan to distrbute CWF filter"/>
    <n v="81"/>
    <n v="12"/>
    <n v="8"/>
    <x v="1"/>
    <n v="1"/>
    <n v="350"/>
    <n v="0.54285714285714293"/>
    <n v="190.00000000000003"/>
    <n v="0.45714285714285713"/>
    <n v="160"/>
    <n v="2"/>
    <n v="1"/>
    <n v="350"/>
    <n v="11.5"/>
    <n v="2"/>
    <s v="Separate, clearly perceived"/>
    <n v="0.5714285714285714"/>
    <n v="200"/>
    <n v="1.5"/>
    <n v="0.56999999999999995"/>
    <n v="199.49999999999997"/>
    <n v="0"/>
    <n v="0"/>
    <n v="3.5"/>
    <n v="0"/>
    <m/>
    <m/>
    <s v="To be realised"/>
    <n v="0"/>
    <n v="3"/>
    <n v="67"/>
    <n v="0"/>
    <n v="0"/>
    <x v="4"/>
    <s v=" KMSS will distribute Hygiene kit"/>
    <n v="0"/>
    <n v="0"/>
    <n v="2"/>
    <s v="Excellent coverage"/>
    <n v="0"/>
    <x v="0"/>
    <m/>
  </r>
  <r>
    <x v="14"/>
    <s v="MMR015CMP019"/>
    <x v="8"/>
    <x v="167"/>
    <n v="97.819062000000002"/>
    <n v="23.694047000000001"/>
    <x v="0"/>
    <x v="0"/>
    <n v="75"/>
    <n v="269"/>
    <n v="269"/>
    <x v="0"/>
    <s v="FCA/HIDA/WHH"/>
    <s v="KBC"/>
    <x v="4"/>
    <x v="0"/>
    <d v="2016-03-31T00:00:00"/>
    <s v="Focal NGO"/>
    <x v="0"/>
    <n v="0"/>
    <n v="0"/>
    <s v="No"/>
    <n v="0"/>
    <n v="0"/>
    <n v="57600"/>
    <n v="1"/>
    <n v="0"/>
    <n v="1"/>
    <n v="269"/>
    <n v="1"/>
    <n v="269"/>
    <n v="1"/>
    <n v="269"/>
    <x v="0"/>
    <n v="0"/>
    <n v="0"/>
    <n v="0.67249999999999999"/>
    <n v="0"/>
    <n v="269"/>
    <n v="1"/>
    <n v="269"/>
    <m/>
    <n v="2"/>
    <n v="9"/>
    <n v="9"/>
    <x v="2"/>
    <n v="1"/>
    <n v="269"/>
    <n v="0.33085501858736055"/>
    <n v="88.999999999999986"/>
    <n v="0.66914498141263945"/>
    <n v="180"/>
    <n v="4"/>
    <n v="1"/>
    <n v="269"/>
    <n v="8.4499999999999993"/>
    <n v="2"/>
    <s v="Not separated yet"/>
    <n v="0.74349442379182151"/>
    <n v="200"/>
    <n v="0.69"/>
    <n v="0.75"/>
    <n v="201.75"/>
    <n v="0"/>
    <n v="0"/>
    <n v="2.69"/>
    <n v="0.8"/>
    <s v="community have practice as wash their hand at bathing space near the latrines "/>
    <d v="2015-05-11T00:00:00"/>
    <d v="2016-05-10T00:00:00"/>
    <n v="85"/>
    <n v="2"/>
    <n v="0"/>
    <n v="1"/>
    <n v="269"/>
    <x v="0"/>
    <m/>
    <n v="0.35"/>
    <n v="94.149999999999991"/>
    <n v="2"/>
    <s v="Excellent coverage"/>
    <n v="0"/>
    <x v="0"/>
    <m/>
  </r>
  <r>
    <x v="15"/>
    <s v="MMR015CMP019"/>
    <x v="8"/>
    <x v="168"/>
    <n v="98.128"/>
    <n v="23.24"/>
    <x v="0"/>
    <x v="0"/>
    <n v="67"/>
    <n v="392"/>
    <n v="392"/>
    <x v="0"/>
    <s v="FCA/HIDA/WHH"/>
    <s v="Church"/>
    <x v="4"/>
    <x v="0"/>
    <d v="2016-03-31T00:00:00"/>
    <s v="Focal NGO"/>
    <x v="0"/>
    <n v="0"/>
    <n v="0"/>
    <s v="No"/>
    <n v="0"/>
    <n v="0"/>
    <n v="17000"/>
    <n v="0"/>
    <n v="0"/>
    <n v="1"/>
    <n v="392"/>
    <n v="1"/>
    <n v="392"/>
    <n v="1"/>
    <n v="392"/>
    <x v="0"/>
    <n v="0"/>
    <n v="0"/>
    <n v="0.98"/>
    <n v="0"/>
    <n v="0"/>
    <n v="1"/>
    <n v="392"/>
    <m/>
    <n v="0"/>
    <n v="4"/>
    <n v="0"/>
    <x v="2"/>
    <n v="0.20408163265306123"/>
    <n v="80"/>
    <n v="0.20408163265306123"/>
    <n v="80"/>
    <n v="0"/>
    <n v="0"/>
    <n v="0"/>
    <n v="1"/>
    <n v="392"/>
    <n v="19.600000000000001"/>
    <n v="0"/>
    <m/>
    <n v="0"/>
    <n v="0"/>
    <n v="3.92"/>
    <n v="0"/>
    <n v="0"/>
    <n v="0"/>
    <n v="0"/>
    <n v="3.92"/>
    <n v="0.7"/>
    <s v="MEETA Plan(Emergency latrine 20)"/>
    <m/>
    <s v="To be realised"/>
    <n v="0"/>
    <n v="2"/>
    <n v="67"/>
    <n v="0"/>
    <n v="0"/>
    <x v="4"/>
    <s v="Metta have 3 months refill distribution in July 15"/>
    <n v="0"/>
    <n v="0"/>
    <n v="0"/>
    <s v="No coverage"/>
    <n v="0"/>
    <x v="0"/>
    <m/>
  </r>
  <r>
    <x v="16"/>
    <s v="MMR015CMP009"/>
    <x v="9"/>
    <x v="169"/>
    <n v="97.127340000000004"/>
    <n v="23.24954"/>
    <x v="0"/>
    <x v="0"/>
    <n v="38"/>
    <n v="164"/>
    <n v="164"/>
    <x v="1"/>
    <s v="FCA/HIDA/WHH"/>
    <s v="KBC"/>
    <x v="4"/>
    <x v="0"/>
    <d v="2016-03-31T00:00:00"/>
    <s v="Focal NGO"/>
    <x v="0"/>
    <n v="0"/>
    <n v="0"/>
    <s v="No"/>
    <n v="0"/>
    <n v="0"/>
    <n v="7000"/>
    <n v="1"/>
    <n v="0"/>
    <n v="1"/>
    <n v="164"/>
    <n v="1"/>
    <n v="164"/>
    <n v="1"/>
    <n v="164"/>
    <x v="0"/>
    <n v="0"/>
    <n v="0"/>
    <n v="0.41"/>
    <n v="0"/>
    <n v="164"/>
    <n v="1"/>
    <n v="164"/>
    <m/>
    <n v="0"/>
    <n v="18"/>
    <n v="0"/>
    <x v="2"/>
    <n v="1"/>
    <n v="164"/>
    <n v="1"/>
    <n v="164"/>
    <n v="0"/>
    <n v="0"/>
    <n v="2"/>
    <n v="1"/>
    <n v="164"/>
    <n v="10.199999999999999"/>
    <n v="2"/>
    <s v="Separated"/>
    <n v="1"/>
    <n v="164"/>
    <n v="0"/>
    <n v="1"/>
    <n v="164"/>
    <n v="1"/>
    <n v="0.6097560975609756"/>
    <n v="0.6399999999999999"/>
    <n v="0.8"/>
    <s v="MDCG supported WASH-Shelter as HH level (no need to construct semi-parmanent)/ bathing space was ongoing activities by Metta"/>
    <d v="2015-05-01T00:00:00"/>
    <d v="2016-04-30T00:00:00"/>
    <n v="39"/>
    <n v="5"/>
    <n v="0"/>
    <n v="1"/>
    <n v="164"/>
    <x v="0"/>
    <s v="Metta have 3 months refill distribution in July 15"/>
    <n v="0"/>
    <n v="0"/>
    <n v="0"/>
    <s v="No coverage"/>
    <n v="0"/>
    <x v="0"/>
    <m/>
  </r>
  <r>
    <x v="16"/>
    <s v="MMR015CMP209"/>
    <x v="9"/>
    <x v="170"/>
    <n v="97.123440000000002"/>
    <n v="23.24568"/>
    <x v="0"/>
    <x v="0"/>
    <n v="31"/>
    <n v="182"/>
    <n v="182"/>
    <x v="1"/>
    <s v="Trocaires"/>
    <s v="KMSS"/>
    <x v="2"/>
    <x v="0"/>
    <d v="2015-12-31T00:00:00"/>
    <s v="Focal NGO"/>
    <x v="0"/>
    <n v="0"/>
    <n v="0"/>
    <s v="No"/>
    <n v="0"/>
    <n v="0"/>
    <n v="28800"/>
    <n v="0.8"/>
    <n v="0"/>
    <n v="1"/>
    <n v="182"/>
    <n v="1"/>
    <n v="182"/>
    <n v="1"/>
    <n v="182"/>
    <x v="0"/>
    <n v="0"/>
    <n v="0"/>
    <n v="0.45500000000000002"/>
    <n v="0"/>
    <n v="145.6"/>
    <n v="1"/>
    <n v="182"/>
    <s v="KMSS have a plan to distrbute CWF filter"/>
    <n v="0"/>
    <n v="6"/>
    <n v="6"/>
    <x v="2"/>
    <n v="1"/>
    <n v="182"/>
    <n v="0.34065934065934067"/>
    <n v="62"/>
    <n v="0.65934065934065933"/>
    <n v="120"/>
    <n v="2"/>
    <n v="1"/>
    <n v="182"/>
    <n v="5.0999999999999996"/>
    <n v="2"/>
    <s v="Separate, clearly perceived"/>
    <n v="1"/>
    <n v="182"/>
    <n v="0"/>
    <n v="1"/>
    <n v="182"/>
    <n v="0"/>
    <n v="0"/>
    <n v="1.82"/>
    <n v="0"/>
    <m/>
    <d v="2012-10-01T00:00:00"/>
    <s v="To be realised"/>
    <n v="30"/>
    <n v="3"/>
    <n v="31"/>
    <n v="0"/>
    <n v="0"/>
    <x v="17"/>
    <s v=" KMSS will distribute Hygiene kit"/>
    <n v="0"/>
    <n v="0"/>
    <n v="2"/>
    <s v="Excellent coverage"/>
    <n v="0"/>
    <x v="1"/>
    <m/>
  </r>
  <r>
    <x v="14"/>
    <m/>
    <x v="9"/>
    <x v="171"/>
    <n v="97.875889999999998"/>
    <n v="23.44744"/>
    <x v="0"/>
    <x v="0"/>
    <n v="104"/>
    <n v="580"/>
    <n v="580"/>
    <x v="0"/>
    <s v="FCA/HIDA/WHH"/>
    <m/>
    <x v="4"/>
    <x v="0"/>
    <d v="2016-03-31T00:00:00"/>
    <s v="Focal NGO"/>
    <x v="0"/>
    <n v="0"/>
    <n v="0"/>
    <s v="No"/>
    <n v="0"/>
    <n v="0"/>
    <n v="0"/>
    <n v="0"/>
    <n v="0"/>
    <n v="0"/>
    <n v="0"/>
    <n v="0"/>
    <n v="0"/>
    <n v="0"/>
    <n v="0"/>
    <x v="1"/>
    <n v="0"/>
    <n v="0"/>
    <n v="1.45"/>
    <n v="0"/>
    <n v="0"/>
    <n v="1"/>
    <n v="580"/>
    <s v="Metta find the appropriate water sources for this camp. May be GFS or well construciton will be implement."/>
    <n v="0"/>
    <n v="12"/>
    <n v="0"/>
    <x v="2"/>
    <n v="0.41379310344827586"/>
    <n v="240"/>
    <n v="0.41379310344827586"/>
    <n v="240"/>
    <n v="0"/>
    <n v="0"/>
    <n v="0"/>
    <n v="1"/>
    <n v="580"/>
    <n v="29"/>
    <n v="0"/>
    <m/>
    <n v="0"/>
    <n v="0"/>
    <n v="5.8"/>
    <n v="0"/>
    <n v="0"/>
    <n v="0"/>
    <n v="0"/>
    <n v="5.8"/>
    <n v="0"/>
    <s v="90 emergency latrines construciton is ongoing, TLS  and other education supports needed. "/>
    <d v="2015-04-08T00:00:00"/>
    <d v="2016-04-07T00:00:00"/>
    <n v="73"/>
    <n v="0"/>
    <n v="31"/>
    <n v="0.70192307692307687"/>
    <n v="407.11538461538458"/>
    <x v="13"/>
    <s v="Metta have 3 months refill distribution in July 15"/>
    <n v="0"/>
    <n v="0"/>
    <n v="0"/>
    <s v="No coverage"/>
    <n v="0"/>
    <x v="2"/>
    <m/>
  </r>
  <r>
    <x v="14"/>
    <s v="MMR015CMP019"/>
    <x v="8"/>
    <x v="172"/>
    <n v="97.837040000000002"/>
    <n v="23.38503"/>
    <x v="0"/>
    <x v="0"/>
    <n v="178"/>
    <n v="826"/>
    <n v="826"/>
    <x v="0"/>
    <s v="FCA/HIDA/WHH"/>
    <s v="KBC"/>
    <x v="4"/>
    <x v="0"/>
    <d v="2016-03-31T00:00:00"/>
    <s v="Focal NGO"/>
    <x v="0"/>
    <n v="0"/>
    <n v="0"/>
    <s v="No"/>
    <n v="0"/>
    <n v="0"/>
    <n v="0"/>
    <n v="1"/>
    <n v="0"/>
    <n v="0"/>
    <n v="0"/>
    <n v="0"/>
    <n v="0"/>
    <n v="0"/>
    <n v="0"/>
    <x v="1"/>
    <n v="0"/>
    <n v="0"/>
    <n v="2.0649999999999999"/>
    <n v="0"/>
    <n v="826"/>
    <n v="1"/>
    <n v="826"/>
    <s v="the existing GFS has out of used, Metta has tried to solve with CMC. IDPs have fetched a water from surrounding village, now. "/>
    <n v="8"/>
    <n v="81"/>
    <n v="0"/>
    <x v="0"/>
    <n v="1"/>
    <n v="826"/>
    <n v="1"/>
    <n v="826"/>
    <n v="0"/>
    <n v="0"/>
    <n v="3"/>
    <n v="1"/>
    <n v="826"/>
    <n v="44.3"/>
    <n v="9"/>
    <s v="Separated"/>
    <n v="1"/>
    <n v="826"/>
    <n v="0"/>
    <n v="1"/>
    <n v="826"/>
    <n v="1"/>
    <n v="0.12106537530266344"/>
    <n v="7.26"/>
    <n v="0.7"/>
    <s v="MDCG supported WASH-Shelter as HH level (no need to construct semi-parmanent)/ bathing space was ongoing activities by Metta"/>
    <d v="2015-05-01T00:00:00"/>
    <d v="2016-04-30T00:00:00"/>
    <n v="173"/>
    <n v="5"/>
    <n v="5"/>
    <n v="0.9719101123595506"/>
    <n v="802.79775280898878"/>
    <x v="0"/>
    <s v="Metta have 3 months refill distribution in July 15"/>
    <n v="0"/>
    <n v="0"/>
    <n v="0"/>
    <s v="No coverage"/>
    <n v="0"/>
    <x v="0"/>
    <m/>
  </r>
  <r>
    <x v="17"/>
    <s v="MMR015CMP019"/>
    <x v="9"/>
    <x v="173"/>
    <n v="97.406869999999998"/>
    <n v="23.092880000000001"/>
    <x v="0"/>
    <x v="0"/>
    <n v="10"/>
    <n v="47"/>
    <n v="47"/>
    <x v="1"/>
    <s v="FCA/HIDA/WHH"/>
    <s v="KBC"/>
    <x v="4"/>
    <x v="0"/>
    <d v="2016-03-31T00:00:00"/>
    <s v="Focal NGO"/>
    <x v="0"/>
    <n v="0"/>
    <n v="0"/>
    <s v="No"/>
    <n v="0"/>
    <n v="0"/>
    <n v="2000"/>
    <n v="1"/>
    <n v="0"/>
    <n v="1"/>
    <n v="47"/>
    <n v="1"/>
    <n v="47"/>
    <n v="1"/>
    <n v="47"/>
    <x v="0"/>
    <n v="0"/>
    <n v="0"/>
    <n v="0.11749999999999999"/>
    <n v="0"/>
    <n v="47"/>
    <n v="1"/>
    <n v="47"/>
    <m/>
    <n v="2"/>
    <n v="2"/>
    <n v="2"/>
    <x v="1"/>
    <n v="1"/>
    <n v="47"/>
    <n v="0.14893617021276595"/>
    <n v="7"/>
    <n v="0.85106382978723405"/>
    <n v="40"/>
    <n v="2"/>
    <n v="1"/>
    <n v="47"/>
    <n v="2.35"/>
    <n v="2"/>
    <s v="Not separated yet"/>
    <n v="1"/>
    <n v="47"/>
    <n v="0"/>
    <n v="1"/>
    <n v="47"/>
    <n v="2"/>
    <n v="1"/>
    <n v="0"/>
    <n v="1"/>
    <m/>
    <d v="2015-05-01T00:00:00"/>
    <d v="2016-04-30T00:00:00"/>
    <n v="14"/>
    <n v="5"/>
    <n v="0"/>
    <n v="1"/>
    <n v="47"/>
    <x v="0"/>
    <m/>
    <n v="0.5"/>
    <n v="23.5"/>
    <n v="2"/>
    <s v="Excellent coverage"/>
    <n v="0"/>
    <x v="0"/>
    <m/>
  </r>
  <r>
    <x v="16"/>
    <m/>
    <x v="9"/>
    <x v="174"/>
    <m/>
    <m/>
    <x v="1"/>
    <x v="1"/>
    <n v="100"/>
    <n v="446"/>
    <n v="446"/>
    <x v="0"/>
    <m/>
    <s v="KMSS"/>
    <x v="3"/>
    <x v="1"/>
    <s v="Gap"/>
    <s v="Not documented"/>
    <x v="1"/>
    <n v="0"/>
    <n v="0"/>
    <s v="No"/>
    <n v="0"/>
    <n v="0"/>
    <n v="0"/>
    <n v="0"/>
    <n v="0"/>
    <n v="0"/>
    <n v="0"/>
    <n v="0"/>
    <n v="0"/>
    <n v="0"/>
    <n v="0"/>
    <x v="1"/>
    <n v="0"/>
    <n v="0"/>
    <n v="1.115"/>
    <n v="0"/>
    <n v="0"/>
    <n v="0"/>
    <n v="0"/>
    <m/>
    <n v="16"/>
    <n v="0"/>
    <n v="0"/>
    <x v="1"/>
    <n v="0"/>
    <n v="0"/>
    <n v="0"/>
    <n v="0"/>
    <n v="0"/>
    <n v="0"/>
    <n v="0"/>
    <n v="0"/>
    <n v="0"/>
    <n v="22.3"/>
    <n v="0"/>
    <m/>
    <n v="0"/>
    <n v="0"/>
    <n v="4.46"/>
    <n v="0"/>
    <n v="0"/>
    <n v="0"/>
    <n v="0"/>
    <n v="4.46"/>
    <n v="0"/>
    <m/>
    <m/>
    <s v="To be realised"/>
    <n v="0"/>
    <n v="0"/>
    <n v="100"/>
    <n v="0"/>
    <n v="0"/>
    <x v="4"/>
    <s v="SCI will deal with NSS partners for basic HK distribution to cover the whole area"/>
    <n v="0"/>
    <n v="0"/>
    <n v="0"/>
    <s v="No coverage"/>
    <n v="0"/>
    <x v="2"/>
    <m/>
  </r>
</pivotCacheRecords>
</file>

<file path=xl/pivotCache/pivotCacheRecords2.xml><?xml version="1.0" encoding="utf-8"?>
<pivotCacheRecords xmlns="http://schemas.openxmlformats.org/spreadsheetml/2006/main" xmlns:r="http://schemas.openxmlformats.org/officeDocument/2006/relationships" count="177">
  <r>
    <x v="0"/>
    <s v="MMR001CMP042"/>
    <s v="Cluster 10"/>
    <s v="Chipwi KBC camp"/>
    <n v="98.131264999999999"/>
    <n v="25.885922999999998"/>
    <s v="Camp"/>
    <s v="GCA"/>
    <n v="118"/>
    <n v="538"/>
    <n v="538"/>
    <s v="2. Medium"/>
    <s v="AusAid/OXFAM"/>
    <s v="Shalom"/>
    <x v="0"/>
    <s v="Covered"/>
    <x v="0"/>
  </r>
  <r>
    <x v="0"/>
    <s v="MMR001CMP043"/>
    <s v="Cluster 10"/>
    <s v="Hpare Hkyer - BP6"/>
    <n v="98.475719999999995"/>
    <n v="25.754110000000001"/>
    <s v="Camp"/>
    <s v="NGCA"/>
    <n v="155"/>
    <n v="873"/>
    <n v="873"/>
    <s v="2. Medium"/>
    <s v="CIDA/ADRA"/>
    <s v="KBC"/>
    <x v="1"/>
    <s v="Covered"/>
    <x v="1"/>
  </r>
  <r>
    <x v="0"/>
    <s v="MMR001CMP195"/>
    <s v="Cluster 10"/>
    <s v="Lhaovao Baptist Church (LBC)"/>
    <m/>
    <m/>
    <s v="Camp"/>
    <s v="GCA"/>
    <n v="139"/>
    <n v="640"/>
    <n v="640"/>
    <s v="2. Medium"/>
    <s v="AusAid/OXFAM"/>
    <s v="Shalom"/>
    <x v="0"/>
    <s v="Covered"/>
    <x v="0"/>
  </r>
  <r>
    <x v="0"/>
    <s v="MMR001CMP210"/>
    <s v="Cluster 10"/>
    <s v="Pan Wa"/>
    <n v="98.376824999999997"/>
    <n v="25.598251999999999"/>
    <s v="Camp"/>
    <s v="GCA"/>
    <n v="68"/>
    <n v="323"/>
    <n v="323"/>
    <s v="2. Medium"/>
    <s v="Trocaires"/>
    <s v="KMSS"/>
    <x v="2"/>
    <s v="Covered"/>
    <x v="2"/>
  </r>
  <r>
    <x v="1"/>
    <s v="MMR001CMP179"/>
    <s v="Cluster 1"/>
    <s v="5 Ward Baptist Church(lon Khin)"/>
    <n v="96.355270000000004"/>
    <n v="25.656130000000001"/>
    <s v="Camp"/>
    <s v="GCA"/>
    <n v="77"/>
    <n v="360"/>
    <n v="360"/>
    <s v="2. Medium"/>
    <m/>
    <s v="Shalom"/>
    <x v="0"/>
    <s v="Covered"/>
    <x v="3"/>
  </r>
  <r>
    <x v="1"/>
    <s v="MMR001CMP168"/>
    <s v="Cluster 1"/>
    <s v="5 Ward RC Church(lon Khin)"/>
    <n v="96.353070000000002"/>
    <n v="25.655819999999999"/>
    <s v="Camp"/>
    <s v="GCA"/>
    <n v="83"/>
    <n v="425"/>
    <n v="425"/>
    <s v="2. Medium"/>
    <s v="Trocaires"/>
    <s v="KMSS"/>
    <x v="2"/>
    <s v="Covered"/>
    <x v="2"/>
  </r>
  <r>
    <x v="1"/>
    <s v="MMR001CMP176"/>
    <s v="Cluster 1"/>
    <s v="AG Church, Hmaw Si Sa"/>
    <n v="96.345569999999995"/>
    <n v="25.635300000000001"/>
    <s v="Camp"/>
    <s v="GCA"/>
    <n v="67"/>
    <n v="338"/>
    <n v="338"/>
    <s v="2. Medium"/>
    <m/>
    <s v="Shalom"/>
    <x v="0"/>
    <s v="Covered"/>
    <x v="3"/>
  </r>
  <r>
    <x v="1"/>
    <s v="MMR001CMP190"/>
    <s v="Cluster 1"/>
    <s v="AG Church, Maw Wan"/>
    <n v="96.317350000000005"/>
    <n v="25.616509000000001"/>
    <s v="Camp"/>
    <s v="GCA"/>
    <n v="14"/>
    <n v="80"/>
    <n v="80"/>
    <s v="1. Small"/>
    <m/>
    <s v="Shalom"/>
    <x v="0"/>
    <s v="Covered"/>
    <x v="3"/>
  </r>
  <r>
    <x v="1"/>
    <s v="MMR001CMP169"/>
    <s v="Cluster 1"/>
    <s v="Baptist Church, Hmaw Si Sar(Lon Khin)"/>
    <n v="96.346469999999997"/>
    <n v="25.647649999999999"/>
    <s v="Camp"/>
    <s v="GCA"/>
    <n v="35"/>
    <n v="218"/>
    <n v="218"/>
    <s v="1. Small"/>
    <m/>
    <s v="Shalom"/>
    <x v="0"/>
    <s v="Covered"/>
    <x v="3"/>
  </r>
  <r>
    <x v="1"/>
    <s v="MMR001CMP188"/>
    <s v="Cluster 1"/>
    <s v="Baptist Church, Naung Hmee VT"/>
    <n v="96.673805000000002"/>
    <n v="25.728653000000001"/>
    <s v="Camp"/>
    <s v="GCA"/>
    <n v="15"/>
    <n v="77"/>
    <n v="77"/>
    <s v="1. Small"/>
    <m/>
    <s v="Shalom"/>
    <x v="0"/>
    <s v="Covered"/>
    <x v="3"/>
  </r>
  <r>
    <x v="1"/>
    <s v="MMR001CMP172"/>
    <s v="Cluster 1"/>
    <s v="Baptist Church, Sai Ra village"/>
    <n v="96.353070000000002"/>
    <n v="25.668469999999999"/>
    <s v="Camp"/>
    <s v="GCA"/>
    <n v="1"/>
    <n v="4"/>
    <n v="4"/>
    <s v="1. Small"/>
    <m/>
    <s v="Shalom"/>
    <x v="0"/>
    <s v="Covered"/>
    <x v="3"/>
  </r>
  <r>
    <x v="1"/>
    <s v="MMR001CMP109"/>
    <s v="Cluster 1"/>
    <s v="Chin Church, Seik Mu"/>
    <n v="96.283377000000002"/>
    <n v="25.582065"/>
    <s v="Camp"/>
    <s v="GCA"/>
    <n v="6"/>
    <n v="25"/>
    <n v="25"/>
    <s v="1. Small"/>
    <m/>
    <s v="Shalom"/>
    <x v="0"/>
    <s v="Covered"/>
    <x v="3"/>
  </r>
  <r>
    <x v="1"/>
    <s v="MMR001CMP174"/>
    <s v="Cluster 1"/>
    <s v="Dhama Rakhita, Nyein Chan Tar Yar Ward(Lon Khin)"/>
    <n v="96.354929999999996"/>
    <n v="25.643090000000001"/>
    <s v="Camp"/>
    <s v="GCA"/>
    <n v="65"/>
    <n v="335"/>
    <n v="335"/>
    <s v="2. Medium"/>
    <m/>
    <s v="Shalom"/>
    <x v="0"/>
    <s v="Covered"/>
    <x v="3"/>
  </r>
  <r>
    <x v="1"/>
    <s v="MMR001CMP148"/>
    <s v="Cluster 1"/>
    <s v="Hlaing Naung Baptist"/>
    <n v="96.705960000000005"/>
    <n v="25.51352"/>
    <s v="Camp"/>
    <s v="GCA"/>
    <n v="16"/>
    <n v="60"/>
    <n v="60"/>
    <s v="1. Small"/>
    <s v="CIDA/ADRA"/>
    <s v="KBC"/>
    <x v="1"/>
    <s v="Covered"/>
    <x v="1"/>
  </r>
  <r>
    <x v="1"/>
    <s v="MMR001CMP191"/>
    <s v="Cluster 1"/>
    <s v="Hmaw Wan, Anglican"/>
    <n v="96.316564"/>
    <n v="25.615960999999999"/>
    <s v="Camp"/>
    <s v="GCA"/>
    <n v="13"/>
    <n v="75"/>
    <n v="75"/>
    <s v="1. Small"/>
    <m/>
    <s v="Shalom"/>
    <x v="0"/>
    <s v="Covered"/>
    <x v="3"/>
  </r>
  <r>
    <x v="1"/>
    <s v="MMR001CMP229"/>
    <s v="Cluster 1"/>
    <s v="Hpakant Baptist Church, Nam Ma Hpit"/>
    <n v="96.312790000000007"/>
    <n v="25.611160000000002"/>
    <s v="Camp"/>
    <s v="GCA"/>
    <n v="118"/>
    <n v="519"/>
    <n v="519"/>
    <s v="2. Medium"/>
    <m/>
    <s v="Shalom"/>
    <x v="0"/>
    <s v="Covered"/>
    <x v="3"/>
  </r>
  <r>
    <x v="1"/>
    <s v="MMR001CMP181"/>
    <s v="Cluster 1"/>
    <s v="Lisu Baptist Church, Maw Shan Vil,. Seik Mu"/>
    <n v="96.269199999999998"/>
    <n v="25.566510000000001"/>
    <s v="Camp"/>
    <s v="GCA"/>
    <n v="26"/>
    <n v="137"/>
    <n v="137"/>
    <s v="1. Small"/>
    <m/>
    <s v="Shalom"/>
    <x v="0"/>
    <s v="Covered"/>
    <x v="3"/>
  </r>
  <r>
    <x v="1"/>
    <s v="MMR001CMP167"/>
    <s v="Cluster 1"/>
    <s v="Lisu Baptist Church, Maw Wan Ward"/>
    <n v="96.316400000000002"/>
    <n v="25.61842"/>
    <s v="Camp"/>
    <s v="GCA"/>
    <n v="15"/>
    <n v="71"/>
    <n v="71"/>
    <s v="1. Small"/>
    <m/>
    <s v="Shalom"/>
    <x v="0"/>
    <s v="Covered"/>
    <x v="3"/>
  </r>
  <r>
    <x v="1"/>
    <s v="MMR001CMP091"/>
    <s v="Cluster 1"/>
    <s v="Maw Wan, Mu-yin Baptist Church"/>
    <n v="96.319687999999999"/>
    <n v="25.615202"/>
    <s v="Camp"/>
    <s v="GCA"/>
    <n v="5"/>
    <n v="25"/>
    <n v="25"/>
    <s v="1. Small"/>
    <m/>
    <s v="Shalom"/>
    <x v="0"/>
    <s v="Covered"/>
    <x v="3"/>
  </r>
  <r>
    <x v="1"/>
    <s v="MMR001CMP192"/>
    <s v="Cluster 1"/>
    <s v="Nam Ma Phyit, COC"/>
    <n v="96.339590000000001"/>
    <n v="25.617998"/>
    <s v="Camp"/>
    <s v="GCA"/>
    <n v="17"/>
    <n v="63"/>
    <n v="63"/>
    <s v="1. Small"/>
    <m/>
    <s v="Shalom"/>
    <x v="0"/>
    <s v="Covered"/>
    <x v="3"/>
  </r>
  <r>
    <x v="1"/>
    <s v="MMR001CMP103"/>
    <s v="Cluster 1"/>
    <s v="Nant Ma Hpit Catholic Church"/>
    <n v="96.341352999999998"/>
    <n v="25.613894999999999"/>
    <s v="Camp"/>
    <s v="GCA"/>
    <n v="55"/>
    <n v="272"/>
    <n v="272"/>
    <s v="2. Medium"/>
    <s v="Trocaires"/>
    <s v="KMSS"/>
    <x v="2"/>
    <s v="Covered"/>
    <x v="2"/>
  </r>
  <r>
    <x v="1"/>
    <s v="MMR001CMP182"/>
    <s v="Cluster 1"/>
    <s v="Rawan Baptist Church, Maw Shan Vil., Seik Mu"/>
    <n v="96.279200000000003"/>
    <n v="25.56551"/>
    <s v="Camp"/>
    <s v="GCA"/>
    <n v="11"/>
    <n v="42"/>
    <n v="42"/>
    <s v="1. Small"/>
    <m/>
    <s v="Shalom"/>
    <x v="0"/>
    <s v="Covered"/>
    <x v="3"/>
  </r>
  <r>
    <x v="1"/>
    <s v="MMR001CMP183"/>
    <s v="Cluster 1"/>
    <s v="Sai Nai Baptish Church, Maw Shan Vil., Seki Mu"/>
    <n v="96.353030000000004"/>
    <n v="25.668399999999998"/>
    <s v="Camp"/>
    <s v="GCA"/>
    <n v="8"/>
    <n v="40"/>
    <n v="40"/>
    <s v="1. Small"/>
    <m/>
    <s v="Shalom"/>
    <x v="0"/>
    <s v="Covered"/>
    <x v="3"/>
  </r>
  <r>
    <x v="1"/>
    <s v="MMR001CMP184"/>
    <s v="Cluster 1"/>
    <s v="Ward 2 Sai Taung Baptist Church, Seik Mu "/>
    <n v="96.286680000000004"/>
    <n v="25.577559999999998"/>
    <s v="Camp"/>
    <s v="GCA"/>
    <n v="40"/>
    <n v="190"/>
    <n v="190"/>
    <s v="1. Small"/>
    <m/>
    <s v="Shalom"/>
    <x v="0"/>
    <s v="Covered"/>
    <x v="3"/>
  </r>
  <r>
    <x v="1"/>
    <s v="MMR001CMP105"/>
    <s v="Cluster 1"/>
    <s v="Yumar Baptist Church"/>
    <n v="96.306910999999999"/>
    <n v="25.599250000000001"/>
    <s v="Camp"/>
    <s v="GCA"/>
    <n v="22"/>
    <n v="80"/>
    <n v="80"/>
    <s v="1. Small"/>
    <m/>
    <s v="Shalom"/>
    <x v="0"/>
    <s v="Covered"/>
    <x v="3"/>
  </r>
  <r>
    <x v="2"/>
    <s v="MMR001CMP074"/>
    <s v="Cluster 10"/>
    <s v="La Ja"/>
    <n v="98.144502500000002"/>
    <n v="26.890058"/>
    <s v="Camp"/>
    <s v="GCA"/>
    <n v="11"/>
    <n v="17"/>
    <n v="17"/>
    <s v="1. Small"/>
    <m/>
    <m/>
    <x v="3"/>
    <s v="Not covered"/>
    <x v="3"/>
  </r>
  <r>
    <x v="3"/>
    <s v="MMR001CMP078"/>
    <s v="Cluster 3"/>
    <s v="Kyun Taw Baptist Church "/>
    <n v="96.922619999999995"/>
    <n v="25.305669999999999"/>
    <s v="Camp"/>
    <s v="GCA"/>
    <n v="17"/>
    <n v="69"/>
    <n v="69"/>
    <s v="1. Small"/>
    <s v="CIDA/ADRA"/>
    <s v="KBC"/>
    <x v="1"/>
    <s v="Covered"/>
    <x v="1"/>
  </r>
  <r>
    <x v="3"/>
    <s v="MMR001CMP077"/>
    <s v="Cluster 3"/>
    <s v="Mang Hawng Baptist Church"/>
    <n v="96.942279999999997"/>
    <n v="25.296579999999999"/>
    <s v="Camp"/>
    <s v="GCA"/>
    <n v="12"/>
    <n v="48"/>
    <n v="48"/>
    <s v="1. Small"/>
    <s v="CIDA/ADRA"/>
    <s v="KBC"/>
    <x v="1"/>
    <s v="Covered"/>
    <x v="1"/>
  </r>
  <r>
    <x v="3"/>
    <s v="MMR001CMP079"/>
    <s v="Cluster 3"/>
    <s v="Nat Gyi Kone Baptist Church "/>
    <n v="96.948740000000001"/>
    <n v="25.30442"/>
    <s v="Camp"/>
    <s v="GCA"/>
    <n v="15"/>
    <n v="47"/>
    <n v="47"/>
    <s v="1. Small"/>
    <s v="CIDA/ADRA"/>
    <s v="KBC"/>
    <x v="1"/>
    <s v="Covered"/>
    <x v="1"/>
  </r>
  <r>
    <x v="4"/>
    <s v="MMR001CMP152"/>
    <s v="Cluster 3"/>
    <s v="Nawng Ing (Indawgyi) Baptist Church  "/>
    <n v="96.364949999999993"/>
    <n v="24.998349999999999"/>
    <s v="Camp"/>
    <s v="GCA"/>
    <n v="19"/>
    <n v="104"/>
    <n v="84"/>
    <s v="1. Small"/>
    <s v="CIDA/ADRA"/>
    <s v="KBC"/>
    <x v="1"/>
    <s v="Covered"/>
    <x v="1"/>
  </r>
  <r>
    <x v="4"/>
    <s v="MMR001CMP080"/>
    <s v="Cluster 3"/>
    <s v="St. Patrick Catholic Church "/>
    <n v="96.367059999999995"/>
    <n v="24.764800000000001"/>
    <s v="Camp"/>
    <s v="GCA"/>
    <n v="12"/>
    <n v="51"/>
    <n v="51"/>
    <s v="1. Small"/>
    <s v="Trocaires"/>
    <s v="KMSS"/>
    <x v="2"/>
    <s v="Covered"/>
    <x v="2"/>
  </r>
  <r>
    <x v="5"/>
    <s v="MMR001CMP123"/>
    <s v="Cluster 6"/>
    <s v="Dum Bung "/>
    <n v="97.537099999999995"/>
    <n v="24.461033"/>
    <s v="Camp"/>
    <s v="NGCA"/>
    <n v="117"/>
    <n v="620"/>
    <n v="620"/>
    <s v="2. Medium"/>
    <s v="Trocaires"/>
    <s v="IRRC"/>
    <x v="2"/>
    <s v="Covered"/>
    <x v="2"/>
  </r>
  <r>
    <x v="5"/>
    <s v="MMR001CMP122"/>
    <s v="Cluster 5"/>
    <s v="Hpun Lum Yang "/>
    <n v="97.573166999999998"/>
    <n v="24.661466999999998"/>
    <s v="Camp"/>
    <s v="NGCA"/>
    <n v="479"/>
    <n v="2288"/>
    <n v="2288"/>
    <s v="3. Large"/>
    <s v="Welthungerhilfe"/>
    <s v="KMSS"/>
    <x v="4"/>
    <s v="Covered"/>
    <x v="4"/>
  </r>
  <r>
    <x v="6"/>
    <s v="MMR001CMP012"/>
    <s v="Cluster 2"/>
    <s v="Du Kahtawng Qtr. 14"/>
    <n v="97.385101000000006"/>
    <n v="25.399795999999998"/>
    <s v="Camp"/>
    <s v="GCA"/>
    <n v="6"/>
    <n v="27"/>
    <n v="27"/>
    <s v="1. Small"/>
    <s v="CIDA/ADRA"/>
    <s v="KBC"/>
    <x v="1"/>
    <s v="Covered"/>
    <x v="1"/>
  </r>
  <r>
    <x v="6"/>
    <s v="MMR001CMP010"/>
    <s v="Cluster 2"/>
    <s v="Du Kahtawng Qtr. 4"/>
    <n v="97.383056999999994"/>
    <n v="25.395994000000002"/>
    <s v="Camp"/>
    <s v="GCA"/>
    <n v="6"/>
    <n v="35"/>
    <n v="35"/>
    <s v="1. Small"/>
    <s v="CIDA/ADRA"/>
    <s v="KBC"/>
    <x v="1"/>
    <s v="Covered"/>
    <x v="1"/>
  </r>
  <r>
    <x v="6"/>
    <s v="MMR001CMP011"/>
    <s v="Cluster 2"/>
    <s v="Du Kahtawng Qtr. 5"/>
    <n v="97.381195000000005"/>
    <n v="25.396363999999998"/>
    <s v="Camp"/>
    <s v="GCA"/>
    <n v="8"/>
    <n v="26"/>
    <n v="26"/>
    <s v="1. Small"/>
    <s v="CIDA/ADRA"/>
    <s v="KBC"/>
    <x v="1"/>
    <s v="Covered"/>
    <x v="1"/>
  </r>
  <r>
    <x v="6"/>
    <s v="MMR001CMP018"/>
    <s v="Cluster 2"/>
    <s v="Jan Mai Kawng Baptist Church"/>
    <n v="97.389778000000007"/>
    <n v="25.417733999999999"/>
    <s v="Camp"/>
    <s v="GCA"/>
    <n v="189"/>
    <n v="974"/>
    <n v="974"/>
    <s v="2. Medium"/>
    <s v="CIDA/ADRA"/>
    <s v="KBC"/>
    <x v="1"/>
    <s v="Covered"/>
    <x v="1"/>
  </r>
  <r>
    <x v="6"/>
    <s v="MMR001CMP019"/>
    <s v="Cluster 2"/>
    <s v="Jan Mai Kawng Catholic Church"/>
    <n v="97.373361000000003"/>
    <n v="25.403476999999999"/>
    <s v="Camp"/>
    <s v="GCA"/>
    <n v="106"/>
    <n v="468"/>
    <n v="468"/>
    <s v="2. Medium"/>
    <s v="Trocaires"/>
    <s v="KMSS"/>
    <x v="2"/>
    <s v="Covered"/>
    <x v="2"/>
  </r>
  <r>
    <x v="6"/>
    <s v="MMR001CMP013"/>
    <s v="Cluster 2"/>
    <s v="Kyun Pin Thar Baptist Church"/>
    <n v="97.405120999999994"/>
    <n v="25.365891000000001"/>
    <s v="Camp"/>
    <s v="GCA"/>
    <n v="44"/>
    <n v="180"/>
    <n v="180"/>
    <s v="1. Small"/>
    <s v="CIDA/ADRA"/>
    <s v="KBC"/>
    <x v="1"/>
    <s v="Covered"/>
    <x v="1"/>
  </r>
  <r>
    <x v="6"/>
    <s v="MMR001CMP147"/>
    <s v="Cluster 2"/>
    <s v="Lawk Awng Mare D. (Sinbo Area)"/>
    <m/>
    <m/>
    <s v="Camp"/>
    <s v="NGCA"/>
    <n v="19"/>
    <n v="68"/>
    <n v="68"/>
    <s v="1. Small"/>
    <s v="Trocaires"/>
    <m/>
    <x v="2"/>
    <s v="Covered"/>
    <x v="2"/>
  </r>
  <r>
    <x v="6"/>
    <s v="MMR001CMP015"/>
    <s v="Cluster 2"/>
    <s v="Le Kone Bethlehem Church"/>
    <n v="97.409317000000001"/>
    <n v="25.362189999999998"/>
    <s v="Camp"/>
    <s v="GCA"/>
    <n v="105"/>
    <n v="563"/>
    <n v="328"/>
    <s v="2. Medium"/>
    <s v="CIDA/ADRA"/>
    <s v="KBC"/>
    <x v="1"/>
    <s v="Covered"/>
    <x v="1"/>
  </r>
  <r>
    <x v="6"/>
    <s v="MMR001CMP014"/>
    <s v="Cluster 2"/>
    <s v="Le Kone Ziun Baptist Church "/>
    <n v="97.408919999999995"/>
    <n v="25.355983999999999"/>
    <s v="Camp"/>
    <s v="GCA"/>
    <n v="143"/>
    <n v="717"/>
    <n v="462"/>
    <s v="2. Medium"/>
    <s v="CIDA/ADRA"/>
    <s v="KBC"/>
    <x v="1"/>
    <s v="Covered"/>
    <x v="1"/>
  </r>
  <r>
    <x v="6"/>
    <s v="MMR001CMP016"/>
    <s v="Cluster 2"/>
    <s v="Maliyang Baptist Church"/>
    <n v="97.411606000000006"/>
    <n v="25.360475999999998"/>
    <s v="Camp"/>
    <s v="GCA"/>
    <n v="71"/>
    <n v="319"/>
    <n v="319"/>
    <s v="2. Medium"/>
    <s v="CIDA/ADRA"/>
    <s v="KBC"/>
    <x v="1"/>
    <s v="Covered"/>
    <x v="1"/>
  </r>
  <r>
    <x v="6"/>
    <s v="MMR001CMP008"/>
    <s v="Cluster 2"/>
    <s v="Man Hkring Baptist Church"/>
    <n v="97.418694000000002"/>
    <n v="25.428910999999999"/>
    <s v="Camp"/>
    <s v="GCA"/>
    <n v="87"/>
    <n v="452"/>
    <n v="452"/>
    <s v="2. Medium"/>
    <s v="CIDA/ADRA"/>
    <s v="KBC"/>
    <x v="1"/>
    <s v="Covered"/>
    <x v="1"/>
  </r>
  <r>
    <x v="6"/>
    <s v="MMR001CMP020"/>
    <s v="Cluster 2"/>
    <s v="Maw Hpawng Hka Nan Baptist Church"/>
    <n v="97.284729999999996"/>
    <n v="25.374020000000002"/>
    <s v="Camp"/>
    <s v="GCA"/>
    <n v="22"/>
    <n v="100"/>
    <n v="100"/>
    <s v="1. Small"/>
    <s v="AusAid/OXFAM"/>
    <s v="Shalom"/>
    <x v="0"/>
    <s v="Covered"/>
    <x v="0"/>
  </r>
  <r>
    <x v="6"/>
    <s v="MMR001CMP021"/>
    <s v="Cluster 2"/>
    <s v="Maw Hpawng Lhaovo Baptist Church"/>
    <n v="97.291079999999994"/>
    <n v="25.371179999999999"/>
    <s v="Camp"/>
    <s v="GCA"/>
    <n v="14"/>
    <n v="73"/>
    <n v="73"/>
    <s v="1. Small"/>
    <s v="AusAid/OXFAM"/>
    <s v="Shalom"/>
    <x v="0"/>
    <s v="Covered"/>
    <x v="0"/>
  </r>
  <r>
    <x v="6"/>
    <s v="MMR001CMP024"/>
    <s v="Cluster 2"/>
    <s v="Nan Kway St. John Catholic Church"/>
    <n v="97.359380000000002"/>
    <n v="25.411770000000001"/>
    <s v="Camp"/>
    <s v="GCA"/>
    <n v="72"/>
    <n v="308"/>
    <n v="308"/>
    <s v="2. Medium"/>
    <s v="Trocaires"/>
    <s v="KMSS"/>
    <x v="2"/>
    <s v="Covered"/>
    <x v="2"/>
  </r>
  <r>
    <x v="6"/>
    <s v="MMR001CMP002"/>
    <s v="Cluster 2"/>
    <s v="Njang Dung Baptist Church "/>
    <n v="97.394547000000003"/>
    <n v="25.422194000000001"/>
    <s v="Camp"/>
    <s v="GCA"/>
    <n v="55"/>
    <n v="229"/>
    <n v="229"/>
    <s v="2. Medium"/>
    <s v="CIDA/ADRA"/>
    <s v="KBC"/>
    <x v="1"/>
    <s v="Covered"/>
    <x v="1"/>
  </r>
  <r>
    <x v="6"/>
    <s v="MMR001CMP162"/>
    <s v="Cluster 2"/>
    <s v="Pa Dauk Myaing(Pa La Na)"/>
    <n v="97.4345"/>
    <n v="25.493819999999999"/>
    <s v="Camp"/>
    <s v="GCA"/>
    <n v="28"/>
    <n v="176"/>
    <n v="176"/>
    <s v="1. Small"/>
    <s v="Trocaires"/>
    <s v="KMSS"/>
    <x v="2"/>
    <s v="Covered"/>
    <x v="2"/>
  </r>
  <r>
    <x v="6"/>
    <s v="MMR001CMP006"/>
    <s v="Cluster 2"/>
    <s v="Shatapru Sut Ngai Tawng"/>
    <n v="97.399628000000007"/>
    <n v="25.412313000000001"/>
    <s v="Camp"/>
    <s v="GCA"/>
    <n v="100"/>
    <n v="400"/>
    <n v="400"/>
    <s v="2. Medium"/>
    <s v="CIDA/ADRA"/>
    <s v="KBC"/>
    <x v="1"/>
    <s v="Covered"/>
    <x v="1"/>
  </r>
  <r>
    <x v="6"/>
    <s v="MMR001CMP007"/>
    <s v="Cluster 2"/>
    <s v="Shatapru Thida Aye Baptist Church"/>
    <n v="97.418004999999994"/>
    <n v="25.423817"/>
    <s v="Camp"/>
    <s v="GCA"/>
    <n v="40"/>
    <n v="282"/>
    <n v="282"/>
    <s v="1. Small"/>
    <s v="AusAid/OXFAM"/>
    <s v="Shalom"/>
    <x v="0"/>
    <s v="Covered"/>
    <x v="0"/>
  </r>
  <r>
    <x v="6"/>
    <s v="MMR001CMP009"/>
    <s v="Cluster 2"/>
    <s v="Shwe Zet Baptist Church"/>
    <n v="97.419403000000003"/>
    <n v="25.440928"/>
    <s v="Camp"/>
    <s v="GCA"/>
    <n v="83"/>
    <n v="425"/>
    <n v="425"/>
    <s v="2. Medium"/>
    <s v="CIDA/ADRA"/>
    <s v="KBC"/>
    <x v="1"/>
    <s v="Covered"/>
    <x v="1"/>
  </r>
  <r>
    <x v="6"/>
    <s v="MMR001CMP001"/>
    <s v="Cluster 2"/>
    <s v="Tat Kone Baptist Church"/>
    <n v="97.386718999999999"/>
    <n v="25.415482000000001"/>
    <s v="Camp"/>
    <s v="GCA"/>
    <n v="87"/>
    <n v="258"/>
    <n v="258"/>
    <s v="2. Medium"/>
    <s v="CIDA/ADRA"/>
    <s v="KBC"/>
    <x v="1"/>
    <s v="Covered"/>
    <x v="1"/>
  </r>
  <r>
    <x v="6"/>
    <s v="MMR001CMP023"/>
    <s v="Cluster 2"/>
    <s v="Tat Kone (Ra Da Kawng)"/>
    <n v="97.387370000000004"/>
    <n v="25.42595"/>
    <s v="Camp"/>
    <s v="GCA"/>
    <n v="34"/>
    <n v="176"/>
    <n v="176"/>
    <s v="1. Small"/>
    <s v="AusAid/OXFAM"/>
    <s v="Shalom"/>
    <x v="0"/>
    <s v="Covered"/>
    <x v="0"/>
  </r>
  <r>
    <x v="6"/>
    <s v="MMR001CMP023"/>
    <s v="Cluster 2"/>
    <s v="Tat Kone COC Baptist / Tat Kone Htoi San"/>
    <n v="97.388400000000004"/>
    <n v="25.40982"/>
    <s v="Camp"/>
    <s v="GCA"/>
    <n v="35"/>
    <n v="160"/>
    <n v="160"/>
    <s v="1. Small"/>
    <s v="AusAid/OXFAM"/>
    <s v="Shalom"/>
    <x v="0"/>
    <s v="Covered"/>
    <x v="0"/>
  </r>
  <r>
    <x v="6"/>
    <s v="MMR001CMP004"/>
    <s v="Cluster 2"/>
    <s v="Tat Kone Emanuel Church"/>
    <n v="97.379272"/>
    <n v="25.401074999999999"/>
    <s v="Camp"/>
    <s v="GCA"/>
    <n v="7"/>
    <n v="40"/>
    <n v="40"/>
    <s v="1. Small"/>
    <s v="AusAid/OXFAM"/>
    <s v="Shalom"/>
    <x v="0"/>
    <s v="Covered"/>
    <x v="0"/>
  </r>
  <r>
    <x v="6"/>
    <s v="MMR001CMP003"/>
    <s v="Cluster 2"/>
    <s v="Tat Kone Galile Baptist Church"/>
    <n v="97.377662999999998"/>
    <n v="25.404752999999999"/>
    <s v="Camp"/>
    <s v="GCA"/>
    <n v="31"/>
    <n v="131"/>
    <n v="131"/>
    <s v="1. Small"/>
    <s v="CIDA/ADRA"/>
    <s v="KBC"/>
    <x v="1"/>
    <s v="Covered"/>
    <x v="1"/>
  </r>
  <r>
    <x v="6"/>
    <s v="MMR001CMP005"/>
    <s v="Cluster 2"/>
    <s v="Tat Kone San Pya Baptist Church"/>
    <n v="97.382192000000003"/>
    <n v="25.404015000000001"/>
    <s v="Camp"/>
    <s v="GCA"/>
    <n v="33"/>
    <n v="120"/>
    <n v="120"/>
    <s v="1. Small"/>
    <s v="CIDA/ADRA"/>
    <s v="KBC"/>
    <x v="1"/>
    <s v="Covered"/>
    <x v="1"/>
  </r>
  <r>
    <x v="6"/>
    <s v="MMR001CMP022"/>
    <s v="Cluster 2"/>
    <s v="Wun Tho Buddhist Monastery"/>
    <n v="97.403407999999999"/>
    <n v="25.377545999999999"/>
    <s v="Camp"/>
    <s v="GCA"/>
    <n v="6"/>
    <n v="36"/>
    <n v="36"/>
    <s v="1. Small"/>
    <s v="AusAid/OXFAM"/>
    <s v="Shalom"/>
    <x v="0"/>
    <s v="Covered"/>
    <x v="0"/>
  </r>
  <r>
    <x v="7"/>
    <s v="MMR001CMP075"/>
    <s v="Cluster 10"/>
    <s v="Doke Htan Ward"/>
    <n v="97.418279999999996"/>
    <n v="27.310880000000001"/>
    <s v="Village"/>
    <s v="GCA"/>
    <n v="14"/>
    <n v="64"/>
    <n v="64"/>
    <s v="1. Small"/>
    <m/>
    <m/>
    <x v="3"/>
    <s v="Not covered"/>
    <x v="3"/>
  </r>
  <r>
    <x v="7"/>
    <s v="MMR001CMP234"/>
    <s v="Cluster 10"/>
    <s v="Lung Sut"/>
    <m/>
    <m/>
    <s v="Camp"/>
    <s v="GCA"/>
    <n v="27"/>
    <n v="82"/>
    <n v="82"/>
    <s v="1. Small"/>
    <s v="CIDA/ADRA"/>
    <s v="KBC"/>
    <x v="1"/>
    <s v="Covered"/>
    <x v="1"/>
  </r>
  <r>
    <x v="8"/>
    <s v="MMR001CMP113"/>
    <s v="Cluster 5"/>
    <s v="Border Post 8"/>
    <n v="97.915833000000006"/>
    <n v="25.220278"/>
    <s v="Camp"/>
    <s v="NGCA"/>
    <n v="133"/>
    <n v="645"/>
    <n v="645"/>
    <s v="2. Medium"/>
    <s v="Trocaires"/>
    <s v="IRRC"/>
    <x v="2"/>
    <s v="Covered"/>
    <x v="2"/>
  </r>
  <r>
    <x v="8"/>
    <s v="MMR001CMP028"/>
    <s v="Cluster 2"/>
    <s v="Hkat Cho "/>
    <n v="97.408302000000006"/>
    <n v="25.324567999999999"/>
    <s v="Camp"/>
    <s v="GCA"/>
    <n v="110"/>
    <n v="506"/>
    <n v="506"/>
    <s v="2. Medium"/>
    <s v="AusAid/OXFAM"/>
    <s v="Shalom"/>
    <x v="0"/>
    <s v="Covered"/>
    <x v="0"/>
  </r>
  <r>
    <x v="8"/>
    <s v="MMR001CMP115"/>
    <s v="Cluster 5"/>
    <s v="Hkau Shau (BP 12)"/>
    <n v="97.807182999999995"/>
    <n v="25.200333000000001"/>
    <s v="Camp"/>
    <s v="NGCA"/>
    <n v="170"/>
    <n v="1156"/>
    <n v="1156"/>
    <s v="2. Medium"/>
    <s v="CIDA/ADRA"/>
    <s v="KBC"/>
    <x v="1"/>
    <s v="Covered"/>
    <x v="1"/>
  </r>
  <r>
    <x v="8"/>
    <s v="MMR001CMP027"/>
    <s v="Cluster 2"/>
    <s v="Mading Baptist Church"/>
    <n v="97.451965000000001"/>
    <n v="25.356632000000001"/>
    <s v="Camp"/>
    <s v="GCA"/>
    <n v="21"/>
    <n v="109"/>
    <n v="109"/>
    <s v="1. Small"/>
    <s v="CIDA/ADRA"/>
    <s v="Shalom"/>
    <x v="1"/>
    <s v="Covered"/>
    <x v="1"/>
  </r>
  <r>
    <x v="8"/>
    <s v="MMR001CMP119"/>
    <s v="Cluster 5"/>
    <s v="Maga Yang "/>
    <n v="97.715230000000005"/>
    <n v="24.980250000000002"/>
    <s v="Camp"/>
    <s v="NGCA"/>
    <n v="645"/>
    <n v="2810"/>
    <n v="2810"/>
    <s v="4. Big"/>
    <s v="CIDA/ADRA"/>
    <s v="IRRC"/>
    <x v="1"/>
    <s v="Covered"/>
    <x v="1"/>
  </r>
  <r>
    <x v="8"/>
    <s v="MMR001CMP031"/>
    <s v="Cluster 2"/>
    <s v="Maina AG Church"/>
    <n v="97.435233999999994"/>
    <n v="25.425276"/>
    <s v="Camp"/>
    <s v="GCA"/>
    <n v="128"/>
    <n v="725"/>
    <n v="492"/>
    <s v="2. Medium"/>
    <s v="AusAid/OXFAM"/>
    <s v="Shalom"/>
    <x v="0"/>
    <s v="Covered"/>
    <x v="0"/>
  </r>
  <r>
    <x v="8"/>
    <s v="MMR001CMP029"/>
    <s v="Cluster 2"/>
    <s v="Maina Catholic Church (St. Joseph)"/>
    <n v="97.438450000000003"/>
    <n v="25.415900000000001"/>
    <s v="Camp"/>
    <s v="GCA"/>
    <n v="238"/>
    <n v="1234"/>
    <n v="1234"/>
    <s v="2. Medium"/>
    <s v="Trocaires"/>
    <s v="KMSS"/>
    <x v="2"/>
    <s v="Covered"/>
    <x v="2"/>
  </r>
  <r>
    <x v="8"/>
    <s v="MMR001CMP040"/>
    <s v="Cluster 2"/>
    <s v="Maina KBC (Bawng Ring)"/>
    <n v="97.437434999999994"/>
    <n v="25.411413"/>
    <s v="Camp"/>
    <s v="GCA"/>
    <n v="415"/>
    <n v="2077"/>
    <n v="2077"/>
    <s v="3. Large"/>
    <s v="CIDA/ADRA"/>
    <s v="KBC"/>
    <x v="1"/>
    <s v="Covered"/>
    <x v="1"/>
  </r>
  <r>
    <x v="8"/>
    <s v="MMR001CMP039"/>
    <s v="Cluster 2"/>
    <s v="Maina Lawang Baptist Church"/>
    <n v="97.426297000000005"/>
    <n v="25.409566000000002"/>
    <s v="Camp"/>
    <s v="GCA"/>
    <n v="44"/>
    <n v="187"/>
    <n v="187"/>
    <s v="1. Small"/>
    <s v="CIDA/ADRA"/>
    <s v="KBC"/>
    <x v="1"/>
    <s v="Covered"/>
    <x v="1"/>
  </r>
  <r>
    <x v="8"/>
    <s v="MMR001CMP120"/>
    <s v="Cluster 5"/>
    <s v="Pajau / Jan Mai"/>
    <n v="97.751389000000003"/>
    <n v="24.831944"/>
    <s v="Camp"/>
    <s v="NGCA"/>
    <n v="191"/>
    <n v="770"/>
    <n v="770"/>
    <s v="2. Medium"/>
    <s v="CIDA/ADRA"/>
    <s v="KBC"/>
    <x v="1"/>
    <s v="Covered"/>
    <x v="1"/>
  </r>
  <r>
    <x v="8"/>
    <s v="MMR001CMP160"/>
    <s v="Cluster 5"/>
    <s v="Post 6 Camp"/>
    <n v="97.990555999999998"/>
    <n v="25.265277999999999"/>
    <s v="Camp"/>
    <s v="NGCA"/>
    <n v="109"/>
    <n v="640"/>
    <n v="640"/>
    <s v="2. Medium"/>
    <s v="Trocaires"/>
    <s v="IRRC"/>
    <x v="2"/>
    <s v="Covered"/>
    <x v="2"/>
  </r>
  <r>
    <x v="8"/>
    <s v="MMR001CMP032"/>
    <s v="Cluster 2"/>
    <s v="Qtr. 2 Lhaovo Baptist Church"/>
    <n v="97.441483000000005"/>
    <n v="25.354883999999998"/>
    <s v="Camp"/>
    <s v="GCA"/>
    <n v="102"/>
    <n v="340"/>
    <n v="280"/>
    <s v="2. Medium"/>
    <s v="AusAid/OXFAM"/>
    <s v="Shalom"/>
    <x v="0"/>
    <s v="Covered"/>
    <x v="0"/>
  </r>
  <r>
    <x v="8"/>
    <s v="MMR001CMP025"/>
    <s v="Cluster 2"/>
    <s v="Qtr. 2 Myoma Baptist Church"/>
    <n v="97.438271"/>
    <n v="25.351655000000001"/>
    <s v="Camp"/>
    <s v="GCA"/>
    <n v="67"/>
    <n v="315"/>
    <n v="151"/>
    <s v="2. Medium"/>
    <s v="CIDA/ADRA"/>
    <s v="KBC"/>
    <x v="1"/>
    <s v="Covered"/>
    <x v="1"/>
  </r>
  <r>
    <x v="8"/>
    <s v="MMR001CMP030"/>
    <s v="Cluster 2"/>
    <s v="Qtr. 3 Mu-yin  Baptist Church"/>
    <n v="97.437568999999996"/>
    <n v="25.346004000000001"/>
    <s v="Camp"/>
    <s v="GCA"/>
    <n v="31"/>
    <n v="169"/>
    <n v="169"/>
    <s v="1. Small"/>
    <s v="AusAid/OXFAM"/>
    <s v="Shalom"/>
    <x v="0"/>
    <s v="Covered"/>
    <x v="0"/>
  </r>
  <r>
    <x v="8"/>
    <s v="MMR001CMP026"/>
    <s v="Cluster 2"/>
    <s v="Qtr. 4 Monestry (Thargaya Thayett Taw)"/>
    <n v="97.432495000000003"/>
    <n v="25.350809000000002"/>
    <s v="Camp"/>
    <s v="GCA"/>
    <n v="91"/>
    <n v="467"/>
    <n v="467"/>
    <s v="2. Medium"/>
    <s v="AusAid/OXFAM"/>
    <s v="Shalom"/>
    <x v="0"/>
    <s v="Covered"/>
    <x v="0"/>
  </r>
  <r>
    <x v="8"/>
    <s v="MMR001CMP041"/>
    <s v="Cluster 5"/>
    <s v="Shing Jai"/>
    <n v="98.025662999999994"/>
    <n v="25.418084"/>
    <s v="Camp"/>
    <s v="NGCA"/>
    <n v="198"/>
    <n v="872"/>
    <n v="872"/>
    <s v="2. Medium"/>
    <s v="CIDA/ADRA"/>
    <s v="KBC"/>
    <x v="1"/>
    <s v="Covered"/>
    <x v="1"/>
  </r>
  <r>
    <x v="8"/>
    <s v="MMR001CMP037"/>
    <s v="Cluster 2"/>
    <s v="Thargaya Lisu Baptist Church"/>
    <n v="97.427959999999999"/>
    <n v="25.33351"/>
    <s v="Camp"/>
    <s v="GCA"/>
    <n v="67"/>
    <n v="307"/>
    <n v="307"/>
    <s v="2. Medium"/>
    <s v="AusAid/OXFAM"/>
    <s v="Shalom"/>
    <x v="0"/>
    <s v="Covered"/>
    <x v="0"/>
  </r>
  <r>
    <x v="8"/>
    <s v="MMR001CMP038"/>
    <s v="Cluster 2"/>
    <s v="Waingmaw AG Church"/>
    <n v="97.443702000000002"/>
    <n v="25.351241999999999"/>
    <s v="Camp"/>
    <s v="GCA"/>
    <n v="85"/>
    <n v="357"/>
    <n v="179"/>
    <s v="2. Medium"/>
    <s v="AusAid/OXFAM"/>
    <s v="Shalom"/>
    <x v="0"/>
    <s v="Covered"/>
    <x v="0"/>
  </r>
  <r>
    <x v="8"/>
    <s v="MMR001CMP036"/>
    <s v="Cluster 2"/>
    <s v="Waingmaw Baptist Zonal Office"/>
    <n v="97.438259000000002"/>
    <n v="25.355841999999999"/>
    <s v="Camp"/>
    <s v="GCA"/>
    <n v="33"/>
    <n v="85"/>
    <n v="85"/>
    <s v="1. Small"/>
    <s v="CIDA/ADRA"/>
    <s v="KBC"/>
    <x v="1"/>
    <s v="Covered"/>
    <x v="1"/>
  </r>
  <r>
    <x v="8"/>
    <s v="MMR001CMP116"/>
    <s v="Cluster 5"/>
    <s v="Woi Chyai (Mong Lai)"/>
    <m/>
    <m/>
    <s v="Camp"/>
    <s v="NGCA"/>
    <n v="48"/>
    <n v="218"/>
    <n v="218"/>
    <s v="1. Small"/>
    <s v="Welthungerhilfe"/>
    <s v="IRRC"/>
    <x v="4"/>
    <s v="Covered"/>
    <x v="4"/>
  </r>
  <r>
    <x v="8"/>
    <s v="MMR001CMP116"/>
    <s v="Cluster 5"/>
    <s v="Woi Chyai  host families"/>
    <n v="97.567116999999996"/>
    <n v="24.768383"/>
    <s v="Village"/>
    <s v="NGCA"/>
    <n v="659"/>
    <n v="3541"/>
    <n v="3541"/>
    <s v="4. Big"/>
    <s v="Welthungerhilfe"/>
    <m/>
    <x v="4"/>
    <s v="Covered"/>
    <x v="4"/>
  </r>
  <r>
    <x v="8"/>
    <s v="MMR001CMP116"/>
    <s v="Cluster 5"/>
    <s v="Woi Chyai "/>
    <n v="97.567116999999996"/>
    <n v="24.768383"/>
    <s v="Camp"/>
    <s v="NGCA"/>
    <n v="281"/>
    <n v="1534"/>
    <n v="1534"/>
    <s v="3. Large"/>
    <s v="Welthungerhilfe"/>
    <s v="IRRC"/>
    <x v="4"/>
    <s v="Covered"/>
    <x v="4"/>
  </r>
  <r>
    <x v="8"/>
    <s v="MMR001CMP111"/>
    <s v="Cluster 5"/>
    <s v="Zai Awng / Mung Ga Zup"/>
    <n v="97.756789999999995"/>
    <n v="25.106670000000001"/>
    <s v="Camp"/>
    <s v="NGCA"/>
    <n v="646"/>
    <n v="2440"/>
    <n v="2440"/>
    <s v="4. Big"/>
    <s v="CIDA/ADRA"/>
    <s v="KBC"/>
    <x v="1"/>
    <s v="Covered"/>
    <x v="1"/>
  </r>
  <r>
    <x v="0"/>
    <m/>
    <s v="Cluster 10"/>
    <s v="Chipwi (School coumpound)"/>
    <n v="98.134313888888897"/>
    <n v="25.8873472222222"/>
    <s v="School"/>
    <s v="GCA"/>
    <n v="0"/>
    <n v="45"/>
    <n v="45"/>
    <s v="1. Small"/>
    <s v="Trocaires"/>
    <s v="KMSS"/>
    <x v="2"/>
    <s v="Covered"/>
    <x v="2"/>
  </r>
  <r>
    <x v="8"/>
    <s v="MMR001CMP208"/>
    <s v="Cluster 5"/>
    <s v="Girl Boarding house, A Len Bum"/>
    <n v="97.541793999999996"/>
    <n v="24.752471"/>
    <s v="School"/>
    <s v="NGCA"/>
    <n v="0"/>
    <n v="391"/>
    <n v="391"/>
    <s v="1. Small"/>
    <s v="Welthungerhilfe"/>
    <m/>
    <x v="4"/>
    <s v="Covered"/>
    <x v="4"/>
  </r>
  <r>
    <x v="8"/>
    <s v="MMR001CMP208"/>
    <s v="Cluster 5"/>
    <s v="Boys Boarding house, A Len Bum"/>
    <n v="97.541793999999996"/>
    <n v="24.752471"/>
    <s v="School"/>
    <s v="NGCA"/>
    <n v="0"/>
    <n v="528"/>
    <n v="528"/>
    <s v="1. Small"/>
    <s v="Welthungerhilfe"/>
    <m/>
    <x v="4"/>
    <s v="Covered"/>
    <x v="4"/>
  </r>
  <r>
    <x v="7"/>
    <s v="MMR001CMP227"/>
    <s v="Cluster 10"/>
    <s v="N-Lwe Yan"/>
    <n v="97.561105999999995"/>
    <n v="27.248964999999998"/>
    <s v="Village"/>
    <s v="GCA"/>
    <n v="12"/>
    <n v="52"/>
    <n v="52"/>
    <s v="1. Small"/>
    <m/>
    <m/>
    <x v="3"/>
    <s v="Not covered"/>
    <x v="3"/>
  </r>
  <r>
    <x v="8"/>
    <s v="MMR001CMP033"/>
    <s v="Cluster 2"/>
    <s v="Nawng Hee Village"/>
    <n v="97.345039"/>
    <n v="25.351965"/>
    <s v="Camp"/>
    <s v="GCA"/>
    <n v="18"/>
    <n v="78"/>
    <n v="78"/>
    <s v="1. Small"/>
    <s v="AusAid/OXFAM"/>
    <s v="Shalom"/>
    <x v="0"/>
    <s v="Covered"/>
    <x v="0"/>
  </r>
  <r>
    <x v="1"/>
    <s v="MMR001CMP231"/>
    <s v="Cluster 1"/>
    <s v="Ku Day Maw KBC"/>
    <n v="96.341520000000003"/>
    <n v="25.655280000000001"/>
    <s v="Camp"/>
    <s v="GCA"/>
    <n v="58"/>
    <n v="224"/>
    <n v="224"/>
    <s v="2. Medium"/>
    <m/>
    <m/>
    <x v="3"/>
    <s v="Not covered"/>
    <x v="3"/>
  </r>
  <r>
    <x v="0"/>
    <s v="MMR001CMP225"/>
    <s v="Cluster 10"/>
    <s v="Pan Wa (Saw Zam) camp "/>
    <n v="98.356405555555497"/>
    <n v="25.645869444444401"/>
    <s v="Camp"/>
    <s v="GCA"/>
    <n v="30"/>
    <n v="165"/>
    <n v="165"/>
    <s v="1. Small"/>
    <s v="Trocaires"/>
    <s v="KMSS"/>
    <x v="2"/>
    <s v="Covered"/>
    <x v="2"/>
  </r>
  <r>
    <x v="3"/>
    <s v="MMR001CMP235"/>
    <s v="Cluster 3"/>
    <s v="Sar Maw-ICM"/>
    <m/>
    <m/>
    <s v="Village"/>
    <s v="GCA"/>
    <n v="24"/>
    <n v="83"/>
    <n v="83"/>
    <s v="1. Small"/>
    <m/>
    <m/>
    <x v="3"/>
    <s v="Not covered"/>
    <x v="3"/>
  </r>
  <r>
    <x v="3"/>
    <s v="MMR001CMP236"/>
    <s v="Cluster 3"/>
    <s v="Sar Hmaw - KBC"/>
    <m/>
    <m/>
    <s v="Village"/>
    <s v="GCA"/>
    <n v="20"/>
    <n v="82"/>
    <n v="82"/>
    <s v="1. Small"/>
    <m/>
    <m/>
    <x v="3"/>
    <s v="Not covered"/>
    <x v="3"/>
  </r>
  <r>
    <x v="3"/>
    <s v="MMR001CMP237"/>
    <s v="Cluster 3"/>
    <s v="Ma Hawng RC "/>
    <n v="96.94135"/>
    <n v="25.294460000000001"/>
    <s v="Camp"/>
    <s v="GCA"/>
    <n v="15"/>
    <n v="23"/>
    <n v="34"/>
    <s v="1. Small"/>
    <s v="Trocaires"/>
    <s v="KMSS"/>
    <x v="2"/>
    <s v="Covered"/>
    <x v="2"/>
  </r>
  <r>
    <x v="9"/>
    <s v="MMR001CMP194"/>
    <s v="Cluster 4"/>
    <s v="Aung Thar Church"/>
    <n v="97.252650000000003"/>
    <n v="24.260466999999998"/>
    <s v="Camp"/>
    <s v="GCA"/>
    <n v="13"/>
    <n v="58"/>
    <n v="58"/>
    <s v="1. Small"/>
    <s v="HIDA, WHH"/>
    <s v="KBC"/>
    <x v="4"/>
    <s v="Covered"/>
    <x v="5"/>
  </r>
  <r>
    <x v="9"/>
    <s v="MMR001CMP052"/>
    <s v="Cluster 4"/>
    <s v="Htoi San Church*"/>
    <n v="97.236919999999998"/>
    <n v="24.24766"/>
    <s v="Camp"/>
    <s v="GCA"/>
    <n v="45"/>
    <n v="241"/>
    <n v="241"/>
    <s v="1. Small"/>
    <s v="HIDA, WHH"/>
    <s v="KBC"/>
    <x v="4"/>
    <s v="Covered"/>
    <x v="5"/>
  </r>
  <r>
    <x v="9"/>
    <s v="MMR001CMP049"/>
    <s v="Cluster 4"/>
    <s v="Lisu Boarding-House"/>
    <n v="97.241630000000001"/>
    <n v="24.266110000000001"/>
    <s v="Camp"/>
    <s v="GCA"/>
    <n v="91"/>
    <n v="641"/>
    <n v="641"/>
    <s v="2. Medium"/>
    <s v="HIDA, WHH"/>
    <s v="Shalom"/>
    <x v="4"/>
    <s v="Covered"/>
    <x v="5"/>
  </r>
  <r>
    <x v="9"/>
    <s v="MMR001CMP051"/>
    <s v="Cluster 4"/>
    <s v="Mu-yin Baptist Church"/>
    <n v="97.234200000000001"/>
    <n v="24.253067000000001"/>
    <s v="Camp"/>
    <s v="GCA"/>
    <n v="21"/>
    <n v="96"/>
    <n v="93"/>
    <s v="1. Small"/>
    <s v="HIDA, WHH"/>
    <s v="Shalom"/>
    <x v="4"/>
    <s v="Covered"/>
    <x v="5"/>
  </r>
  <r>
    <x v="9"/>
    <s v="MMR001CMP054"/>
    <s v="Cluster 4"/>
    <s v="Nant Hlaing Church"/>
    <n v="97.315860000000001"/>
    <n v="24.32638"/>
    <s v="Camp"/>
    <s v="GCA"/>
    <n v="22"/>
    <n v="123"/>
    <n v="123"/>
    <s v="1. Small"/>
    <s v="HIDA, WHH"/>
    <s v="KMSS"/>
    <x v="4"/>
    <s v="Covered"/>
    <x v="5"/>
  </r>
  <r>
    <x v="9"/>
    <s v="MMR001CMP053"/>
    <s v="Cluster 4"/>
    <s v="Yoe Kyi Monastery"/>
    <n v="97.246889999999993"/>
    <n v="24.244129999999998"/>
    <s v="Camp"/>
    <s v="GCA"/>
    <n v="16"/>
    <n v="75"/>
    <n v="75"/>
    <s v="1. Small"/>
    <s v="HIDA, WHH"/>
    <s v="Shalom"/>
    <x v="4"/>
    <s v="Covered"/>
    <x v="5"/>
  </r>
  <r>
    <x v="10"/>
    <s v="MMR001CMP066"/>
    <s v="Cluster 4"/>
    <s v="Mansi Baptist Church*"/>
    <n v="97.291820000000001"/>
    <n v="24.129059999999999"/>
    <s v="Camp"/>
    <s v="GCA"/>
    <n v="150"/>
    <n v="696"/>
    <n v="696"/>
    <s v="2. Medium"/>
    <s v="HIDA, WHH"/>
    <s v="KBC"/>
    <x v="4"/>
    <s v="Covered"/>
    <x v="5"/>
  </r>
  <r>
    <x v="5"/>
    <s v="MMR001CMP056"/>
    <s v="Cluster 4"/>
    <s v="Agritural Compound (KBC)"/>
    <n v="97.347049999999996"/>
    <n v="24.255870000000002"/>
    <s v="Camp"/>
    <s v="GCA"/>
    <n v="141"/>
    <n v="625"/>
    <n v="625"/>
    <s v="2. Medium"/>
    <s v="HIDA, WHH"/>
    <s v="KBC"/>
    <x v="4"/>
    <s v="Covered"/>
    <x v="5"/>
  </r>
  <r>
    <x v="5"/>
    <s v="MMR001CMP056"/>
    <s v="Cluster 4"/>
    <s v="Kachin Su Baptist Church (ECCD)"/>
    <n v="97.346310000000003"/>
    <n v="24.253630000000001"/>
    <s v="Camp"/>
    <s v="GCA"/>
    <n v="18"/>
    <n v="113"/>
    <n v="113"/>
    <s v="1. Small"/>
    <s v="HIDA, WHH"/>
    <s v="KBC"/>
    <x v="4"/>
    <s v="Covered"/>
    <x v="5"/>
  </r>
  <r>
    <x v="5"/>
    <s v="MMR001CMP056"/>
    <s v="Cluster 4"/>
    <s v="Khar Nan (1) Baptist Church"/>
    <n v="97.359300000000005"/>
    <n v="24.267040000000001"/>
    <s v="Camp"/>
    <s v="GCA"/>
    <n v="7"/>
    <n v="39"/>
    <n v="39"/>
    <s v="1. Small"/>
    <s v="HIDA, WHH"/>
    <s v="KBC"/>
    <x v="4"/>
    <s v="Covered"/>
    <x v="5"/>
  </r>
  <r>
    <x v="5"/>
    <s v="MMR001CMP062"/>
    <s v="Cluster 4"/>
    <s v="Man Bung Catholic compound"/>
    <n v="97.325019999999995"/>
    <n v="24.245100000000001"/>
    <s v="Camp"/>
    <s v="GCA"/>
    <n v="259"/>
    <n v="1134"/>
    <n v="1079"/>
    <s v="3. Large"/>
    <s v="HIDA, WHH"/>
    <s v="KMSS"/>
    <x v="4"/>
    <s v="Covered"/>
    <x v="5"/>
  </r>
  <r>
    <x v="5"/>
    <s v="MMR001CMP058"/>
    <s v="Cluster 4"/>
    <s v="Mandalay Monestry"/>
    <n v="97.346940000000004"/>
    <n v="24.251860000000001"/>
    <s v="Camp"/>
    <s v="GCA"/>
    <n v="4"/>
    <n v="17"/>
    <n v="17"/>
    <s v="1. Small"/>
    <s v="HIDA, WHH"/>
    <s v="Shalom"/>
    <x v="4"/>
    <s v="Covered"/>
    <x v="5"/>
  </r>
  <r>
    <x v="5"/>
    <s v="MMR001CMP056"/>
    <s v="Cluster 4"/>
    <s v="Momauk Baptist Church"/>
    <n v="97.344359999999995"/>
    <n v="24.250689999999999"/>
    <s v="Camp"/>
    <s v="GCA"/>
    <n v="182"/>
    <n v="739"/>
    <n v="727"/>
    <s v="2. Medium"/>
    <s v="HIDA, WHH"/>
    <s v="KBC"/>
    <x v="4"/>
    <s v="Covered"/>
    <x v="5"/>
  </r>
  <r>
    <x v="11"/>
    <s v="MMR001CMP067"/>
    <s v="Cluster 4"/>
    <s v="Shwe Gu Baptist Church"/>
    <n v="96.807353000000006"/>
    <n v="24.200361000000001"/>
    <s v="Camp"/>
    <s v="GCA"/>
    <n v="88"/>
    <n v="299"/>
    <n v="238"/>
    <s v="2. Medium"/>
    <s v="HIDA, WHH"/>
    <s v="KBC"/>
    <x v="4"/>
    <s v="Covered"/>
    <x v="5"/>
  </r>
  <r>
    <x v="11"/>
    <s v="MMR001CMP068"/>
    <s v="Cluster 4"/>
    <s v="Shwe Gu Catholic Church"/>
    <n v="96.807353000000006"/>
    <n v="24.200367"/>
    <s v="Camp"/>
    <s v="GCA"/>
    <n v="49"/>
    <n v="174"/>
    <n v="174"/>
    <s v="1. Small"/>
    <s v="HIDA, WHH"/>
    <s v="KMSS"/>
    <x v="4"/>
    <s v="Covered"/>
    <x v="5"/>
  </r>
  <r>
    <x v="9"/>
    <s v="MMR001CMP050"/>
    <s v="Cluster 4"/>
    <s v="AD-2000 Tharthana Compound*"/>
    <n v="97.238829999999993"/>
    <n v="24.260719999999999"/>
    <s v="Camp"/>
    <s v="GCA"/>
    <n v="210"/>
    <n v="965"/>
    <n v="965"/>
    <s v="2. Medium"/>
    <s v="UNICEF"/>
    <s v="KMSS"/>
    <x v="5"/>
    <s v="Covered"/>
    <x v="6"/>
  </r>
  <r>
    <x v="9"/>
    <s v="MMR001CMP050"/>
    <s v="Cluster 4"/>
    <s v="AD-2000 Extension camp"/>
    <n v="97.243579999999994"/>
    <n v="24.260120000000001"/>
    <s v="Camp"/>
    <s v="GCA"/>
    <n v="83"/>
    <n v="434"/>
    <n v="434"/>
    <s v="2. Medium"/>
    <s v="UNICEF"/>
    <s v="KMSS"/>
    <x v="5"/>
    <s v="Covered"/>
    <x v="6"/>
  </r>
  <r>
    <x v="9"/>
    <s v="MMR001CMP193"/>
    <s v="Cluster 4"/>
    <s v="Phan Khar Kone*"/>
    <n v="97.252650000000003"/>
    <n v="24.222349999999999"/>
    <s v="Camp"/>
    <s v="GCA"/>
    <n v="157"/>
    <n v="749"/>
    <n v="749"/>
    <s v="2. Medium"/>
    <s v="UNICEF"/>
    <s v="KBC"/>
    <x v="5"/>
    <s v="Covered"/>
    <x v="6"/>
  </r>
  <r>
    <x v="9"/>
    <s v="MMR001CMP047"/>
    <s v="Cluster 4"/>
    <s v="Robert Church*"/>
    <n v="97.228769999999997"/>
    <n v="24.26502"/>
    <s v="Camp"/>
    <s v="GCA"/>
    <n v="626"/>
    <n v="3781"/>
    <n v="3781"/>
    <s v="4. Big"/>
    <s v="UNICEF"/>
    <s v="KBC"/>
    <x v="5"/>
    <s v="Covered"/>
    <x v="6"/>
  </r>
  <r>
    <x v="9"/>
    <s v="MMR001CMP055"/>
    <s v="Cluster 4"/>
    <s v="Ta Gun Taing Monastery (Shwe Kyi Na)"/>
    <n v="97.227789999999999"/>
    <n v="24.29138"/>
    <s v="Camp"/>
    <s v="GCA"/>
    <n v="27"/>
    <n v="111"/>
    <n v="111"/>
    <s v="1. Small"/>
    <s v="UNICEF"/>
    <s v="Shalom"/>
    <x v="5"/>
    <s v="Covered"/>
    <x v="6"/>
  </r>
  <r>
    <x v="5"/>
    <s v="MMR001CMP121"/>
    <s v="Cluster 5"/>
    <s v="Je Yang Hka "/>
    <n v="97.568282999999994"/>
    <n v="24.688167"/>
    <s v="Camp"/>
    <s v="NGCA"/>
    <n v="1548"/>
    <n v="7247"/>
    <n v="7247"/>
    <s v="5. Massive"/>
    <s v="UNICEF"/>
    <s v="KMSS"/>
    <x v="1"/>
    <s v="Covered"/>
    <x v="6"/>
  </r>
  <r>
    <x v="5"/>
    <s v="MMR001CMP071"/>
    <s v="Cluster 6"/>
    <s v="Loi Je Baptist Church"/>
    <n v="97.718582999999995"/>
    <n v="24.200972"/>
    <s v="Camp"/>
    <s v="GCA"/>
    <n v="30"/>
    <n v="182"/>
    <n v="128"/>
    <s v="1. Small"/>
    <s v="UNICEF"/>
    <s v="KBC"/>
    <x v="5"/>
    <s v="Covered"/>
    <x v="6"/>
  </r>
  <r>
    <x v="5"/>
    <s v="MMR001CMP069"/>
    <s v="Cluster 6"/>
    <s v="Loi Je Catholic Church"/>
    <n v="97.724566999999993"/>
    <n v="24.205417000000001"/>
    <s v="Camp"/>
    <s v="GCA"/>
    <n v="69"/>
    <n v="369"/>
    <n v="107"/>
    <s v="2. Medium"/>
    <s v="UNICEF"/>
    <s v="KMSS"/>
    <x v="5"/>
    <s v="Covered"/>
    <x v="6"/>
  </r>
  <r>
    <x v="5"/>
    <s v="MMR001CMP070"/>
    <s v="Cluster 6"/>
    <s v="Loi Je Lisu  (1) Camp"/>
    <n v="97.717133000000004"/>
    <n v="24.200433"/>
    <s v="Camp"/>
    <s v="GCA"/>
    <n v="74"/>
    <n v="412"/>
    <n v="412"/>
    <s v="2. Medium"/>
    <s v="UNICEF"/>
    <s v="KBC"/>
    <x v="5"/>
    <s v="Covered"/>
    <x v="6"/>
  </r>
  <r>
    <x v="5"/>
    <s v="MMR001CMP070"/>
    <s v="Cluster 6"/>
    <s v="Loi Je Lisu  (2) Camp"/>
    <n v="97.715400000000002"/>
    <n v="24.20083"/>
    <s v="Camp"/>
    <s v="GCA"/>
    <n v="40"/>
    <n v="220"/>
    <n v="220"/>
    <s v="1. Small"/>
    <s v="UNICEF"/>
    <s v="KBC"/>
    <x v="5"/>
    <s v="Covered"/>
    <x v="6"/>
  </r>
  <r>
    <x v="5"/>
    <s v="MMR001CMP070"/>
    <s v="Cluster 6"/>
    <s v="Loi Je Lisu  (3) Camp"/>
    <n v="97.716260000000005"/>
    <n v="24.20411"/>
    <s v="Camp"/>
    <s v="GCA"/>
    <n v="21"/>
    <n v="115"/>
    <n v="115"/>
    <s v="1. Small"/>
    <s v="UNICEF"/>
    <s v="KBC"/>
    <x v="5"/>
    <s v="Covered"/>
    <x v="6"/>
  </r>
  <r>
    <x v="5"/>
    <s v="MMR001CMP070"/>
    <s v="Cluster 6"/>
    <s v="Loi Je Lisu  (4) Camp"/>
    <n v="97.714839999999995"/>
    <n v="24.20757"/>
    <s v="Camp"/>
    <s v="GCA"/>
    <n v="52"/>
    <n v="248"/>
    <n v="248"/>
    <s v="2. Medium"/>
    <s v="UNICEF"/>
    <s v="KBC"/>
    <x v="5"/>
    <s v="Covered"/>
    <x v="6"/>
  </r>
  <r>
    <x v="5"/>
    <s v="MMR001CMP072"/>
    <s v="Cluster 6"/>
    <s v="Loi Je Nyaung Na Pin "/>
    <n v="97.724483000000006"/>
    <n v="24.205417000000001"/>
    <s v="Camp"/>
    <s v="GCA"/>
    <n v="50"/>
    <n v="295"/>
    <n v="295"/>
    <s v="1. Small"/>
    <s v="UNICEF"/>
    <s v="KBC"/>
    <x v="5"/>
    <s v="Covered"/>
    <x v="6"/>
  </r>
  <r>
    <x v="5"/>
    <s v="MMR001CMP073"/>
    <s v="Cluster 6"/>
    <s v="Loi Je Seng Ja "/>
    <n v="97.710864000000001"/>
    <n v="24.207332999999998"/>
    <s v="Camp"/>
    <s v="GCA"/>
    <n v="48"/>
    <n v="285"/>
    <n v="285"/>
    <s v="1. Small"/>
    <s v="UNICEF"/>
    <s v="KBC"/>
    <x v="5"/>
    <s v="Covered"/>
    <x v="6"/>
  </r>
  <r>
    <x v="5"/>
    <s v="MMR001CMP056"/>
    <s v="Cluster 4"/>
    <s v="Man Bung Edin Baptist Church"/>
    <n v="97.337649999999996"/>
    <n v="24.242049999999999"/>
    <s v="Camp"/>
    <s v="GCA"/>
    <n v="75"/>
    <n v="406"/>
    <n v="406"/>
    <s v="2. Medium"/>
    <s v="UNICEF"/>
    <s v="KBC"/>
    <x v="5"/>
    <s v="Covered"/>
    <x v="6"/>
  </r>
  <r>
    <x v="5"/>
    <s v="MMR001CMP059"/>
    <s v="Cluster 4"/>
    <s v="Ni Thaw Ka Monestry"/>
    <n v="97.347740000000002"/>
    <n v="24.253769999999999"/>
    <s v="Camp"/>
    <s v="GCA"/>
    <n v="25"/>
    <n v="92"/>
    <n v="92"/>
    <s v="1. Small"/>
    <s v="UNICEF"/>
    <s v="Shalom"/>
    <x v="5"/>
    <s v="Covered"/>
    <x v="6"/>
  </r>
  <r>
    <x v="10"/>
    <s v="MMR001CMP212"/>
    <s v="Cluster 6"/>
    <s v="Maing Khaung Baptist Church"/>
    <n v="97.710989999999995"/>
    <n v="24.181640000000002"/>
    <s v="Camp"/>
    <s v="GCA"/>
    <n v="282"/>
    <n v="1214"/>
    <n v="1203"/>
    <s v="3. Large"/>
    <s v="ECHO"/>
    <s v="KBC"/>
    <x v="6"/>
    <s v="Covered"/>
    <x v="6"/>
  </r>
  <r>
    <x v="10"/>
    <s v="MMR001CMP213"/>
    <s v="Cluster 6"/>
    <s v="Maing Khaung Catholic Church"/>
    <n v="97.710989999999995"/>
    <n v="24.181640000000002"/>
    <s v="Camp"/>
    <s v="GCA"/>
    <n v="132"/>
    <n v="618"/>
    <n v="604"/>
    <s v="2. Medium"/>
    <s v="ECHO"/>
    <s v="KMSS"/>
    <x v="6"/>
    <s v="Covered"/>
    <x v="6"/>
  </r>
  <r>
    <x v="5"/>
    <s v="MMR001CMP197"/>
    <s v="Cluster 4"/>
    <s v="Momauk Host Families"/>
    <n v="97.344350000000006"/>
    <n v="24.25067"/>
    <s v="Village"/>
    <s v="GCA"/>
    <n v="394"/>
    <n v="1504"/>
    <n v="1504"/>
    <s v="3. Large"/>
    <s v="ECHO"/>
    <m/>
    <x v="6"/>
    <s v="Covered"/>
    <x v="6"/>
  </r>
  <r>
    <x v="9"/>
    <s v="MMR001CMP163"/>
    <s v="Cluster 4"/>
    <s v="Bhamo Host Families"/>
    <n v="97.228769999999997"/>
    <n v="24.26502"/>
    <s v="Village"/>
    <s v="GCA"/>
    <n v="216"/>
    <n v="965"/>
    <n v="965"/>
    <s v="2. Medium"/>
    <s v="ECHO"/>
    <m/>
    <x v="6"/>
    <s v="Covered"/>
    <x v="6"/>
  </r>
  <r>
    <x v="10"/>
    <s v="MMR001CMP129"/>
    <s v="Cluster 6"/>
    <s v="Bum Tsit Pa * (1)"/>
    <n v="97.609832999999995"/>
    <n v="24.002433"/>
    <s v="Camp"/>
    <s v="NGCA"/>
    <n v="169"/>
    <n v="742"/>
    <n v="742"/>
    <s v="2. Medium"/>
    <s v="SCI"/>
    <s v="KMSS"/>
    <x v="7"/>
    <s v="Covered"/>
    <x v="6"/>
  </r>
  <r>
    <x v="10"/>
    <s v="MMR001CMP202"/>
    <s v="Cluster 6"/>
    <s v="Bum Tsit Pa * (2)"/>
    <n v="97.609832999999995"/>
    <n v="24.002433"/>
    <s v="Camp"/>
    <s v="NGCA"/>
    <n v="207"/>
    <n v="878"/>
    <n v="878"/>
    <s v="2. Medium"/>
    <s v="SCI"/>
    <s v="KMSS- Lashio"/>
    <x v="7"/>
    <s v="Covered"/>
    <x v="6"/>
  </r>
  <r>
    <x v="10"/>
    <s v="MMR001CMP129"/>
    <s v="Cluster 6"/>
    <s v="Bum Tsit Pa * (3)"/>
    <n v="97.602490000000003"/>
    <n v="24.000039999999998"/>
    <s v="Camp"/>
    <s v="NGCA"/>
    <n v="53"/>
    <n v="201"/>
    <n v="201"/>
    <s v="2. Medium"/>
    <s v="SCI"/>
    <m/>
    <x v="7"/>
    <s v="Covered"/>
    <x v="6"/>
  </r>
  <r>
    <x v="10"/>
    <s v="MMR001CMP128"/>
    <s v="Cluster 6"/>
    <s v="Lana Zup Ja *"/>
    <n v="97.625617000000005"/>
    <n v="24.056132999999999"/>
    <s v="Camp"/>
    <s v="NGCA"/>
    <n v="545"/>
    <n v="2561"/>
    <n v="2561"/>
    <s v="4. Big"/>
    <s v="SCI"/>
    <s v="KMSS"/>
    <x v="7"/>
    <s v="Covered"/>
    <x v="6"/>
  </r>
  <r>
    <x v="5"/>
    <s v="MMR001CMP131"/>
    <s v="Cluster 6"/>
    <s v="Nhkawng Pa "/>
    <n v="97.669366999999994"/>
    <n v="24.378167000000001"/>
    <s v="Camp"/>
    <s v="NGCA"/>
    <n v="369"/>
    <n v="1633"/>
    <n v="1633"/>
    <s v="3. Large"/>
    <s v="SCI"/>
    <s v="KMSS"/>
    <x v="7"/>
    <s v="Covered"/>
    <x v="6"/>
  </r>
  <r>
    <x v="5"/>
    <s v="MMR001CMP126"/>
    <s v="Cluster 6"/>
    <s v="Pa Kahtawng 2"/>
    <n v="97.751050000000006"/>
    <n v="24.279910000000001"/>
    <s v="Camp"/>
    <s v="NGCA"/>
    <n v="128"/>
    <n v="538"/>
    <n v="538"/>
    <s v="2. Medium"/>
    <s v="SCI"/>
    <s v="KMSS"/>
    <x v="7"/>
    <s v="Covered"/>
    <x v="6"/>
  </r>
  <r>
    <x v="5"/>
    <s v="MMR001CMP126"/>
    <s v="Cluster 6"/>
    <s v="Pa Kahtawng 1B"/>
    <n v="97.754009999999994"/>
    <n v="24.275549999999999"/>
    <s v="Camp"/>
    <s v="NGCA"/>
    <n v="58"/>
    <n v="251"/>
    <n v="251"/>
    <s v="2. Medium"/>
    <s v="SCI"/>
    <s v="KMSS"/>
    <x v="7"/>
    <s v="Covered"/>
    <x v="6"/>
  </r>
  <r>
    <x v="5"/>
    <s v="MMR001CMP126"/>
    <s v="Cluster 6"/>
    <s v="Pa Kahtawng 1 A"/>
    <n v="97.755750000000006"/>
    <n v="24.273479999999999"/>
    <s v="Camp"/>
    <s v="NGCA"/>
    <n v="297"/>
    <n v="1342"/>
    <n v="1342"/>
    <s v="3. Large"/>
    <s v="SCI"/>
    <s v="KMSS"/>
    <x v="7"/>
    <s v="Covered"/>
    <x v="6"/>
  </r>
  <r>
    <x v="5"/>
    <s v="MMR001CMP126"/>
    <s v="Cluster 6"/>
    <s v="Pa Kahtawng Primary House"/>
    <n v="97.755750000000006"/>
    <n v="24.273479999999999"/>
    <s v="School"/>
    <s v="NGCA"/>
    <m/>
    <n v="211"/>
    <n v="211"/>
    <s v="1. Small"/>
    <s v="SCI"/>
    <s v="KMSS"/>
    <x v="7"/>
    <s v="Covered"/>
    <x v="6"/>
  </r>
  <r>
    <x v="5"/>
    <s v="MMR001CMP126"/>
    <s v="Cluster 6"/>
    <s v="Pa Kahtawng Boarding Middle School "/>
    <n v="97.758769999999998"/>
    <n v="24.255469999999999"/>
    <s v="School"/>
    <s v="NGCA"/>
    <m/>
    <n v="506"/>
    <n v="506"/>
    <s v="1. Small"/>
    <s v="SCI"/>
    <s v="KMSS"/>
    <x v="7"/>
    <s v="Covered"/>
    <x v="6"/>
  </r>
  <r>
    <x v="5"/>
    <s v="MMR001CMP126"/>
    <s v="Cluster 6"/>
    <s v="Pa Kahtawng Boarding High School "/>
    <n v="97.740570000000005"/>
    <n v="24.266819999999999"/>
    <s v="School"/>
    <s v="NGCA"/>
    <m/>
    <n v="333"/>
    <n v="333"/>
    <s v="1. Small"/>
    <s v="SCI"/>
    <s v="KMSS"/>
    <x v="7"/>
    <s v="Covered"/>
    <x v="6"/>
  </r>
  <r>
    <x v="5"/>
    <s v="MMR001CMP126"/>
    <s v="Cluster 6"/>
    <s v="Pa Kahtawng Host Families"/>
    <n v="97.758769999999998"/>
    <n v="24.255469999999999"/>
    <s v="Village"/>
    <s v="NGCA"/>
    <n v="78"/>
    <n v="326"/>
    <n v="326"/>
    <s v="2. Medium"/>
    <s v="SCI"/>
    <s v="KMSS"/>
    <x v="7"/>
    <s v="Covered"/>
    <x v="6"/>
  </r>
  <r>
    <x v="10"/>
    <s v="MMR001CMP196"/>
    <s v="Cluster 4"/>
    <s v="Mansi Host Families"/>
    <n v="97.291820000000001"/>
    <n v="24.129059999999999"/>
    <s v="Village"/>
    <s v="GCA"/>
    <n v="135"/>
    <n v="499"/>
    <n v="499"/>
    <s v="2. Medium"/>
    <m/>
    <s v="KBC"/>
    <x v="3"/>
    <s v="Not covered"/>
    <x v="7"/>
  </r>
  <r>
    <x v="5"/>
    <s v="MMR001CMP200"/>
    <s v="Cluster 4"/>
    <s v="Khun Sint Village"/>
    <n v="97.193340000000006"/>
    <n v="24.230450000000001"/>
    <s v="Village"/>
    <s v="GCA"/>
    <n v="4"/>
    <n v="26"/>
    <n v="26"/>
    <s v="1. Small"/>
    <m/>
    <m/>
    <x v="3"/>
    <s v="Not covered"/>
    <x v="7"/>
  </r>
  <r>
    <x v="5"/>
    <s v="MMR001CMP064"/>
    <s v="Cluster 4"/>
    <s v="Mai Khat "/>
    <n v="97.242360000000005"/>
    <n v="24.264130000000002"/>
    <s v="Village"/>
    <s v="GCA"/>
    <n v="2"/>
    <n v="9"/>
    <n v="9"/>
    <s v="1. Small"/>
    <m/>
    <m/>
    <x v="3"/>
    <s v="Not covered"/>
    <x v="7"/>
  </r>
  <r>
    <x v="5"/>
    <s v="MMR001CMP063"/>
    <s v="Cluster 4"/>
    <s v="Man Nawng "/>
    <n v="97.321659999999994"/>
    <n v="24.41"/>
    <s v="Village"/>
    <s v="GCA"/>
    <n v="28"/>
    <n v="136"/>
    <n v="136"/>
    <s v="1. Small"/>
    <m/>
    <m/>
    <x v="3"/>
    <s v="Not covered"/>
    <x v="7"/>
  </r>
  <r>
    <x v="5"/>
    <s v="MMR001CMP061"/>
    <s v="Cluster 4"/>
    <s v="Myo Thit "/>
    <n v="97.406239999999997"/>
    <n v="24.40457"/>
    <s v="Village"/>
    <s v="GCA"/>
    <n v="13"/>
    <n v="53"/>
    <n v="53"/>
    <s v="1. Small"/>
    <m/>
    <m/>
    <x v="3"/>
    <s v="Not covered"/>
    <x v="7"/>
  </r>
  <r>
    <x v="5"/>
    <s v="MMR001CMP060"/>
    <s v="Cluster 4"/>
    <s v="Tarli "/>
    <n v="97.417240000000007"/>
    <n v="24.49184"/>
    <s v="Village"/>
    <s v="GCA"/>
    <n v="10"/>
    <n v="38"/>
    <n v="38"/>
    <s v="1. Small"/>
    <m/>
    <m/>
    <x v="3"/>
    <s v="Not covered"/>
    <x v="7"/>
  </r>
  <r>
    <x v="11"/>
    <s v="MMR001CMP199"/>
    <s v="Cluster 4"/>
    <s v="Shwegu Host Families"/>
    <n v="96.807350999999997"/>
    <n v="24.200362999999999"/>
    <s v="Village"/>
    <s v="GCA"/>
    <n v="15"/>
    <n v="40"/>
    <n v="40"/>
    <s v="1. Small"/>
    <m/>
    <m/>
    <x v="3"/>
    <s v="Not covered"/>
    <x v="7"/>
  </r>
  <r>
    <x v="5"/>
    <s v="MMR001CMP069"/>
    <s v="Cluster 6"/>
    <s v="Loi Je RC Boarding School"/>
    <n v="97.724000000000004"/>
    <n v="24.204999999999998"/>
    <s v="School"/>
    <s v="GCA"/>
    <n v="40"/>
    <n v="136"/>
    <n v="136"/>
    <s v="1. Small"/>
    <s v="UNICEF"/>
    <s v="KMSS"/>
    <x v="3"/>
    <s v="Not covered"/>
    <x v="4"/>
  </r>
  <r>
    <x v="10"/>
    <s v="MMR001CMP230"/>
    <s v="Cluster 7"/>
    <s v="Clutural Compound"/>
    <n v="97.590767"/>
    <n v="23.829599000000002"/>
    <s v="Camp"/>
    <s v="GCA"/>
    <n v="114"/>
    <n v="486"/>
    <n v="486"/>
    <s v="2. Medium"/>
    <s v="FCA/HIDA/WHH"/>
    <s v="KBC"/>
    <x v="4"/>
    <s v="Covered"/>
    <x v="8"/>
  </r>
  <r>
    <x v="10"/>
    <s v="MMR001CMP228"/>
    <s v="Cluster 7"/>
    <s v="MWG -RC2"/>
    <n v="97.577347000000003"/>
    <n v="23.836462999999998"/>
    <s v="Camp"/>
    <s v="GCA"/>
    <n v="121"/>
    <n v="549"/>
    <n v="549"/>
    <s v="2. Medium"/>
    <s v="ECHO/OFDA"/>
    <s v="KMSS"/>
    <x v="8"/>
    <s v="Covered"/>
    <x v="6"/>
  </r>
  <r>
    <x v="12"/>
    <s v="MMR015CMP213"/>
    <s v="Cluster 7"/>
    <s v="Muse KBC Church"/>
    <n v="97.909217999999996"/>
    <n v="24.005448999999999"/>
    <s v="Camp"/>
    <s v="GCA"/>
    <n v="82"/>
    <n v="331"/>
    <n v="331"/>
    <s v="2. Medium"/>
    <s v="FCA/HIDA/WHH"/>
    <s v="KBC"/>
    <x v="4"/>
    <s v="Covered"/>
    <x v="8"/>
  </r>
  <r>
    <x v="12"/>
    <s v="MMR015CMP216"/>
    <s v="Cluster 7"/>
    <s v="Muse RC Church"/>
    <n v="97.911671100000007"/>
    <n v="24.006896999999999"/>
    <s v="Camp"/>
    <s v="GCA"/>
    <n v="31"/>
    <n v="127"/>
    <n v="127"/>
    <s v="1. Small"/>
    <s v="ECHO/OFDA"/>
    <s v="KMSS"/>
    <x v="8"/>
    <s v="Covered"/>
    <x v="6"/>
  </r>
  <r>
    <x v="10"/>
    <s v="MMR001CMP133"/>
    <s v="Cluster 7"/>
    <s v="Man Wing Baptist Church*"/>
    <n v="97.587900000000005"/>
    <n v="23.83"/>
    <s v="Camp"/>
    <s v="GCA"/>
    <n v="115"/>
    <n v="680"/>
    <n v="680"/>
    <s v="2. Medium"/>
    <s v="ECHO/OFDA"/>
    <s v="KBC"/>
    <x v="8"/>
    <s v="Covered"/>
    <x v="6"/>
  </r>
  <r>
    <x v="10"/>
    <s v="MMR001CMP132"/>
    <s v="Cluster 7"/>
    <s v="Man Wing Catholic Church*"/>
    <n v="97.596000000000004"/>
    <n v="23.831"/>
    <s v="Camp"/>
    <s v="GCA"/>
    <n v="506"/>
    <n v="2374"/>
    <n v="2101"/>
    <s v="4. Big"/>
    <s v="ECHO/OFDA"/>
    <s v="KMSS"/>
    <x v="8"/>
    <s v="Covered"/>
    <x v="6"/>
  </r>
  <r>
    <x v="13"/>
    <s v="MMR015CMP004"/>
    <s v="Cluster 7"/>
    <s v="Nam Hkam - Nay Win Ni (Palawng)"/>
    <n v="97.681920000000005"/>
    <n v="23.821317000000001"/>
    <s v="Camp"/>
    <s v="GCA"/>
    <n v="78"/>
    <n v="378"/>
    <n v="378"/>
    <s v="2. Medium"/>
    <s v="ECHO/OFDA"/>
    <s v="KBC"/>
    <x v="8"/>
    <s v="Covered"/>
    <x v="6"/>
  </r>
  <r>
    <x v="13"/>
    <s v="MMR015CMP001"/>
    <s v="Cluster 7"/>
    <s v="Nam Hkam (KBC Jaw Wang)"/>
    <n v="97.683499999999995"/>
    <n v="23.831700000000001"/>
    <s v="Camp"/>
    <s v="GCA"/>
    <n v="68"/>
    <n v="291"/>
    <n v="291"/>
    <s v="2. Medium"/>
    <s v="ECHO/OFDA"/>
    <s v="KBC"/>
    <x v="8"/>
    <s v="Covered"/>
    <x v="6"/>
  </r>
  <r>
    <x v="13"/>
    <s v="MMR015CMP003"/>
    <s v="Cluster 7"/>
    <s v="Nam Hkam Catholic Church ( St. Thomas I)"/>
    <n v="97.685199999999995"/>
    <n v="23.833100000000002"/>
    <s v="Camp"/>
    <s v="GCA"/>
    <n v="50"/>
    <n v="217"/>
    <n v="217"/>
    <s v="1. Small"/>
    <s v="Trocaires"/>
    <s v="KMSS"/>
    <x v="2"/>
    <s v="Covered"/>
    <x v="2"/>
  </r>
  <r>
    <x v="12"/>
    <s v="MMR015CMP139"/>
    <s v="Cluster 7"/>
    <s v="Nam Hkawng/Manaung kaung"/>
    <n v="98.132779999999997"/>
    <n v="23.951699999999999"/>
    <s v="Camp"/>
    <s v="GCA"/>
    <n v="10"/>
    <n v="48"/>
    <n v="48"/>
    <s v="1. Small"/>
    <s v="FCA/HIDA/WHH"/>
    <s v="KBC"/>
    <x v="4"/>
    <s v="Covered"/>
    <x v="8"/>
  </r>
  <r>
    <x v="13"/>
    <s v="MMR015CMP215"/>
    <s v="Cluster 7"/>
    <s v="Bang Lung"/>
    <n v="97.709548999999996"/>
    <n v="23.838459"/>
    <s v="Camp"/>
    <s v="GCA"/>
    <n v="140"/>
    <n v="580"/>
    <n v="580"/>
    <s v="2. Medium"/>
    <s v="FCA/HIDA/WHH"/>
    <s v="KBC"/>
    <x v="4"/>
    <s v="Covered"/>
    <x v="8"/>
  </r>
  <r>
    <x v="13"/>
    <s v="MMR015CMP214"/>
    <s v="Cluster 7"/>
    <s v="Jaw 2"/>
    <n v="97.701576000000003"/>
    <n v="23.842051000000001"/>
    <s v="Camp"/>
    <s v="GCA"/>
    <n v="41"/>
    <n v="218"/>
    <n v="218"/>
    <s v="1. Small"/>
    <s v="FCA/HIDA/WHH"/>
    <s v="KBC"/>
    <x v="4"/>
    <s v="Covered"/>
    <x v="8"/>
  </r>
  <r>
    <x v="14"/>
    <s v="MMR015CMP015"/>
    <s v="Cluster 8"/>
    <s v="Kone Khem Camp"/>
    <n v="97.848529999999997"/>
    <n v="23.4008"/>
    <s v="Camp"/>
    <s v="GCA"/>
    <n v="85"/>
    <n v="325"/>
    <n v="325"/>
    <s v="2. Medium"/>
    <s v="FCA/HIDA/WHH"/>
    <s v="KBC"/>
    <x v="4"/>
    <s v="Covered"/>
    <x v="8"/>
  </r>
  <r>
    <x v="14"/>
    <s v="MMR015CMP016"/>
    <s v="Cluster 8"/>
    <s v="Kutkai downtown (KBC Church)"/>
    <n v="97.926813999999993"/>
    <n v="23.450914000000001"/>
    <s v="Camp"/>
    <s v="GCA"/>
    <n v="63"/>
    <n v="294"/>
    <n v="294"/>
    <s v="2. Medium"/>
    <s v="FCA/HIDA/WHH"/>
    <s v="KBC"/>
    <x v="4"/>
    <s v="Covered"/>
    <x v="8"/>
  </r>
  <r>
    <x v="14"/>
    <s v="MMR015CMP017"/>
    <s v="Cluster 8"/>
    <s v="Kutkai downtown (RC Church)"/>
    <n v="97.947360000000003"/>
    <n v="23.460349999999998"/>
    <s v="Camp"/>
    <s v="GCA"/>
    <n v="34"/>
    <n v="150"/>
    <n v="150"/>
    <s v="1. Small"/>
    <s v="Trocaires"/>
    <s v="KMSS"/>
    <x v="2"/>
    <s v="Covered"/>
    <x v="2"/>
  </r>
  <r>
    <x v="14"/>
    <s v="MMR015CMP018"/>
    <s v="Cluster 8"/>
    <s v="Mine Yu Lay village"/>
    <n v="97.793306999999999"/>
    <n v="23.589089000000001"/>
    <s v="Camp"/>
    <s v="GCA"/>
    <n v="76"/>
    <n v="403"/>
    <n v="403"/>
    <s v="2. Medium"/>
    <s v="FCA/HIDA/WHH"/>
    <s v="KBC"/>
    <x v="4"/>
    <s v="Covered"/>
    <x v="8"/>
  </r>
  <r>
    <x v="14"/>
    <s v="MMR015CMP006"/>
    <s v="Cluster 8"/>
    <s v="Mungji Pa Dabang (Baptist Church)         "/>
    <n v="98.220614999999995"/>
    <n v="23.400155999999999"/>
    <s v="Camp"/>
    <s v="GCA"/>
    <n v="45"/>
    <n v="211"/>
    <n v="211"/>
    <s v="1. Small"/>
    <s v="FCA/HIDA/WHH"/>
    <s v="KBC"/>
    <x v="4"/>
    <s v="Covered"/>
    <x v="8"/>
  </r>
  <r>
    <x v="14"/>
    <s v="MMR015CMP019"/>
    <s v="Cluster 8"/>
    <s v="Mungji Pa Dabang (RC Church)         "/>
    <n v="98.213958000000005"/>
    <n v="23.391741"/>
    <s v="Camp"/>
    <s v="GCA"/>
    <n v="67"/>
    <n v="350"/>
    <n v="350"/>
    <s v="2. Medium"/>
    <s v="Trocaires"/>
    <s v="KMSS"/>
    <x v="2"/>
    <s v="Covered"/>
    <x v="2"/>
  </r>
  <r>
    <x v="14"/>
    <s v="MMR015CMP019"/>
    <s v="Cluster 8"/>
    <s v="Nam Hpak Ka Mare "/>
    <n v="97.819062000000002"/>
    <n v="23.694047000000001"/>
    <s v="Camp"/>
    <s v="GCA"/>
    <n v="75"/>
    <n v="269"/>
    <n v="269"/>
    <s v="2. Medium"/>
    <s v="FCA/HIDA/WHH"/>
    <s v="KBC"/>
    <x v="4"/>
    <s v="Covered"/>
    <x v="8"/>
  </r>
  <r>
    <x v="15"/>
    <s v="MMR015CMP019"/>
    <s v="Cluster 8"/>
    <s v="Narte"/>
    <n v="98.128"/>
    <n v="23.24"/>
    <s v="Camp"/>
    <s v="GCA"/>
    <n v="67"/>
    <n v="392"/>
    <n v="392"/>
    <s v="2. Medium"/>
    <s v="FCA/HIDA/WHH"/>
    <s v="Church"/>
    <x v="4"/>
    <s v="Covered"/>
    <x v="8"/>
  </r>
  <r>
    <x v="16"/>
    <s v="MMR015CMP009"/>
    <s v="Cluster 9"/>
    <s v="Mandung - Jinghpaw"/>
    <n v="97.127340000000004"/>
    <n v="23.24954"/>
    <s v="Camp"/>
    <s v="GCA"/>
    <n v="38"/>
    <n v="164"/>
    <n v="164"/>
    <s v="1. Small"/>
    <s v="FCA/HIDA/WHH"/>
    <s v="KBC"/>
    <x v="4"/>
    <s v="Covered"/>
    <x v="8"/>
  </r>
  <r>
    <x v="16"/>
    <s v="MMR015CMP209"/>
    <s v="Cluster 9"/>
    <s v="Mandung - RC"/>
    <n v="97.123440000000002"/>
    <n v="23.24568"/>
    <s v="Camp"/>
    <s v="GCA"/>
    <n v="31"/>
    <n v="182"/>
    <n v="182"/>
    <s v="1. Small"/>
    <s v="Trocaires"/>
    <s v="KMSS"/>
    <x v="2"/>
    <s v="Covered"/>
    <x v="2"/>
  </r>
  <r>
    <x v="14"/>
    <m/>
    <s v="Cluster 9"/>
    <s v="Pan Ku"/>
    <n v="97.875889999999998"/>
    <n v="23.44744"/>
    <s v="Camp"/>
    <s v="GCA"/>
    <n v="104"/>
    <n v="580"/>
    <n v="580"/>
    <s v="2. Medium"/>
    <s v="FCA/HIDA/WHH"/>
    <m/>
    <x v="4"/>
    <s v="Covered"/>
    <x v="8"/>
  </r>
  <r>
    <x v="14"/>
    <s v="MMR015CMP019"/>
    <s v="Cluster 8"/>
    <s v="Zup Aung Camp"/>
    <n v="97.837040000000002"/>
    <n v="23.38503"/>
    <s v="Camp"/>
    <s v="GCA"/>
    <n v="178"/>
    <n v="826"/>
    <n v="826"/>
    <s v="2. Medium"/>
    <s v="FCA/HIDA/WHH"/>
    <s v="KBC"/>
    <x v="4"/>
    <s v="Covered"/>
    <x v="8"/>
  </r>
  <r>
    <x v="17"/>
    <s v="MMR015CMP019"/>
    <s v="Cluster 9"/>
    <s v="Namtu Baptist"/>
    <n v="97.406869999999998"/>
    <n v="23.092880000000001"/>
    <s v="Camp"/>
    <s v="GCA"/>
    <n v="10"/>
    <n v="47"/>
    <n v="47"/>
    <s v="1. Small"/>
    <s v="FCA/HIDA/WHH"/>
    <s v="KBC"/>
    <x v="4"/>
    <s v="Covered"/>
    <x v="8"/>
  </r>
  <r>
    <x v="16"/>
    <m/>
    <s v="Cluster 9"/>
    <s v="(Nam Hoi) Host families"/>
    <m/>
    <m/>
    <s v="Village"/>
    <s v="NGCA"/>
    <n v="100"/>
    <n v="446"/>
    <n v="446"/>
    <s v="2. Medium"/>
    <m/>
    <s v="KMSS"/>
    <x v="3"/>
    <s v="Not covered"/>
    <x v="3"/>
  </r>
  <r>
    <x v="15"/>
    <s v="MMR015CMP218"/>
    <s v="Cluster 8"/>
    <s v="Nam Sa Larp"/>
    <m/>
    <m/>
    <s v="Camp"/>
    <s v="GCA"/>
    <n v="43"/>
    <n v="197"/>
    <n v="197"/>
    <s v="1. Small"/>
    <s v="FCA/HIDA/WHH"/>
    <s v="KBC"/>
    <x v="4"/>
    <s v="Covered"/>
    <x v="8"/>
  </r>
  <r>
    <x v="18"/>
    <m/>
    <m/>
    <m/>
    <m/>
    <m/>
    <m/>
    <m/>
    <m/>
    <m/>
    <m/>
    <m/>
    <m/>
    <m/>
    <x v="9"/>
    <m/>
    <x v="7"/>
  </r>
</pivotCacheRecords>
</file>

<file path=xl/pivotCache/pivotCacheRecords3.xml><?xml version="1.0" encoding="utf-8"?>
<pivotCacheRecords xmlns="http://schemas.openxmlformats.org/spreadsheetml/2006/main" xmlns:r="http://schemas.openxmlformats.org/officeDocument/2006/relationships" count="64">
  <r>
    <x v="0"/>
    <m/>
    <x v="0"/>
    <m/>
    <s v="Provision of Hygiene and Sanitation facilities for IDPs at Khaung Doke Khar, Say Tha Mar Gyi and Ohn Taw Gyi 2 camps at Sittwe Township in Rakhine State"/>
    <d v="2012-11-19T00:00:00"/>
    <d v="2013-03-18T00:00:00"/>
    <s v="Completed"/>
    <x v="0"/>
    <n v="2500"/>
    <m/>
    <s v=""/>
    <m/>
    <m/>
    <m/>
    <n v="1"/>
    <n v="0"/>
    <n v="2500"/>
    <n v="2500"/>
    <n v="2500"/>
    <n v="0"/>
    <n v="0"/>
    <n v="0"/>
    <n v="128026"/>
    <n v="128026"/>
    <x v="0"/>
    <n v="0"/>
    <n v="1"/>
    <n v="0.54"/>
    <n v="0.21"/>
    <n v="0.25"/>
    <m/>
  </r>
  <r>
    <x v="0"/>
    <m/>
    <x v="1"/>
    <m/>
    <s v="Emergency support for people displaced by the conflict in Kachin State, Myanmar"/>
    <d v="2013-01-06T00:00:00"/>
    <d v="2014-06-30T00:00:00"/>
    <s v="Completed"/>
    <x v="1"/>
    <n v="11700"/>
    <n v="0.45"/>
    <n v="0.55000000000000004"/>
    <n v="0"/>
    <n v="1"/>
    <n v="0"/>
    <n v="1"/>
    <n v="0"/>
    <n v="7594"/>
    <n v="6040"/>
    <n v="5850"/>
    <n v="0"/>
    <n v="0"/>
    <n v="0"/>
    <n v="530978"/>
    <n v="353985.33333333337"/>
    <x v="1"/>
    <n v="0"/>
    <n v="1"/>
    <n v="0.55500000000000005"/>
    <n v="0.26"/>
    <n v="0.18"/>
    <m/>
  </r>
  <r>
    <x v="0"/>
    <m/>
    <x v="1"/>
    <m/>
    <s v="Emergency support for displaced and hosting communities affected by the Kachin conflict, Myanmar"/>
    <d v="2014-01-09T00:00:00"/>
    <d v="2015-08-31T00:00:00"/>
    <s v="Active"/>
    <x v="2"/>
    <n v="6457"/>
    <m/>
    <n v="1"/>
    <m/>
    <n v="1"/>
    <m/>
    <n v="0.62"/>
    <n v="0.38"/>
    <n v="4039"/>
    <n v="4039"/>
    <n v="1617"/>
    <m/>
    <m/>
    <n v="2418"/>
    <n v="354600"/>
    <n v="0"/>
    <x v="2"/>
    <n v="143852.75459098496"/>
    <n v="1"/>
    <n v="0.33"/>
    <n v="0.34"/>
    <n v="0.34"/>
    <m/>
  </r>
  <r>
    <x v="1"/>
    <s v="KBC"/>
    <x v="2"/>
    <m/>
    <s v="Support for conflict affected internally displaced person in Kachin (SCAIDP)"/>
    <d v="2015-06-01T00:00:00"/>
    <d v="2016-02-28T00:00:00"/>
    <s v="Active"/>
    <x v="3"/>
    <n v="17480"/>
    <n v="0.51"/>
    <n v="0.49"/>
    <n v="0"/>
    <n v="0"/>
    <n v="1"/>
    <n v="1"/>
    <n v="0"/>
    <n v="17480"/>
    <n v="8404"/>
    <n v="17480"/>
    <n v="0"/>
    <n v="0"/>
    <n v="0"/>
    <n v="122295"/>
    <n v="0"/>
    <x v="0"/>
    <n v="122295"/>
    <n v="1"/>
    <n v="0.373"/>
    <n v="0.17899999999999999"/>
    <n v="0.44800000000000001"/>
    <s v="150087 (canada Dolllar)"/>
  </r>
  <r>
    <x v="2"/>
    <m/>
    <x v="3"/>
    <m/>
    <s v=" Improvement of Community Drinking Water Supply and Strengthening of Communal Structures of Marginalised Population in Northern Shan State as well as Humanitarian Assistance to IDP due to the armed conflict in Kachin State (PN: 20121882.5)"/>
    <d v="2013-01-01T00:00:00"/>
    <m/>
    <s v="Completed"/>
    <x v="1"/>
    <m/>
    <m/>
    <s v=""/>
    <m/>
    <m/>
    <m/>
    <m/>
    <m/>
    <m/>
    <m/>
    <m/>
    <m/>
    <m/>
    <m/>
    <n v="338770"/>
    <n v="338770"/>
    <x v="0"/>
    <n v="0"/>
    <m/>
    <m/>
    <m/>
    <m/>
    <m/>
  </r>
  <r>
    <x v="3"/>
    <m/>
    <x v="4"/>
    <m/>
    <s v="Provision of water and sanitation facilities, and non-food relief items - IDPs in Kachin State (M013859)"/>
    <d v="2013-12-01T00:00:00"/>
    <m/>
    <s v="Completed"/>
    <x v="1"/>
    <m/>
    <m/>
    <s v=""/>
    <m/>
    <m/>
    <m/>
    <m/>
    <m/>
    <m/>
    <m/>
    <m/>
    <m/>
    <m/>
    <m/>
    <n v="292113"/>
    <n v="292113"/>
    <x v="0"/>
    <n v="0"/>
    <m/>
    <m/>
    <m/>
    <m/>
    <m/>
  </r>
  <r>
    <x v="4"/>
    <m/>
    <x v="0"/>
    <m/>
    <s v="Humanitarian Assistance to Internally Dispalced Persons in Kachin_x000a_Addendum"/>
    <d v="2012-02-15T00:00:00"/>
    <d v="2012-06-30T00:00:00"/>
    <s v="Completed"/>
    <x v="0"/>
    <n v="25000"/>
    <n v="0.7"/>
    <n v="0.3"/>
    <n v="0"/>
    <n v="0.4"/>
    <n v="0.6"/>
    <n v="1"/>
    <n v="0"/>
    <n v="25000"/>
    <n v="25000"/>
    <n v="25000"/>
    <n v="0"/>
    <n v="0"/>
    <n v="0"/>
    <n v="200970"/>
    <n v="200970"/>
    <x v="0"/>
    <n v="0"/>
    <n v="1"/>
    <n v="0.25103163686382396"/>
    <n v="0.45392022008253097"/>
    <n v="0.29504814305364513"/>
    <m/>
  </r>
  <r>
    <x v="4"/>
    <m/>
    <x v="0"/>
    <m/>
    <s v="Humanitarian Assistance to Internally Dispalced Persons in Kachin_x000a_"/>
    <d v="2012-02-15T00:00:00"/>
    <d v="2012-05-14T00:00:00"/>
    <s v="Completed"/>
    <x v="0"/>
    <n v="25000"/>
    <n v="0.7"/>
    <n v="0.3"/>
    <n v="0"/>
    <n v="0.4"/>
    <n v="0.6"/>
    <n v="1"/>
    <n v="0"/>
    <n v="25000"/>
    <n v="25000"/>
    <n v="25000"/>
    <n v="0"/>
    <n v="0"/>
    <n v="0"/>
    <n v="171388.23529411765"/>
    <n v="171388.23529411765"/>
    <x v="0"/>
    <n v="0"/>
    <n v="1"/>
    <n v="0.25"/>
    <n v="0.45"/>
    <n v="0.3"/>
    <m/>
  </r>
  <r>
    <x v="4"/>
    <m/>
    <x v="0"/>
    <m/>
    <s v="Humanitarian Assistance to Internally Dispalced Persons in Kachin"/>
    <d v="2012-05-14T00:00:00"/>
    <d v="2012-07-14T00:00:00"/>
    <s v="Completed"/>
    <x v="0"/>
    <n v="7733"/>
    <n v="0.55000000000000004"/>
    <n v="0.45"/>
    <n v="0"/>
    <n v="0.5"/>
    <n v="0.5"/>
    <n v="1"/>
    <n v="0"/>
    <n v="7733"/>
    <n v="7733"/>
    <n v="7733"/>
    <n v="0"/>
    <n v="0"/>
    <n v="0"/>
    <n v="33603.976470588233"/>
    <n v="33603.976470588233"/>
    <x v="0"/>
    <n v="0"/>
    <n v="1"/>
    <n v="0.04"/>
    <n v="0.95"/>
    <n v="0"/>
    <m/>
  </r>
  <r>
    <x v="4"/>
    <m/>
    <x v="0"/>
    <m/>
    <s v="Humanitarian Assistance to Internally Dispalced Persons in Kachin"/>
    <d v="2014-10-01T00:00:00"/>
    <d v="2015-04-15T00:00:00"/>
    <s v="Active"/>
    <x v="2"/>
    <n v="11820"/>
    <n v="0.86"/>
    <n v="0.14000000000000001"/>
    <n v="0"/>
    <n v="0.87"/>
    <n v="0.13"/>
    <n v="1"/>
    <n v="0"/>
    <n v="5360"/>
    <n v="11820"/>
    <n v="9833"/>
    <n v="0"/>
    <n v="0"/>
    <n v="0"/>
    <n v="220997.4"/>
    <n v="0"/>
    <x v="3"/>
    <n v="118391.46428571428"/>
    <n v="1"/>
    <n v="0.44"/>
    <n v="0.2"/>
    <n v="0.36"/>
    <m/>
  </r>
  <r>
    <x v="5"/>
    <m/>
    <x v="0"/>
    <m/>
    <s v="Humanitarian Assistance to Internally Dispalced Persons in Kachin"/>
    <d v="2012-06-02T00:00:00"/>
    <d v="2012-10-30T00:00:00"/>
    <s v="Completed"/>
    <x v="0"/>
    <n v="5500"/>
    <n v="0.35"/>
    <n v="0.65"/>
    <n v="0"/>
    <n v="0.6"/>
    <n v="0.4"/>
    <n v="1"/>
    <n v="0"/>
    <n v="5500"/>
    <n v="5500"/>
    <n v="5500"/>
    <n v="0"/>
    <n v="0"/>
    <n v="0"/>
    <n v="129924.9705882353"/>
    <n v="129924.9705882353"/>
    <x v="0"/>
    <n v="0"/>
    <n v="1"/>
    <n v="0.41"/>
    <n v="0.3"/>
    <n v="0.28999999999999998"/>
    <m/>
  </r>
  <r>
    <x v="5"/>
    <m/>
    <x v="0"/>
    <m/>
    <s v="Humanitarian Assistance to Internally Dispalced Persons in Kachin"/>
    <d v="2012-04-29T00:00:00"/>
    <d v="2012-07-29T00:00:00"/>
    <s v="Completed"/>
    <x v="0"/>
    <n v="18791"/>
    <n v="0.48"/>
    <n v="0.52"/>
    <n v="0.3"/>
    <n v="0.5"/>
    <n v="0.2"/>
    <n v="1"/>
    <n v="0"/>
    <n v="18791"/>
    <n v="18791"/>
    <n v="18791"/>
    <n v="0"/>
    <n v="0"/>
    <n v="0"/>
    <n v="149287.59647058824"/>
    <n v="149287.59647058824"/>
    <x v="0"/>
    <n v="0"/>
    <n v="1"/>
    <n v="0.26100382615963141"/>
    <n v="0.62"/>
    <n v="0.11847803109484276"/>
    <m/>
  </r>
  <r>
    <x v="5"/>
    <m/>
    <x v="0"/>
    <m/>
    <s v="Humanitarian Assistance to Internally Dispalced Persons in Kachin"/>
    <d v="2013-03-11T00:00:00"/>
    <d v="2013-03-25T00:00:00"/>
    <s v="Completed"/>
    <x v="1"/>
    <n v="493"/>
    <n v="0.45"/>
    <n v="0.55000000000000004"/>
    <n v="0"/>
    <n v="1"/>
    <n v="0"/>
    <n v="1"/>
    <n v="0"/>
    <n v="493"/>
    <n v="0"/>
    <n v="0"/>
    <n v="0"/>
    <n v="0"/>
    <n v="0"/>
    <n v="3031.5058823529412"/>
    <n v="3031.5058823529412"/>
    <x v="0"/>
    <n v="0"/>
    <n v="1"/>
    <n v="1"/>
    <n v="0"/>
    <n v="0"/>
    <m/>
  </r>
  <r>
    <x v="5"/>
    <m/>
    <x v="5"/>
    <m/>
    <m/>
    <d v="2013-01-01T00:00:00"/>
    <m/>
    <s v="Completed"/>
    <x v="1"/>
    <m/>
    <m/>
    <s v=""/>
    <m/>
    <m/>
    <m/>
    <m/>
    <m/>
    <m/>
    <m/>
    <m/>
    <m/>
    <m/>
    <m/>
    <m/>
    <n v="0"/>
    <x v="0"/>
    <n v="0"/>
    <m/>
    <m/>
    <m/>
    <m/>
    <m/>
  </r>
  <r>
    <x v="5"/>
    <m/>
    <x v="0"/>
    <s v="CERF"/>
    <s v="Humanitarian assitance to internally displaced persons in Kachin State"/>
    <d v="2014-01-24T00:00:00"/>
    <d v="2014-07-23T00:00:00"/>
    <s v="Completed"/>
    <x v="2"/>
    <n v="3756"/>
    <n v="0.65"/>
    <n v="0.35"/>
    <n v="0.61"/>
    <n v="0"/>
    <n v="0.38684771033013843"/>
    <n v="1"/>
    <n v="0"/>
    <n v="3756"/>
    <n v="3756"/>
    <n v="3756"/>
    <n v="0"/>
    <n v="0"/>
    <n v="0"/>
    <n v="201418"/>
    <n v="0"/>
    <x v="4"/>
    <n v="0"/>
    <n v="1"/>
    <n v="0.5"/>
    <n v="0.43"/>
    <n v="7.0000000000000007E-2"/>
    <m/>
  </r>
  <r>
    <x v="6"/>
    <m/>
    <x v="1"/>
    <m/>
    <s v="Supporting life saving health interventions in conflict affected populations in Northern Shan State, Myanmar"/>
    <d v="2013-05-18T00:00:00"/>
    <d v="2014-05-18T00:00:00"/>
    <s v="Completed"/>
    <x v="1"/>
    <n v="33204"/>
    <n v="0.1"/>
    <n v="0.9"/>
    <n v="0"/>
    <n v="0"/>
    <n v="1"/>
    <n v="7.0000000000000007E-2"/>
    <n v="0.93"/>
    <n v="2416"/>
    <n v="146"/>
    <n v="2416"/>
    <n v="22000"/>
    <n v="8788"/>
    <n v="30788"/>
    <n v="26986"/>
    <n v="16857.008219178082"/>
    <x v="5"/>
    <n v="0"/>
    <n v="0.04"/>
    <n v="0.82"/>
    <n v="0.12"/>
    <n v="0.06"/>
    <m/>
  </r>
  <r>
    <x v="7"/>
    <m/>
    <x v="0"/>
    <m/>
    <s v="Humanitarian Assistance to Internally Dispalced Persons in Kachin"/>
    <d v="2012-03-05T00:00:00"/>
    <d v="2012-06-14T00:00:00"/>
    <s v="Completed"/>
    <x v="0"/>
    <n v="14000"/>
    <m/>
    <s v=""/>
    <m/>
    <m/>
    <m/>
    <n v="1"/>
    <n v="0"/>
    <n v="14000"/>
    <n v="14000"/>
    <n v="14000"/>
    <n v="0"/>
    <n v="0"/>
    <n v="0"/>
    <n v="92437.647058823524"/>
    <n v="92437.647058823524"/>
    <x v="0"/>
    <n v="0"/>
    <n v="1"/>
    <n v="0.36"/>
    <n v="0.53"/>
    <n v="0.1"/>
    <m/>
  </r>
  <r>
    <x v="7"/>
    <m/>
    <x v="0"/>
    <m/>
    <s v="Humanitarian Assistance to Internally Dispalced Persons in Kachin"/>
    <d v="2012-02-02T00:00:00"/>
    <d v="2012-06-30T00:00:00"/>
    <s v="Completed"/>
    <x v="0"/>
    <n v="3240"/>
    <m/>
    <s v=""/>
    <m/>
    <m/>
    <m/>
    <n v="1"/>
    <n v="0"/>
    <n v="3240"/>
    <n v="3240"/>
    <n v="3240"/>
    <n v="0"/>
    <n v="0"/>
    <n v="0"/>
    <n v="34710.588235294119"/>
    <n v="34710.588235294119"/>
    <x v="0"/>
    <n v="0"/>
    <n v="1"/>
    <n v="0.35"/>
    <n v="0.38"/>
    <n v="0.36"/>
    <m/>
  </r>
  <r>
    <x v="7"/>
    <m/>
    <x v="0"/>
    <m/>
    <s v="Humanitarian Assistance to Internally Dispalced Persons in Kachin"/>
    <d v="2012-02-01T00:00:00"/>
    <d v="2012-04-30T00:00:00"/>
    <s v="Completed"/>
    <x v="0"/>
    <n v="14000"/>
    <m/>
    <s v=""/>
    <m/>
    <m/>
    <m/>
    <n v="1"/>
    <n v="0"/>
    <n v="14000"/>
    <n v="14000"/>
    <n v="14000"/>
    <n v="0"/>
    <n v="0"/>
    <n v="0"/>
    <n v="83760"/>
    <n v="83760"/>
    <x v="0"/>
    <n v="0"/>
    <n v="1"/>
    <n v="0.42"/>
    <n v="0.55000000000000004"/>
    <n v="0.22"/>
    <m/>
  </r>
  <r>
    <x v="7"/>
    <m/>
    <x v="0"/>
    <m/>
    <s v="Humanitarian Assistance to Internally Dispalced Persons in Kachin"/>
    <d v="2013-03-13T00:00:00"/>
    <d v="2013-06-12T00:00:00"/>
    <s v="Completed"/>
    <x v="1"/>
    <n v="19000"/>
    <n v="0.68421052631578949"/>
    <n v="0.31578947368421051"/>
    <n v="0"/>
    <n v="0.32"/>
    <n v="0.68321052631578949"/>
    <n v="1"/>
    <n v="0"/>
    <n v="19000"/>
    <n v="19000"/>
    <n v="19000"/>
    <n v="0"/>
    <n v="0"/>
    <n v="0"/>
    <n v="98314.495294117645"/>
    <n v="98314.495294117645"/>
    <x v="0"/>
    <n v="0"/>
    <n v="1"/>
    <n v="0.26924400268856291"/>
    <n v="0.14000000000000001"/>
    <n v="0.58604606937202164"/>
    <m/>
  </r>
  <r>
    <x v="7"/>
    <m/>
    <x v="0"/>
    <m/>
    <s v="Humanitarian Assistance to Internally Dispalced Persons in Kachin"/>
    <d v="2012-06-22T00:00:00"/>
    <d v="2013-03-31T00:00:00"/>
    <s v="Completed"/>
    <x v="0"/>
    <m/>
    <m/>
    <s v=""/>
    <m/>
    <m/>
    <m/>
    <m/>
    <m/>
    <m/>
    <m/>
    <m/>
    <m/>
    <m/>
    <m/>
    <n v="175294.05769230769"/>
    <n v="175294.05769230769"/>
    <x v="0"/>
    <n v="0"/>
    <m/>
    <m/>
    <m/>
    <m/>
    <m/>
  </r>
  <r>
    <x v="7"/>
    <m/>
    <x v="0"/>
    <m/>
    <s v="Humanitarian Assistance to Internally Dispalced Persons in Kachin"/>
    <d v="2014-01-09T00:00:00"/>
    <d v="2014-11-08T00:00:00"/>
    <s v="Completed"/>
    <x v="2"/>
    <n v="11000"/>
    <n v="0.62"/>
    <n v="0.38"/>
    <n v="0"/>
    <n v="1"/>
    <n v="0"/>
    <n v="1"/>
    <n v="0"/>
    <n v="11000"/>
    <n v="11000"/>
    <n v="11000"/>
    <n v="0"/>
    <n v="0"/>
    <n v="0"/>
    <n v="337220.99"/>
    <n v="0"/>
    <x v="6"/>
    <n v="0"/>
    <n v="1"/>
    <n v="0.33"/>
    <n v="0.33"/>
    <n v="0.34"/>
    <m/>
  </r>
  <r>
    <x v="7"/>
    <m/>
    <x v="0"/>
    <m/>
    <s v="Humanitarian Assistance to Internally Dispalced Persons in Kachin"/>
    <d v="2014-10-16T00:00:00"/>
    <d v="2015-04-15T00:00:00"/>
    <s v="Active"/>
    <x v="2"/>
    <n v="13389"/>
    <n v="0.59"/>
    <n v="0.41"/>
    <n v="0"/>
    <n v="1"/>
    <n v="0"/>
    <n v="1"/>
    <n v="0"/>
    <n v="5571"/>
    <n v="5643"/>
    <n v="13389"/>
    <n v="0"/>
    <n v="0"/>
    <n v="0"/>
    <n v="288461.43"/>
    <n v="0"/>
    <x v="7"/>
    <n v="167339.5035911602"/>
    <n v="1"/>
    <n v="0.23"/>
    <n v="0.23"/>
    <n v="0.54"/>
    <m/>
  </r>
  <r>
    <x v="7"/>
    <s v="Oxfam"/>
    <x v="6"/>
    <m/>
    <s v="Humanitarian Assistance to Internally Dispalced Persons in Kachin"/>
    <d v="2014-04-28T00:00:00"/>
    <d v="2014-06-12T00:00:00"/>
    <s v="Completed"/>
    <x v="2"/>
    <m/>
    <m/>
    <m/>
    <n v="1"/>
    <n v="0"/>
    <n v="0"/>
    <n v="1"/>
    <n v="0"/>
    <m/>
    <m/>
    <m/>
    <m/>
    <m/>
    <m/>
    <n v="43482"/>
    <n v="0"/>
    <x v="8"/>
    <n v="0"/>
    <m/>
    <m/>
    <m/>
    <m/>
    <m/>
  </r>
  <r>
    <x v="7"/>
    <m/>
    <x v="7"/>
    <m/>
    <s v="Humanitarian Assistance to Internally Dispalced Persons in NSS"/>
    <d v="2015-02-01T00:00:00"/>
    <d v="2015-03-31T00:00:00"/>
    <s v="Active"/>
    <x v="3"/>
    <n v="4000"/>
    <n v="0"/>
    <n v="1"/>
    <n v="1"/>
    <n v="0"/>
    <n v="0"/>
    <n v="1"/>
    <n v="0"/>
    <n v="4000"/>
    <n v="4000"/>
    <n v="4000"/>
    <n v="0"/>
    <n v="0"/>
    <n v="0"/>
    <n v="400000"/>
    <n v="0"/>
    <x v="0"/>
    <n v="400000"/>
    <n v="1"/>
    <n v="0.4"/>
    <n v="0.3"/>
    <n v="0.3"/>
    <s v="this fund allocation is for only Metta (LSO) office and updated in May 15"/>
  </r>
  <r>
    <x v="7"/>
    <m/>
    <x v="8"/>
    <m/>
    <s v="Humanitarian Assistance to People Displaced in Kachin and Northern Shan State-Myanmar"/>
    <d v="2015-04-01T00:00:00"/>
    <d v="2015-03-31T00:00:00"/>
    <s v="Active"/>
    <x v="3"/>
    <n v="18227"/>
    <m/>
    <n v="18227"/>
    <m/>
    <m/>
    <m/>
    <n v="1"/>
    <m/>
    <m/>
    <m/>
    <m/>
    <m/>
    <m/>
    <m/>
    <m/>
    <n v="0"/>
    <x v="0"/>
    <n v="0"/>
    <m/>
    <n v="0"/>
    <m/>
    <m/>
    <s v="CAD 560,670 Including Shelter . Still need to follow up with Metta Yangon office because field office from Myitkyina &amp; Lashio can't provide sufficen information. "/>
  </r>
  <r>
    <x v="8"/>
    <s v="KBC/Shalom"/>
    <x v="1"/>
    <s v="Australian_x000a_CIDA"/>
    <s v="Emergency Response for Conflict-Affected Population in Kachin and Northern Shan"/>
    <d v="2013-01-01T00:00:00"/>
    <d v="2014-03-31T00:00:00"/>
    <s v="Completed"/>
    <x v="1"/>
    <n v="19794"/>
    <n v="0.42437102152167322"/>
    <n v="0.57562897847832684"/>
    <n v="0"/>
    <n v="0"/>
    <n v="1"/>
    <n v="1"/>
    <n v="0"/>
    <n v="5240"/>
    <n v="13650"/>
    <n v="19794"/>
    <n v="0"/>
    <n v="0"/>
    <n v="0"/>
    <n v="774563"/>
    <n v="622721.35462555068"/>
    <x v="9"/>
    <n v="0"/>
    <n v="1"/>
    <n v="0.2"/>
    <n v="0.22"/>
    <n v="0.57999999999999996"/>
    <s v="Data input on 17/10/2013"/>
  </r>
  <r>
    <x v="8"/>
    <s v="KBC/Shalom"/>
    <x v="9"/>
    <s v="ECHO/CIDA"/>
    <s v="Same project than previous one, co-financing"/>
    <d v="2013-01-01T00:00:00"/>
    <d v="2014-03-31T00:00:00"/>
    <s v="Completed"/>
    <x v="1"/>
    <m/>
    <m/>
    <m/>
    <m/>
    <m/>
    <m/>
    <m/>
    <m/>
    <m/>
    <m/>
    <m/>
    <m/>
    <m/>
    <m/>
    <n v="515029"/>
    <n v="414065.16519823787"/>
    <x v="10"/>
    <n v="0"/>
    <m/>
    <m/>
    <m/>
    <m/>
    <m/>
  </r>
  <r>
    <x v="8"/>
    <s v="KBC/Shalom"/>
    <x v="2"/>
    <s v="ECHO/Australian"/>
    <s v="Same project than previous one, co-financing"/>
    <d v="2013-01-01T00:00:00"/>
    <d v="2014-03-31T00:00:00"/>
    <s v="Completed"/>
    <x v="1"/>
    <m/>
    <m/>
    <m/>
    <m/>
    <m/>
    <m/>
    <m/>
    <m/>
    <m/>
    <m/>
    <m/>
    <m/>
    <m/>
    <m/>
    <n v="191487"/>
    <n v="153948.79955947137"/>
    <x v="11"/>
    <n v="0"/>
    <m/>
    <m/>
    <m/>
    <m/>
    <m/>
  </r>
  <r>
    <x v="8"/>
    <s v="KBC/Shalom"/>
    <x v="10"/>
    <m/>
    <s v="Emergency Response for Conflict-Affected Population in Kachin and Northern Shan 14/15"/>
    <d v="2014-05-01T00:00:00"/>
    <d v="2015-05-31T00:00:00"/>
    <s v="Completed"/>
    <x v="2"/>
    <n v="23013"/>
    <n v="0.41467865988788943"/>
    <n v="0.58532134011211057"/>
    <n v="0"/>
    <n v="0"/>
    <n v="1"/>
    <n v="1"/>
    <n v="0"/>
    <n v="23013"/>
    <n v="23013"/>
    <n v="23013"/>
    <n v="0"/>
    <n v="0"/>
    <n v="0"/>
    <n v="711973"/>
    <n v="0"/>
    <x v="12"/>
    <n v="272171.95696202532"/>
    <n v="1"/>
    <n v="0.16"/>
    <n v="0.09"/>
    <n v="0.75"/>
    <s v="Data input on 09/06/2014. Note this funding does not enable full coverage with hygiene kits in GCA camps. Oxfam will submit to UNICEF a proposal to cover the gap, but targeting will also be established this year due to increasing livlihoods and decreasing donor funds. "/>
  </r>
  <r>
    <x v="8"/>
    <s v="Metta/Shalom"/>
    <x v="2"/>
    <m/>
    <s v="Kachin Humanitarian Response (CIDA II)"/>
    <s v="01/04/2015"/>
    <s v="31/03/2016"/>
    <s v="Active"/>
    <x v="3"/>
    <n v="13880"/>
    <m/>
    <n v="1"/>
    <n v="0"/>
    <m/>
    <m/>
    <n v="1"/>
    <n v="0"/>
    <n v="13880"/>
    <n v="13880"/>
    <n v="13880"/>
    <m/>
    <m/>
    <m/>
    <n v="83010"/>
    <n v="0"/>
    <x v="0"/>
    <n v="83010"/>
    <n v="1"/>
    <m/>
    <m/>
    <m/>
    <m/>
  </r>
  <r>
    <x v="8"/>
    <s v="KBC/Shalom"/>
    <x v="1"/>
    <m/>
    <s v="Emergency response for IDP in Kachin 2015/16 (HIP 2015)"/>
    <d v="2015-08-01T00:00:00"/>
    <d v="2015-12-31T00:00:00"/>
    <s v="Active"/>
    <x v="3"/>
    <n v="4735"/>
    <m/>
    <n v="1"/>
    <m/>
    <m/>
    <n v="1"/>
    <n v="1"/>
    <m/>
    <n v="4735"/>
    <n v="4735"/>
    <n v="4735"/>
    <m/>
    <m/>
    <m/>
    <n v="107174"/>
    <n v="0"/>
    <x v="0"/>
    <n v="107174"/>
    <n v="1"/>
    <n v="0.31829548211319908"/>
    <n v="0.10458693339802565"/>
    <n v="0.5768656577154907"/>
    <m/>
  </r>
  <r>
    <x v="9"/>
    <s v="KBC"/>
    <x v="3"/>
    <m/>
    <s v="Live saving Emergency aid to internally displaced people in  Kachin state,Myanmar."/>
    <d v="2015-01-01T00:00:00"/>
    <d v="2015-09-30T00:00:00"/>
    <s v="Active"/>
    <x v="3"/>
    <n v="3088"/>
    <n v="0"/>
    <n v="1"/>
    <n v="1"/>
    <n v="0"/>
    <n v="0"/>
    <n v="1"/>
    <n v="0"/>
    <n v="0"/>
    <n v="0"/>
    <n v="3088"/>
    <n v="0"/>
    <n v="0"/>
    <n v="0"/>
    <n v="75653"/>
    <n v="0"/>
    <x v="0"/>
    <n v="75653"/>
    <m/>
    <m/>
    <m/>
    <m/>
    <s v="Only on HK"/>
  </r>
  <r>
    <x v="10"/>
    <s v="WPN"/>
    <x v="1"/>
    <m/>
    <s v="Emergency Assistance to Conflict Affected Populations in Myanmar"/>
    <d v="2013-06-01T00:00:00"/>
    <d v="2014-02-28T00:00:00"/>
    <s v="Completed"/>
    <x v="1"/>
    <n v="9566"/>
    <n v="0.86"/>
    <n v="0.14000000000000001"/>
    <n v="0.89"/>
    <n v="0"/>
    <n v="0.11"/>
    <n v="1"/>
    <n v="0"/>
    <n v="1905"/>
    <n v="9566"/>
    <n v="9566"/>
    <n v="0"/>
    <n v="0"/>
    <n v="0"/>
    <n v="264760"/>
    <n v="208303.82352941178"/>
    <x v="13"/>
    <n v="0"/>
    <n v="0.8"/>
    <n v="0.13"/>
    <n v="0.14000000000000001"/>
    <n v="0.73"/>
    <m/>
  </r>
  <r>
    <x v="10"/>
    <s v="WPN"/>
    <x v="11"/>
    <m/>
    <s v="MMR Kachin  Humanitarian Response"/>
    <d v="2014-01-01T00:00:00"/>
    <d v="2014-12-31T00:00:00"/>
    <s v="Completed"/>
    <x v="2"/>
    <m/>
    <n v="0"/>
    <n v="1"/>
    <n v="0.89"/>
    <n v="0"/>
    <n v="0.11"/>
    <n v="1"/>
    <n v="0"/>
    <n v="1905"/>
    <n v="9566"/>
    <n v="9566"/>
    <n v="0"/>
    <n v="0"/>
    <n v="0"/>
    <n v="17000"/>
    <n v="0"/>
    <x v="14"/>
    <n v="0"/>
    <m/>
    <m/>
    <m/>
    <m/>
    <m/>
  </r>
  <r>
    <x v="10"/>
    <s v="WPN"/>
    <x v="12"/>
    <m/>
    <s v="Humanitarian assistance to populations affected by vioence in Rakhine &amp; Kachin States"/>
    <d v="2014-01-01T00:00:00"/>
    <d v="2015-06-30T00:00:00"/>
    <s v="Active"/>
    <x v="2"/>
    <n v="8010"/>
    <n v="0.93"/>
    <n v="6.9999999999999951E-2"/>
    <n v="0.1"/>
    <n v="0.9"/>
    <n v="0"/>
    <n v="1"/>
    <n v="0"/>
    <n v="8010"/>
    <n v="8010"/>
    <n v="8010"/>
    <n v="0"/>
    <n v="0"/>
    <n v="0"/>
    <n v="102308"/>
    <n v="0"/>
    <x v="15"/>
    <n v="33977.519266055046"/>
    <m/>
    <m/>
    <m/>
    <m/>
    <m/>
  </r>
  <r>
    <x v="10"/>
    <s v="WPN"/>
    <x v="13"/>
    <m/>
    <s v="MMR Emergency assistance to populations affected by displacement and violence in Kachin State"/>
    <d v="2014-01-01T00:00:00"/>
    <d v="2014-09-09T00:00:00"/>
    <s v="Completed"/>
    <x v="2"/>
    <m/>
    <n v="0.47"/>
    <n v="0.53"/>
    <m/>
    <m/>
    <m/>
    <m/>
    <m/>
    <m/>
    <m/>
    <m/>
    <m/>
    <m/>
    <m/>
    <n v="80400"/>
    <n v="0"/>
    <x v="16"/>
    <n v="0"/>
    <m/>
    <m/>
    <m/>
    <m/>
    <m/>
  </r>
  <r>
    <x v="10"/>
    <m/>
    <x v="0"/>
    <s v="CERF"/>
    <s v="Development of Lifesaving WASH Facilities in tandem with New Shelter Construction for IDPs_x000a_"/>
    <d v="2014-07-02T00:00:00"/>
    <d v="2015-02-28T00:00:00"/>
    <s v="Completed"/>
    <x v="2"/>
    <n v="10837"/>
    <n v="0.43323798099104921"/>
    <n v="0.56999999999999995"/>
    <n v="0.23798099104918335"/>
    <n v="0"/>
    <n v="0.76"/>
    <n v="1"/>
    <n v="0"/>
    <n v="10837"/>
    <n v="10837"/>
    <n v="10837"/>
    <n v="0"/>
    <n v="0"/>
    <n v="0"/>
    <n v="455030"/>
    <n v="0"/>
    <x v="17"/>
    <n v="111397.38589211617"/>
    <n v="1"/>
    <n v="7.0000000000000007E-2"/>
    <n v="0.18"/>
    <n v="0.75"/>
    <m/>
  </r>
  <r>
    <x v="10"/>
    <m/>
    <x v="1"/>
    <m/>
    <s v="Contribute to improved living conditions for conflict affected children and their families in Kachin/NSS states"/>
    <d v="2014-07-01T00:00:00"/>
    <d v="2015-08-31T00:00:00"/>
    <s v="Active"/>
    <x v="2"/>
    <n v="13266"/>
    <n v="0.75"/>
    <n v="0.25"/>
    <n v="0.25"/>
    <n v="0.75"/>
    <n v="0"/>
    <n v="1"/>
    <n v="0"/>
    <n v="13266"/>
    <n v="13266"/>
    <n v="13266"/>
    <n v="0"/>
    <n v="0"/>
    <n v="0"/>
    <n v="419947"/>
    <n v="0"/>
    <x v="18"/>
    <n v="239547.2323943662"/>
    <n v="1"/>
    <n v="7.0000000000000007E-2"/>
    <n v="0.18"/>
    <n v="0.75"/>
    <m/>
  </r>
  <r>
    <x v="10"/>
    <m/>
    <x v="12"/>
    <m/>
    <s v="MMR Humanitarian Assistance for Households Affected Kacin State, Burma"/>
    <d v="2015-01-04T00:00:00"/>
    <d v="2016-03-31T00:00:00"/>
    <s v="Active"/>
    <x v="3"/>
    <n v="1140"/>
    <n v="0"/>
    <n v="1"/>
    <n v="1"/>
    <n v="0"/>
    <n v="0"/>
    <n v="1"/>
    <n v="0"/>
    <n v="1140"/>
    <n v="1140"/>
    <n v="1140"/>
    <n v="0"/>
    <n v="0"/>
    <n v="0"/>
    <n v="236184"/>
    <n v="0"/>
    <x v="0"/>
    <n v="236184"/>
    <n v="1"/>
    <n v="7.0000000000000007E-2"/>
    <n v="0.18"/>
    <n v="0.75"/>
    <m/>
  </r>
  <r>
    <x v="11"/>
    <m/>
    <x v="0"/>
    <s v="CERF"/>
    <s v="Humanitarian Assistance to Internally Dispalced Persons in Kachin"/>
    <d v="2013-12-24T00:00:00"/>
    <d v="2014-10-31T00:00:00"/>
    <s v="Completed"/>
    <x v="1"/>
    <n v="6184"/>
    <n v="0"/>
    <n v="1"/>
    <n v="0"/>
    <n v="0"/>
    <n v="1"/>
    <n v="1"/>
    <n v="0"/>
    <n v="3538"/>
    <n v="2913"/>
    <n v="2238"/>
    <n v="0"/>
    <n v="0"/>
    <n v="0"/>
    <n v="306018"/>
    <n v="7871.8456591639551"/>
    <x v="19"/>
    <n v="0"/>
    <n v="1"/>
    <n v="0.42000000000000004"/>
    <n v="0.24"/>
    <n v="0.34"/>
    <m/>
  </r>
  <r>
    <x v="12"/>
    <m/>
    <x v="0"/>
    <m/>
    <s v="Emergency WASH support for the affected population in Southern Kachin State"/>
    <d v="2012-06-04T00:00:00"/>
    <d v="2013-01-16T00:00:00"/>
    <s v="Completed"/>
    <x v="0"/>
    <n v="11524"/>
    <n v="0.22"/>
    <n v="0.78"/>
    <n v="0"/>
    <n v="1"/>
    <n v="0"/>
    <n v="1"/>
    <n v="0"/>
    <n v="9024"/>
    <n v="9024"/>
    <n v="9024"/>
    <n v="2500"/>
    <n v="2500"/>
    <n v="2500"/>
    <n v="220000"/>
    <n v="220000"/>
    <x v="0"/>
    <n v="0"/>
    <n v="0.85"/>
    <n v="0.33"/>
    <n v="0.23"/>
    <n v="0.44"/>
    <m/>
  </r>
  <r>
    <x v="12"/>
    <m/>
    <x v="0"/>
    <m/>
    <s v="Emergency WASH support for the affected population in Southern Kachin State"/>
    <d v="2012-11-27T00:00:00"/>
    <d v="2013-02-26T00:00:00"/>
    <s v="Completed"/>
    <x v="0"/>
    <n v="7000"/>
    <n v="0"/>
    <n v="1"/>
    <n v="0"/>
    <n v="1"/>
    <n v="0"/>
    <n v="1"/>
    <n v="0"/>
    <n v="7000"/>
    <n v="7000"/>
    <n v="7000"/>
    <m/>
    <m/>
    <m/>
    <n v="158854"/>
    <n v="158854"/>
    <x v="0"/>
    <n v="0"/>
    <n v="1"/>
    <n v="0.95637415012976246"/>
    <n v="1.5354404523431255E-2"/>
    <n v="2.8271445346806263E-2"/>
    <m/>
  </r>
  <r>
    <x v="12"/>
    <m/>
    <x v="1"/>
    <m/>
    <s v="Water, Sanitation and Hygiene assistance for IDPs affected by the conflict in Southern Kachin State (ECHO/-XA/BUD/2012/91023)"/>
    <d v="2013-06-01T00:00:00"/>
    <d v="2014-05-31T00:00:00"/>
    <s v="Completed"/>
    <x v="1"/>
    <n v="13020"/>
    <n v="0.60675883256528418"/>
    <n v="0.39324116743471582"/>
    <n v="0"/>
    <n v="1"/>
    <n v="0"/>
    <n v="1"/>
    <n v="0"/>
    <n v="5120"/>
    <n v="13020"/>
    <n v="5120"/>
    <n v="0"/>
    <n v="0"/>
    <n v="0"/>
    <n v="796569"/>
    <n v="468312.54395604396"/>
    <x v="20"/>
    <n v="0"/>
    <n v="1"/>
    <n v="0.23"/>
    <n v="0.01"/>
    <n v="0.19"/>
    <s v="Part of global project including Rakhines. For activities the 58% remaining are for Winter kits and assesment of new sites."/>
  </r>
  <r>
    <x v="12"/>
    <m/>
    <x v="14"/>
    <m/>
    <s v=" WASH activities and distribution of non-food items in the Bhamo camps"/>
    <d v="2012-01-04T00:00:00"/>
    <d v="2012-05-03T00:00:00"/>
    <s v="Completed"/>
    <x v="0"/>
    <n v="7280"/>
    <n v="0"/>
    <n v="1"/>
    <n v="0"/>
    <n v="1"/>
    <n v="0"/>
    <n v="1"/>
    <n v="0"/>
    <n v="4500"/>
    <n v="0"/>
    <n v="7280"/>
    <n v="0"/>
    <n v="0"/>
    <n v="0"/>
    <n v="197000"/>
    <n v="197000"/>
    <x v="0"/>
    <n v="0"/>
    <n v="1"/>
    <n v="0.05"/>
    <n v="0"/>
    <n v="0.95"/>
    <m/>
  </r>
  <r>
    <x v="12"/>
    <m/>
    <x v="1"/>
    <s v="UNICEF/OFDA"/>
    <s v="Water, Sanitation and Hygiene assistance for IDPs affected by the conflict in Southern Kachin State (ECHO/-XA/BUD/2012/91023)"/>
    <d v="2012-07-25T00:00:00"/>
    <d v="2013-06-24T00:00:00"/>
    <s v="Completed"/>
    <x v="0"/>
    <n v="35714"/>
    <n v="0.63162905303242423"/>
    <n v="0.36837094696757577"/>
    <n v="0"/>
    <n v="1"/>
    <n v="0"/>
    <n v="1"/>
    <n v="0"/>
    <n v="13773"/>
    <n v="13667"/>
    <n v="29447"/>
    <n v="0"/>
    <n v="0"/>
    <n v="0"/>
    <n v="504350"/>
    <n v="504350"/>
    <x v="0"/>
    <n v="0"/>
    <n v="1"/>
    <n v="0.39643956684854842"/>
    <n v="5.0268897101294854E-2"/>
    <n v="0.19999887842710617"/>
    <s v="Cofi-UNICEF-CERF//ECHO The reported beneficiaries are under the ECHO Project for both of those project // ----------------------------------------------------------------the remaining 35% for the distribution of Winter Kits"/>
  </r>
  <r>
    <x v="12"/>
    <m/>
    <x v="1"/>
    <m/>
    <s v="Improving water access, hygiene and sanitation conditions of the conflict affected population in Kachin and Rakhine States"/>
    <d v="2014-09-01T00:00:00"/>
    <d v="2015-08-30T00:00:00"/>
    <s v="Active"/>
    <x v="2"/>
    <n v="22403"/>
    <n v="0.64027139222425566"/>
    <n v="0.35972860777574434"/>
    <n v="0"/>
    <n v="1"/>
    <n v="0"/>
    <n v="1"/>
    <n v="0"/>
    <n v="22403"/>
    <n v="22403"/>
    <n v="22403"/>
    <n v="0"/>
    <n v="0"/>
    <n v="0"/>
    <n v="649786"/>
    <n v="0"/>
    <x v="21"/>
    <n v="433190.66666666663"/>
    <n v="1"/>
    <n v="0.36"/>
    <n v="0.02"/>
    <n v="0.62"/>
    <s v="Part of global project including Rakhine State"/>
  </r>
  <r>
    <x v="12"/>
    <m/>
    <x v="5"/>
    <m/>
    <s v="Water, Sanitation and Hygiene rapid response to internal displacements in Kachin and Northern Shan States"/>
    <d v="2014-01-01T00:00:00"/>
    <d v="2014-06-30T00:00:00"/>
    <s v="Completed"/>
    <x v="2"/>
    <n v="3000"/>
    <n v="0.5"/>
    <n v="0.5"/>
    <n v="0"/>
    <n v="1"/>
    <n v="0"/>
    <n v="1"/>
    <n v="0"/>
    <n v="3000"/>
    <n v="3000"/>
    <n v="3000"/>
    <n v="0"/>
    <n v="0"/>
    <n v="0"/>
    <n v="78945"/>
    <n v="0"/>
    <x v="22"/>
    <n v="0"/>
    <n v="1"/>
    <n v="0.33"/>
    <n v="0.33"/>
    <n v="0.33"/>
    <m/>
  </r>
  <r>
    <x v="12"/>
    <s v="SCI/Oxfam"/>
    <x v="5"/>
    <m/>
    <s v="Water, Sanitation and Hygiene rapid response for people affected by conflict induced displacements and natural disasters in Kachin and Northern Shan States"/>
    <d v="2014-09-01T00:00:00"/>
    <d v="2015-09-30T00:00:00"/>
    <s v="Active"/>
    <x v="2"/>
    <n v="5000"/>
    <n v="0.5"/>
    <n v="0.5"/>
    <n v="0.5"/>
    <n v="0.25"/>
    <n v="0.25"/>
    <n v="0.5"/>
    <n v="0.5"/>
    <n v="5000"/>
    <n v="5000"/>
    <n v="5000"/>
    <n v="0"/>
    <n v="0"/>
    <n v="0"/>
    <n v="267190"/>
    <n v="0"/>
    <x v="23"/>
    <n v="185134.18781725888"/>
    <m/>
    <n v="0.3"/>
    <n v="0.3"/>
    <n v="0.4"/>
    <s v="The targeting of beneifciaries cannot be detailed as this project aims at answering to new emergency following displacement or natural hazards"/>
  </r>
  <r>
    <x v="12"/>
    <m/>
    <x v="0"/>
    <m/>
    <s v="Integrated WaSH assistance to IDPs affected by conflict_x000a_ in Kachin State"/>
    <d v="2013-12-24T00:00:00"/>
    <d v="2014-08-23T00:00:00"/>
    <s v="Completed"/>
    <x v="1"/>
    <n v="11774"/>
    <n v="0.9"/>
    <n v="9.9999999999999978E-2"/>
    <n v="0"/>
    <n v="1"/>
    <n v="0"/>
    <n v="1"/>
    <n v="0"/>
    <n v="1250"/>
    <n v="1250"/>
    <n v="0"/>
    <n v="0"/>
    <n v="0"/>
    <n v="0"/>
    <n v="249000"/>
    <n v="8231.4049586776819"/>
    <x v="24"/>
    <n v="0"/>
    <n v="1"/>
    <n v="0.25"/>
    <n v="0.64"/>
    <n v="0.11"/>
    <m/>
  </r>
  <r>
    <x v="12"/>
    <m/>
    <x v="0"/>
    <m/>
    <s v="WaSH assistance to IDPs affected by conflict_x000a_ in Kachin State"/>
    <d v="2014-10-16T00:00:00"/>
    <d v="2015-04-15T00:00:00"/>
    <s v="Active"/>
    <x v="2"/>
    <n v="1250"/>
    <n v="0.9"/>
    <n v="9.9999999999999978E-2"/>
    <n v="0"/>
    <n v="1"/>
    <n v="0"/>
    <n v="1"/>
    <n v="0"/>
    <n v="1250"/>
    <n v="1250"/>
    <n v="0"/>
    <n v="0"/>
    <n v="0"/>
    <n v="0"/>
    <n v="249000"/>
    <n v="0"/>
    <x v="25"/>
    <n v="144447.51381215468"/>
    <n v="1"/>
    <n v="0.25"/>
    <n v="0.64"/>
    <n v="0.11"/>
    <m/>
  </r>
  <r>
    <x v="12"/>
    <m/>
    <x v="12"/>
    <m/>
    <s v="Emergency WASH assistance and Food Security and Livelihood support to vulnerable populations affected by conflicts in Rakhine and Kachin States"/>
    <d v="2014-05-01T00:00:00"/>
    <d v="2015-04-30T00:00:00"/>
    <s v="Active"/>
    <x v="2"/>
    <n v="6905"/>
    <n v="0.3"/>
    <n v="0.7"/>
    <n v="0"/>
    <n v="1"/>
    <n v="0"/>
    <n v="1"/>
    <n v="0"/>
    <n v="6905"/>
    <n v="6905"/>
    <n v="6905"/>
    <n v="0"/>
    <n v="0"/>
    <n v="0"/>
    <n v="469947"/>
    <n v="0"/>
    <x v="26"/>
    <n v="154927.58241758242"/>
    <n v="1"/>
    <n v="0.56999999999999995"/>
    <n v="0.16"/>
    <n v="0.12"/>
    <m/>
  </r>
  <r>
    <x v="12"/>
    <m/>
    <x v="12"/>
    <m/>
    <s v="Emergency WASH assistance and Food Security and Livelihood support to vulnerable populations affected by conflicts in Rakhine and Kachin States"/>
    <d v="2015-05-01T00:00:00"/>
    <d v="2016-04-29T00:00:00"/>
    <s v="Active"/>
    <x v="3"/>
    <n v="15447"/>
    <n v="0.57999999999999996"/>
    <n v="0.42"/>
    <n v="0"/>
    <n v="1"/>
    <n v="0"/>
    <n v="1"/>
    <n v="0"/>
    <n v="15447"/>
    <n v="15447"/>
    <n v="15447"/>
    <n v="0"/>
    <n v="0"/>
    <n v="0"/>
    <n v="1000000"/>
    <n v="0"/>
    <x v="0"/>
    <n v="1000000"/>
    <m/>
    <m/>
    <m/>
    <m/>
    <m/>
  </r>
  <r>
    <x v="12"/>
    <m/>
    <x v="1"/>
    <m/>
    <s v="Improving water access, hygiene and sanitation conditions of the conflict affected population in Kachin and Rakhine States"/>
    <d v="2015-09-01T00:00:00"/>
    <d v="2016-05-31T00:00:00"/>
    <s v="In soumission"/>
    <x v="3"/>
    <n v="17285"/>
    <n v="0.41"/>
    <n v="0.59000000000000008"/>
    <n v="0"/>
    <n v="1"/>
    <n v="0"/>
    <n v="0.88"/>
    <n v="0.11"/>
    <n v="15375"/>
    <n v="15375"/>
    <n v="15375"/>
    <n v="1910"/>
    <n v="1910"/>
    <n v="1910"/>
    <m/>
    <n v="0"/>
    <x v="0"/>
    <n v="0"/>
    <m/>
    <m/>
    <m/>
    <m/>
    <m/>
  </r>
  <r>
    <x v="13"/>
    <s v="KMSS"/>
    <x v="15"/>
    <m/>
    <s v="WASH activity and distribution of Hygiene Kits in Myitkyina and Lashio"/>
    <d v="2013-07-01T00:00:00"/>
    <d v="2014-03-31T00:00:00"/>
    <s v="Completed"/>
    <x v="1"/>
    <n v="9561"/>
    <n v="0.2"/>
    <n v="0.8"/>
    <m/>
    <m/>
    <m/>
    <n v="1"/>
    <n v="0"/>
    <n v="5383"/>
    <n v="1844"/>
    <n v="9066"/>
    <n v="0"/>
    <n v="0"/>
    <n v="0"/>
    <n v="245165"/>
    <n v="165239.41391941393"/>
    <x v="27"/>
    <n v="0"/>
    <n v="1"/>
    <n v="0.38"/>
    <n v="0.11"/>
    <n v="0.51"/>
    <m/>
  </r>
  <r>
    <x v="13"/>
    <s v="KMSS"/>
    <x v="15"/>
    <m/>
    <s v="Kachin Comprehensive humanitarian response phases 6"/>
    <d v="2015-06-01T00:00:00"/>
    <d v="2015-12-31T00:00:00"/>
    <s v="Active"/>
    <x v="3"/>
    <n v="6432"/>
    <n v="0.31"/>
    <n v="0.69"/>
    <n v="0.14000000000000001"/>
    <n v="0.01"/>
    <n v="0.85"/>
    <n v="1"/>
    <n v="0"/>
    <n v="2858"/>
    <n v="1972"/>
    <n v="6432"/>
    <n v="0"/>
    <n v="0"/>
    <n v="0"/>
    <n v="154118"/>
    <n v="0"/>
    <x v="0"/>
    <n v="154118"/>
    <n v="1"/>
    <n v="0.32"/>
    <n v="0.59"/>
    <n v="0.04"/>
    <m/>
  </r>
  <r>
    <x v="14"/>
    <m/>
    <x v="16"/>
    <m/>
    <s v="Secondment of a WASH emergency officer to UNICEF for work in Kachin"/>
    <d v="2013-01-03T00:00:00"/>
    <d v="2013-01-31T00:00:00"/>
    <s v="Completed"/>
    <x v="1"/>
    <n v="0"/>
    <n v="0.5"/>
    <n v="0.5"/>
    <n v="0.33"/>
    <n v="0.33"/>
    <n v="0.33"/>
    <n v="1"/>
    <n v="0"/>
    <m/>
    <m/>
    <m/>
    <m/>
    <m/>
    <m/>
    <n v="106270"/>
    <n v="106270"/>
    <x v="0"/>
    <n v="0"/>
    <n v="1"/>
    <n v="0.33"/>
    <n v="0.33"/>
    <n v="0.33"/>
    <m/>
  </r>
  <r>
    <x v="14"/>
    <m/>
    <x v="16"/>
    <m/>
    <s v="Secondment of a WASH emergency Capacity building to UNICEF for work in Kachin"/>
    <d v="2014-02-01T00:00:00"/>
    <d v="2014-07-31T00:00:00"/>
    <s v="Completed"/>
    <x v="2"/>
    <n v="0"/>
    <n v="0.5"/>
    <n v="0.5"/>
    <n v="0.33"/>
    <n v="0.33"/>
    <n v="0.33"/>
    <n v="1"/>
    <n v="0"/>
    <m/>
    <m/>
    <m/>
    <m/>
    <m/>
    <m/>
    <n v="50000"/>
    <n v="0"/>
    <x v="28"/>
    <n v="0"/>
    <n v="1"/>
    <n v="0.33"/>
    <n v="0.33"/>
    <n v="0.33"/>
    <m/>
  </r>
  <r>
    <x v="14"/>
    <m/>
    <x v="17"/>
    <m/>
    <m/>
    <d v="2012-04-17T00:00:00"/>
    <m/>
    <s v="Completed"/>
    <x v="0"/>
    <n v="86740"/>
    <n v="0.42569748674198754"/>
    <n v="0.56999999999999995"/>
    <n v="0"/>
    <n v="0.26861886096379989"/>
    <n v="0.73"/>
    <n v="1"/>
    <n v="0"/>
    <n v="36740"/>
    <n v="36740"/>
    <n v="36740"/>
    <m/>
    <m/>
    <m/>
    <n v="981022.61"/>
    <n v="981022.61"/>
    <x v="0"/>
    <n v="0"/>
    <m/>
    <m/>
    <m/>
    <m/>
    <m/>
  </r>
  <r>
    <x v="14"/>
    <m/>
    <x v="12"/>
    <m/>
    <m/>
    <d v="2012-08-23T00:00:00"/>
    <d v="2014-09-30T00:00:00"/>
    <s v="Completed"/>
    <x v="0"/>
    <n v="89815"/>
    <n v="0.61"/>
    <n v="0.39"/>
    <n v="6.2762344819907584E-2"/>
    <n v="0.60472081500862884"/>
    <n v="0.33500000000000002"/>
    <n v="1"/>
    <n v="0"/>
    <n v="86580"/>
    <n v="86822"/>
    <n v="86822"/>
    <m/>
    <m/>
    <m/>
    <n v="1652740"/>
    <n v="1067394.5833333333"/>
    <x v="29"/>
    <n v="0"/>
    <m/>
    <m/>
    <m/>
    <m/>
    <m/>
  </r>
  <r>
    <x v="14"/>
    <m/>
    <x v="12"/>
    <m/>
    <m/>
    <d v="2015-01-01T00:00:00"/>
    <s v="31/1/2015"/>
    <s v="Active"/>
    <x v="3"/>
    <m/>
    <m/>
    <m/>
    <m/>
    <m/>
    <m/>
    <m/>
    <m/>
    <m/>
    <m/>
    <m/>
    <m/>
    <m/>
    <m/>
    <n v="300000"/>
    <n v="0"/>
    <x v="0"/>
    <n v="300000"/>
    <m/>
    <m/>
    <m/>
    <m/>
    <m/>
  </r>
  <r>
    <x v="14"/>
    <m/>
    <x v="18"/>
    <m/>
    <m/>
    <d v="2014-04-01T00:00:00"/>
    <d v="2015-03-31T00:00:00"/>
    <s v="Completed"/>
    <x v="2"/>
    <m/>
    <m/>
    <m/>
    <m/>
    <m/>
    <m/>
    <m/>
    <m/>
    <m/>
    <m/>
    <m/>
    <m/>
    <m/>
    <m/>
    <n v="750000"/>
    <n v="0"/>
    <x v="30"/>
    <n v="185439.56043956045"/>
    <m/>
    <m/>
    <m/>
    <m/>
    <m/>
  </r>
  <r>
    <x v="14"/>
    <m/>
    <x v="17"/>
    <m/>
    <m/>
    <d v="2014-04-01T00:00:00"/>
    <d v="2014-12-31T00:00:00"/>
    <s v="Completed"/>
    <x v="2"/>
    <n v="10837"/>
    <n v="0.43323798099104921"/>
    <n v="0.56999999999999995"/>
    <n v="0.23798099104918335"/>
    <n v="0"/>
    <n v="0.76"/>
    <n v="1"/>
    <n v="0"/>
    <n v="10837"/>
    <m/>
    <m/>
    <m/>
    <m/>
    <m/>
    <n v="700000"/>
    <n v="0"/>
    <x v="31"/>
    <n v="0"/>
    <m/>
    <m/>
    <m/>
    <m/>
    <m/>
  </r>
  <r>
    <x v="14"/>
    <m/>
    <x v="17"/>
    <m/>
    <m/>
    <d v="2013-09-16T00:00:00"/>
    <d v="2014-06-30T00:00:00"/>
    <s v="Completed"/>
    <x v="1"/>
    <n v="9940"/>
    <n v="0.24557344064386319"/>
    <n v="0.75"/>
    <n v="0.23048289738430583"/>
    <n v="0"/>
    <n v="0.77"/>
    <n v="1"/>
    <n v="0"/>
    <n v="5989"/>
    <n v="5462"/>
    <n v="6137"/>
    <m/>
    <m/>
    <m/>
    <n v="514030"/>
    <n v="191641.84668989549"/>
    <x v="32"/>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32:E51" firstHeaderRow="0" firstDataRow="1" firstDataCol="1" rowPageCount="3" colPageCount="1"/>
  <pivotFields count="94">
    <pivotField axis="axisRow" showAll="0">
      <items count="21">
        <item x="9"/>
        <item x="0"/>
        <item x="1"/>
        <item x="2"/>
        <item x="14"/>
        <item m="1" x="18"/>
        <item x="10"/>
        <item x="16"/>
        <item x="3"/>
        <item x="4"/>
        <item x="5"/>
        <item x="12"/>
        <item x="6"/>
        <item x="13"/>
        <item x="17"/>
        <item x="7"/>
        <item x="11"/>
        <item m="1" x="19"/>
        <item x="8"/>
        <item x="15"/>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9">
    <i>
      <x/>
    </i>
    <i>
      <x v="1"/>
    </i>
    <i>
      <x v="2"/>
    </i>
    <i>
      <x v="3"/>
    </i>
    <i>
      <x v="4"/>
    </i>
    <i>
      <x v="6"/>
    </i>
    <i>
      <x v="7"/>
    </i>
    <i>
      <x v="8"/>
    </i>
    <i>
      <x v="9"/>
    </i>
    <i>
      <x v="10"/>
    </i>
    <i>
      <x v="11"/>
    </i>
    <i>
      <x v="12"/>
    </i>
    <i>
      <x v="13"/>
    </i>
    <i>
      <x v="14"/>
    </i>
    <i>
      <x v="15"/>
    </i>
    <i>
      <x v="16"/>
    </i>
    <i>
      <x v="18"/>
    </i>
    <i>
      <x v="19"/>
    </i>
    <i t="grand">
      <x/>
    </i>
  </rowItems>
  <colFields count="1">
    <field x="-2"/>
  </colFields>
  <colItems count="3">
    <i>
      <x/>
    </i>
    <i i="1">
      <x v="1"/>
    </i>
    <i i="2">
      <x v="2"/>
    </i>
  </colItems>
  <pageFields count="3">
    <pageField fld="6" hier="-1"/>
    <pageField fld="2" hier="-1"/>
    <pageField fld="18" hier="-1"/>
  </pageFields>
  <dataFields count="3">
    <dataField name="% Water Need coverage" fld="84" baseField="0" baseItem="0" numFmtId="1"/>
    <dataField name="%  Latrine need coverage" fld="85" baseField="0" baseItem="0" numFmtId="1"/>
    <dataField name="% Bathroom need coverage" fld="86" baseField="0" baseItem="0" numFmtId="1"/>
  </dataFields>
  <formats count="26">
    <format dxfId="123">
      <pivotArea outline="0" collapsedLevelsAreSubtotals="1" fieldPosition="0"/>
    </format>
    <format dxfId="122">
      <pivotArea field="0" type="button" dataOnly="0" labelOnly="1" outline="0" axis="axisRow" fieldPosition="0"/>
    </format>
    <format dxfId="121">
      <pivotArea dataOnly="0" labelOnly="1" outline="0" fieldPosition="0">
        <references count="1">
          <reference field="4294967294" count="3">
            <x v="0"/>
            <x v="1"/>
            <x v="2"/>
          </reference>
        </references>
      </pivotArea>
    </format>
    <format dxfId="120">
      <pivotArea collapsedLevelsAreSubtotals="1" fieldPosition="0">
        <references count="1">
          <reference field="0" count="0"/>
        </references>
      </pivotArea>
    </format>
    <format dxfId="119">
      <pivotArea dataOnly="0" labelOnly="1" outline="0" fieldPosition="0">
        <references count="1">
          <reference field="4294967294" count="3">
            <x v="0"/>
            <x v="1"/>
            <x v="2"/>
          </reference>
        </references>
      </pivotArea>
    </format>
    <format dxfId="118">
      <pivotArea grandRow="1" outline="0" collapsedLevelsAreSubtotals="1" fieldPosition="0"/>
    </format>
    <format dxfId="117">
      <pivotArea dataOnly="0" labelOnly="1" fieldPosition="0">
        <references count="1">
          <reference field="0" count="1">
            <x v="15"/>
          </reference>
        </references>
      </pivotArea>
    </format>
    <format dxfId="116">
      <pivotArea dataOnly="0" labelOnly="1" fieldPosition="0">
        <references count="1">
          <reference field="0" count="1">
            <x v="5"/>
          </reference>
        </references>
      </pivotArea>
    </format>
    <format dxfId="115">
      <pivotArea dataOnly="0" labelOnly="1" fieldPosition="0">
        <references count="1">
          <reference field="0" count="1">
            <x v="3"/>
          </reference>
        </references>
      </pivotArea>
    </format>
    <format dxfId="114">
      <pivotArea dataOnly="0" labelOnly="1" fieldPosition="0">
        <references count="1">
          <reference field="0" count="1">
            <x v="17"/>
          </reference>
        </references>
      </pivotArea>
    </format>
    <format dxfId="113">
      <pivotArea dataOnly="0" labelOnly="1" fieldPosition="0">
        <references count="1">
          <reference field="0" count="1">
            <x v="1"/>
          </reference>
        </references>
      </pivotArea>
    </format>
    <format dxfId="112">
      <pivotArea dataOnly="0" labelOnly="1" fieldPosition="0">
        <references count="1">
          <reference field="0" count="1">
            <x v="18"/>
          </reference>
        </references>
      </pivotArea>
    </format>
    <format dxfId="111">
      <pivotArea dataOnly="0" labelOnly="1" fieldPosition="0">
        <references count="1">
          <reference field="0" count="1">
            <x v="12"/>
          </reference>
        </references>
      </pivotArea>
    </format>
    <format dxfId="110">
      <pivotArea dataOnly="0" labelOnly="1" fieldPosition="0">
        <references count="1">
          <reference field="0" count="1">
            <x v="2"/>
          </reference>
        </references>
      </pivotArea>
    </format>
    <format dxfId="109">
      <pivotArea dataOnly="0" labelOnly="1" fieldPosition="0">
        <references count="1">
          <reference field="0" count="1">
            <x v="8"/>
          </reference>
        </references>
      </pivotArea>
    </format>
    <format dxfId="108">
      <pivotArea dataOnly="0" labelOnly="1" fieldPosition="0">
        <references count="1">
          <reference field="0" count="1">
            <x v="9"/>
          </reference>
        </references>
      </pivotArea>
    </format>
    <format dxfId="107">
      <pivotArea dataOnly="0" labelOnly="1" fieldPosition="0">
        <references count="1">
          <reference field="0" count="1">
            <x v="10"/>
          </reference>
        </references>
      </pivotArea>
    </format>
    <format dxfId="106">
      <pivotArea dataOnly="0" labelOnly="1" fieldPosition="0">
        <references count="1">
          <reference field="0" count="1">
            <x v="16"/>
          </reference>
        </references>
      </pivotArea>
    </format>
    <format dxfId="105">
      <pivotArea dataOnly="0" labelOnly="1" fieldPosition="0">
        <references count="1">
          <reference field="0" count="1">
            <x v="6"/>
          </reference>
        </references>
      </pivotArea>
    </format>
    <format dxfId="104">
      <pivotArea dataOnly="0" labelOnly="1" fieldPosition="0">
        <references count="1">
          <reference field="0" count="1">
            <x v="0"/>
          </reference>
        </references>
      </pivotArea>
    </format>
    <format dxfId="103">
      <pivotArea dataOnly="0" labelOnly="1" fieldPosition="0">
        <references count="1">
          <reference field="0" count="1">
            <x v="11"/>
          </reference>
        </references>
      </pivotArea>
    </format>
    <format dxfId="102">
      <pivotArea dataOnly="0" labelOnly="1" fieldPosition="0">
        <references count="1">
          <reference field="0" count="1">
            <x v="13"/>
          </reference>
        </references>
      </pivotArea>
    </format>
    <format dxfId="101">
      <pivotArea dataOnly="0" labelOnly="1" fieldPosition="0">
        <references count="1">
          <reference field="0" count="1">
            <x v="14"/>
          </reference>
        </references>
      </pivotArea>
    </format>
    <format dxfId="100">
      <pivotArea dataOnly="0" labelOnly="1" fieldPosition="0">
        <references count="1">
          <reference field="0" count="1">
            <x v="7"/>
          </reference>
        </references>
      </pivotArea>
    </format>
    <format dxfId="99">
      <pivotArea dataOnly="0" labelOnly="1" fieldPosition="0">
        <references count="1">
          <reference field="0" count="1">
            <x v="4"/>
          </reference>
        </references>
      </pivotArea>
    </format>
    <format dxfId="98">
      <pivotArea dataOnly="0" labelOnly="1" fieldPosition="0">
        <references count="1">
          <reference field="0" count="0"/>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712:C719" firstHeaderRow="1" firstDataRow="1" firstDataCol="1"/>
  <pivotFields count="17">
    <pivotField axis="axisRow" showAll="0">
      <items count="21">
        <item x="9"/>
        <item x="0"/>
        <item sd="0" x="1"/>
        <item x="15"/>
        <item sd="0" x="2"/>
        <item x="14"/>
        <item m="1" x="19"/>
        <item x="10"/>
        <item sd="0" x="16"/>
        <item sd="0" x="3"/>
        <item x="4"/>
        <item x="5"/>
        <item x="12"/>
        <item x="6"/>
        <item x="13"/>
        <item x="17"/>
        <item sd="0" x="7"/>
        <item x="11"/>
        <item x="8"/>
        <item x="18"/>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axis="axisRow" showAll="0">
      <items count="11">
        <item x="6"/>
        <item x="1"/>
        <item x="2"/>
        <item x="4"/>
        <item x="3"/>
        <item x="8"/>
        <item x="0"/>
        <item x="5"/>
        <item x="7"/>
        <item x="9"/>
        <item t="default"/>
      </items>
    </pivotField>
    <pivotField showAll="0"/>
    <pivotField axis="axisRow" showAll="0" defaultSubtotal="0">
      <items count="12">
        <item x="3"/>
        <item h="1" m="1" x="11"/>
        <item h="1" m="1" x="10"/>
        <item h="1" x="6"/>
        <item h="1" x="2"/>
        <item h="1" x="8"/>
        <item h="1" x="7"/>
        <item h="1" m="1" x="9"/>
        <item h="1" x="1"/>
        <item h="1" x="4"/>
        <item h="1" x="5"/>
        <item h="1" x="0"/>
      </items>
    </pivotField>
  </pivotFields>
  <rowFields count="3">
    <field x="16"/>
    <field x="0"/>
    <field x="14"/>
  </rowFields>
  <rowItems count="7">
    <i>
      <x/>
    </i>
    <i r="1">
      <x v="2"/>
    </i>
    <i r="1">
      <x v="4"/>
    </i>
    <i r="1">
      <x v="8"/>
    </i>
    <i r="1">
      <x v="9"/>
    </i>
    <i r="1">
      <x v="16"/>
    </i>
    <i t="grand">
      <x/>
    </i>
  </rowItems>
  <colItems count="1">
    <i/>
  </colItems>
  <dataFields count="1">
    <dataField name="Count of Site" fld="3" subtotal="count" baseField="0" baseItem="0"/>
  </dataFields>
  <formats count="1">
    <format dxfId="157">
      <pivotArea dataOnly="0" labelOnly="1" outline="0" axis="axisValues" fieldPosition="0"/>
    </format>
  </formats>
  <chartFormats count="1">
    <chartFormat chart="35"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30:E634" firstHeaderRow="1" firstDataRow="2" firstDataCol="1" rowPageCount="2" colPageCount="1"/>
  <pivotFields count="94">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dataField="1" showAll="0"/>
    <pivotField showAll="0"/>
    <pivotField showAll="0" defaultSubtotal="0"/>
    <pivotField showAll="0"/>
    <pivotField showAll="0"/>
    <pivotField axis="axisCol" showAll="0" defaultSubtotal="0">
      <items count="2">
        <item x="0"/>
        <item x="1"/>
      </items>
    </pivotField>
    <pivotField showAll="0" defaultSubtota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5"/>
  </colFields>
  <colItems count="3">
    <i>
      <x/>
    </i>
    <i>
      <x v="1"/>
    </i>
    <i t="grand">
      <x/>
    </i>
  </colItems>
  <pageFields count="2">
    <pageField fld="6" hier="-1"/>
    <pageField fld="2" hier="-1"/>
  </pageFields>
  <dataFields count="1">
    <dataField name="Sum of Total PoP" fld="10" baseField="0" baseItem="0" numFmtId="1"/>
  </dataFields>
  <formats count="3">
    <format dxfId="160">
      <pivotArea outline="0" collapsedLevelsAreSubtotals="1" fieldPosition="0"/>
    </format>
    <format dxfId="159">
      <pivotArea outline="0" collapsedLevelsAreSubtotals="1" fieldPosition="0"/>
    </format>
    <format dxfId="158">
      <pivotArea outline="0" collapsedLevelsAreSubtotals="1" fieldPosition="0"/>
    </format>
  </formats>
  <chartFormats count="6">
    <chartFormat chart="44" format="0" series="1">
      <pivotArea type="data" outline="0" fieldPosition="0">
        <references count="2">
          <reference field="4294967294" count="1" selected="0">
            <x v="0"/>
          </reference>
          <reference field="15" count="1" selected="0">
            <x v="0"/>
          </reference>
        </references>
      </pivotArea>
    </chartFormat>
    <chartFormat chart="44" format="1" series="1">
      <pivotArea type="data" outline="0" fieldPosition="0">
        <references count="2">
          <reference field="4294967294" count="1" selected="0">
            <x v="0"/>
          </reference>
          <reference field="15" count="1" selected="0">
            <x v="1"/>
          </reference>
        </references>
      </pivotArea>
    </chartFormat>
    <chartFormat chart="47" format="4" series="1">
      <pivotArea type="data" outline="0" fieldPosition="0">
        <references count="2">
          <reference field="4294967294" count="1" selected="0">
            <x v="0"/>
          </reference>
          <reference field="15" count="1" selected="0">
            <x v="0"/>
          </reference>
        </references>
      </pivotArea>
    </chartFormat>
    <chartFormat chart="47" format="5" series="1">
      <pivotArea type="data" outline="0" fieldPosition="0">
        <references count="2">
          <reference field="4294967294" count="1" selected="0">
            <x v="0"/>
          </reference>
          <reference field="15" count="1" selected="0">
            <x v="1"/>
          </reference>
        </references>
      </pivotArea>
    </chartFormat>
    <chartFormat chart="49" format="4" series="1">
      <pivotArea type="data" outline="0" fieldPosition="0">
        <references count="2">
          <reference field="4294967294" count="1" selected="0">
            <x v="0"/>
          </reference>
          <reference field="15" count="1" selected="0">
            <x v="0"/>
          </reference>
        </references>
      </pivotArea>
    </chartFormat>
    <chartFormat chart="49" format="5"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Z83:AC236" firstHeaderRow="0" firstDataRow="1" firstDataCol="1" rowPageCount="4" colPageCount="1"/>
  <pivotFields count="94">
    <pivotField axis="axisPage" showAll="0">
      <items count="21">
        <item x="9"/>
        <item x="0"/>
        <item x="1"/>
        <item x="2"/>
        <item x="14"/>
        <item m="1" x="18"/>
        <item x="10"/>
        <item x="16"/>
        <item x="3"/>
        <item x="4"/>
        <item x="5"/>
        <item x="12"/>
        <item x="6"/>
        <item x="13"/>
        <item x="17"/>
        <item x="7"/>
        <item x="11"/>
        <item m="1" x="19"/>
        <item x="8"/>
        <item x="15"/>
        <item t="default"/>
      </items>
    </pivotField>
    <pivotField showAll="0"/>
    <pivotField axis="axisPage" showAll="0">
      <items count="11">
        <item x="1"/>
        <item x="0"/>
        <item x="5"/>
        <item x="2"/>
        <item x="6"/>
        <item x="4"/>
        <item x="3"/>
        <item x="7"/>
        <item x="8"/>
        <item x="9"/>
        <item t="default"/>
      </items>
    </pivotField>
    <pivotField axis="axisRow" showAll="0">
      <items count="196">
        <item x="174"/>
        <item x="4"/>
        <item x="5"/>
        <item x="110"/>
        <item x="109"/>
        <item x="6"/>
        <item x="7"/>
        <item x="101"/>
        <item x="94"/>
        <item x="159"/>
        <item x="8"/>
        <item x="9"/>
        <item x="10"/>
        <item x="61"/>
        <item x="86"/>
        <item x="129"/>
        <item x="130"/>
        <item x="11"/>
        <item x="84"/>
        <item x="0"/>
        <item x="149"/>
        <item m="1" x="177"/>
        <item x="12"/>
        <item x="59"/>
        <item x="33"/>
        <item x="34"/>
        <item x="35"/>
        <item x="31"/>
        <item x="85"/>
        <item x="62"/>
        <item x="63"/>
        <item x="13"/>
        <item x="14"/>
        <item m="1" x="189"/>
        <item x="15"/>
        <item x="1"/>
        <item x="32"/>
        <item x="95"/>
        <item m="1" x="176"/>
        <item m="1" x="183"/>
        <item x="36"/>
        <item x="37"/>
        <item x="160"/>
        <item x="114"/>
        <item x="102"/>
        <item x="103"/>
        <item x="142"/>
        <item x="161"/>
        <item x="162"/>
        <item x="163"/>
        <item x="38"/>
        <item x="26"/>
        <item x="25"/>
        <item m="1" x="191"/>
        <item x="132"/>
        <item x="39"/>
        <item x="40"/>
        <item x="41"/>
        <item x="2"/>
        <item x="16"/>
        <item x="17"/>
        <item x="96"/>
        <item x="115"/>
        <item x="116"/>
        <item x="117"/>
        <item x="118"/>
        <item x="119"/>
        <item m="1" x="182"/>
        <item x="121"/>
        <item x="148"/>
        <item x="122"/>
        <item m="1" x="178"/>
        <item x="64"/>
        <item x="65"/>
        <item x="143"/>
        <item x="66"/>
        <item x="67"/>
        <item x="68"/>
        <item x="69"/>
        <item x="125"/>
        <item x="126"/>
        <item x="42"/>
        <item x="104"/>
        <item x="123"/>
        <item x="43"/>
        <item x="144"/>
        <item x="153"/>
        <item x="154"/>
        <item x="105"/>
        <item x="169"/>
        <item x="170"/>
        <item x="27"/>
        <item x="100"/>
        <item x="44"/>
        <item x="45"/>
        <item x="18"/>
        <item x="164"/>
        <item x="106"/>
        <item m="1" x="188"/>
        <item x="165"/>
        <item x="166"/>
        <item x="151"/>
        <item x="152"/>
        <item x="97"/>
        <item x="150"/>
        <item m="1" x="192"/>
        <item x="145"/>
        <item m="1" x="179"/>
        <item x="155"/>
        <item x="156"/>
        <item x="157"/>
        <item x="158"/>
        <item x="167"/>
        <item x="19"/>
        <item x="173"/>
        <item x="46"/>
        <item x="98"/>
        <item x="20"/>
        <item x="168"/>
        <item x="28"/>
        <item m="1" x="193"/>
        <item x="88"/>
        <item x="29"/>
        <item x="133"/>
        <item x="124"/>
        <item x="47"/>
        <item x="87"/>
        <item x="48"/>
        <item x="136"/>
        <item x="135"/>
        <item x="134"/>
        <item x="139"/>
        <item x="138"/>
        <item x="140"/>
        <item x="137"/>
        <item m="1" x="190"/>
        <item x="70"/>
        <item x="3"/>
        <item m="1" x="175"/>
        <item x="111"/>
        <item m="1" x="180"/>
        <item x="71"/>
        <item x="72"/>
        <item x="73"/>
        <item x="74"/>
        <item x="75"/>
        <item x="21"/>
        <item x="112"/>
        <item x="22"/>
        <item x="49"/>
        <item x="50"/>
        <item x="76"/>
        <item x="107"/>
        <item x="108"/>
        <item x="51"/>
        <item x="30"/>
        <item m="1" x="194"/>
        <item x="113"/>
        <item x="146"/>
        <item x="53"/>
        <item x="52"/>
        <item x="54"/>
        <item x="55"/>
        <item x="56"/>
        <item x="57"/>
        <item x="77"/>
        <item x="78"/>
        <item x="79"/>
        <item x="23"/>
        <item x="82"/>
        <item x="58"/>
        <item x="99"/>
        <item x="24"/>
        <item x="83"/>
        <item x="172"/>
        <item x="80"/>
        <item x="81"/>
        <item m="1" x="186"/>
        <item x="131"/>
        <item x="127"/>
        <item x="128"/>
        <item x="89"/>
        <item x="120"/>
        <item x="141"/>
        <item x="147"/>
        <item m="1" x="185"/>
        <item x="90"/>
        <item m="1" x="181"/>
        <item x="60"/>
        <item m="1" x="184"/>
        <item m="1" x="187"/>
        <item x="91"/>
        <item x="92"/>
        <item x="93"/>
        <item x="171"/>
        <item t="default"/>
      </items>
    </pivotField>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153">
    <i>
      <x v="1"/>
    </i>
    <i>
      <x v="2"/>
    </i>
    <i>
      <x v="3"/>
    </i>
    <i>
      <x v="4"/>
    </i>
    <i>
      <x v="5"/>
    </i>
    <i>
      <x v="6"/>
    </i>
    <i>
      <x v="7"/>
    </i>
    <i>
      <x v="8"/>
    </i>
    <i>
      <x v="9"/>
    </i>
    <i>
      <x v="10"/>
    </i>
    <i>
      <x v="11"/>
    </i>
    <i>
      <x v="12"/>
    </i>
    <i>
      <x v="13"/>
    </i>
    <i>
      <x v="15"/>
    </i>
    <i>
      <x v="16"/>
    </i>
    <i>
      <x v="17"/>
    </i>
    <i>
      <x v="19"/>
    </i>
    <i>
      <x v="20"/>
    </i>
    <i>
      <x v="22"/>
    </i>
    <i>
      <x v="24"/>
    </i>
    <i>
      <x v="25"/>
    </i>
    <i>
      <x v="26"/>
    </i>
    <i>
      <x v="27"/>
    </i>
    <i>
      <x v="29"/>
    </i>
    <i>
      <x v="30"/>
    </i>
    <i>
      <x v="31"/>
    </i>
    <i>
      <x v="32"/>
    </i>
    <i>
      <x v="34"/>
    </i>
    <i>
      <x v="35"/>
    </i>
    <i>
      <x v="36"/>
    </i>
    <i>
      <x v="37"/>
    </i>
    <i>
      <x v="40"/>
    </i>
    <i>
      <x v="41"/>
    </i>
    <i>
      <x v="42"/>
    </i>
    <i>
      <x v="43"/>
    </i>
    <i>
      <x v="44"/>
    </i>
    <i>
      <x v="45"/>
    </i>
    <i>
      <x v="47"/>
    </i>
    <i>
      <x v="48"/>
    </i>
    <i>
      <x v="49"/>
    </i>
    <i>
      <x v="50"/>
    </i>
    <i>
      <x v="51"/>
    </i>
    <i>
      <x v="52"/>
    </i>
    <i>
      <x v="54"/>
    </i>
    <i>
      <x v="55"/>
    </i>
    <i>
      <x v="56"/>
    </i>
    <i>
      <x v="57"/>
    </i>
    <i>
      <x v="58"/>
    </i>
    <i>
      <x v="59"/>
    </i>
    <i>
      <x v="60"/>
    </i>
    <i>
      <x v="61"/>
    </i>
    <i>
      <x v="62"/>
    </i>
    <i>
      <x v="63"/>
    </i>
    <i>
      <x v="64"/>
    </i>
    <i>
      <x v="65"/>
    </i>
    <i>
      <x v="66"/>
    </i>
    <i>
      <x v="68"/>
    </i>
    <i>
      <x v="70"/>
    </i>
    <i>
      <x v="72"/>
    </i>
    <i>
      <x v="73"/>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8"/>
    </i>
    <i>
      <x v="109"/>
    </i>
    <i>
      <x v="110"/>
    </i>
    <i>
      <x v="111"/>
    </i>
    <i>
      <x v="112"/>
    </i>
    <i>
      <x v="113"/>
    </i>
    <i>
      <x v="114"/>
    </i>
    <i>
      <x v="115"/>
    </i>
    <i>
      <x v="116"/>
    </i>
    <i>
      <x v="117"/>
    </i>
    <i>
      <x v="118"/>
    </i>
    <i>
      <x v="119"/>
    </i>
    <i>
      <x v="121"/>
    </i>
    <i>
      <x v="122"/>
    </i>
    <i>
      <x v="123"/>
    </i>
    <i>
      <x v="124"/>
    </i>
    <i>
      <x v="125"/>
    </i>
    <i>
      <x v="127"/>
    </i>
    <i>
      <x v="128"/>
    </i>
    <i>
      <x v="129"/>
    </i>
    <i>
      <x v="130"/>
    </i>
    <i>
      <x v="136"/>
    </i>
    <i>
      <x v="137"/>
    </i>
    <i>
      <x v="139"/>
    </i>
    <i>
      <x v="141"/>
    </i>
    <i>
      <x v="142"/>
    </i>
    <i>
      <x v="143"/>
    </i>
    <i>
      <x v="144"/>
    </i>
    <i>
      <x v="145"/>
    </i>
    <i>
      <x v="146"/>
    </i>
    <i>
      <x v="147"/>
    </i>
    <i>
      <x v="148"/>
    </i>
    <i>
      <x v="149"/>
    </i>
    <i>
      <x v="150"/>
    </i>
    <i>
      <x v="151"/>
    </i>
    <i>
      <x v="152"/>
    </i>
    <i>
      <x v="153"/>
    </i>
    <i>
      <x v="154"/>
    </i>
    <i>
      <x v="155"/>
    </i>
    <i>
      <x v="157"/>
    </i>
    <i>
      <x v="159"/>
    </i>
    <i>
      <x v="160"/>
    </i>
    <i>
      <x v="161"/>
    </i>
    <i>
      <x v="162"/>
    </i>
    <i>
      <x v="163"/>
    </i>
    <i>
      <x v="164"/>
    </i>
    <i>
      <x v="165"/>
    </i>
    <i>
      <x v="166"/>
    </i>
    <i>
      <x v="167"/>
    </i>
    <i>
      <x v="168"/>
    </i>
    <i>
      <x v="169"/>
    </i>
    <i>
      <x v="170"/>
    </i>
    <i>
      <x v="171"/>
    </i>
    <i>
      <x v="172"/>
    </i>
    <i>
      <x v="173"/>
    </i>
    <i>
      <x v="174"/>
    </i>
    <i>
      <x v="175"/>
    </i>
    <i>
      <x v="178"/>
    </i>
    <i>
      <x v="181"/>
    </i>
    <i>
      <x v="182"/>
    </i>
    <i>
      <x v="186"/>
    </i>
    <i>
      <x v="188"/>
    </i>
    <i>
      <x v="193"/>
    </i>
    <i>
      <x v="194"/>
    </i>
    <i t="grand">
      <x/>
    </i>
  </rowItems>
  <colFields count="1">
    <field x="-2"/>
  </colFields>
  <colItems count="3">
    <i>
      <x/>
    </i>
    <i i="1">
      <x v="1"/>
    </i>
    <i i="2">
      <x v="2"/>
    </i>
  </colItems>
  <pageFields count="4">
    <pageField fld="0" hier="-1"/>
    <pageField fld="2" hier="-1"/>
    <pageField fld="7" hier="-1"/>
    <pageField fld="6" hier="-1"/>
  </pageFields>
  <dataFields count="3">
    <dataField name="% Water Need coverage" fld="84" baseField="0" baseItem="0" numFmtId="9"/>
    <dataField name="% Latrine need coverage" fld="85" baseField="0" baseItem="0" numFmtId="1"/>
    <dataField name="% Bathroom need coverage" fld="86" baseField="0" baseItem="0" numFmtId="1"/>
  </dataFields>
  <formats count="1">
    <format dxfId="161">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178:D181" firstHeaderRow="0" firstDataRow="1" firstDataCol="1" rowPageCount="2"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8" hier="-1"/>
  </pageFields>
  <dataFields count="2">
    <dataField name="% Water Need coverage" fld="84" baseField="0" baseItem="0" numFmtId="1"/>
    <dataField name="% Coverage projection end of project" fld="91" baseField="0" baseItem="0"/>
  </dataFields>
  <formats count="7">
    <format dxfId="168">
      <pivotArea outline="0" collapsedLevelsAreSubtotals="1" fieldPosition="0"/>
    </format>
    <format dxfId="167">
      <pivotArea field="7" type="button" dataOnly="0" labelOnly="1" outline="0" axis="axisRow" fieldPosition="0"/>
    </format>
    <format dxfId="166">
      <pivotArea dataOnly="0" labelOnly="1" outline="0" fieldPosition="0">
        <references count="1">
          <reference field="4294967294" count="2">
            <x v="0"/>
            <x v="1"/>
          </reference>
        </references>
      </pivotArea>
    </format>
    <format dxfId="165">
      <pivotArea outline="0" collapsedLevelsAreSubtotals="1" fieldPosition="0"/>
    </format>
    <format dxfId="164">
      <pivotArea dataOnly="0" labelOnly="1" outline="0" fieldPosition="0">
        <references count="1">
          <reference field="4294967294" count="2">
            <x v="0"/>
            <x v="1"/>
          </reference>
        </references>
      </pivotArea>
    </format>
    <format dxfId="163">
      <pivotArea outline="0" collapsedLevelsAreSubtotals="1" fieldPosition="0"/>
    </format>
    <format dxfId="162">
      <pivotArea dataOnly="0" labelOnly="1" outline="0" fieldPosition="0">
        <references count="1">
          <reference field="4294967294" count="2">
            <x v="0"/>
            <x v="1"/>
          </reference>
        </references>
      </pivotArea>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02:C413" firstHeaderRow="1" firstDataRow="1" firstDataCol="1" rowPageCount="3" colPageCount="1"/>
  <pivotFields count="94">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Items count="1">
    <i/>
  </colItems>
  <pageFields count="3">
    <pageField fld="6" hier="-1"/>
    <pageField fld="7" hier="-1"/>
    <pageField fld="18" hier="-1"/>
  </pageFields>
  <dataFields count="1">
    <dataField name="% Coverage Full HK" fld="89" baseField="0" baseItem="0"/>
  </dataFields>
  <formats count="2">
    <format dxfId="170">
      <pivotArea outline="0" collapsedLevelsAreSubtotals="1" fieldPosition="0"/>
    </format>
    <format dxfId="169">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118:E124" firstHeaderRow="0" firstDataRow="1" firstDataCol="1" rowPageCount="3"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axis="axisRow" showAll="0">
      <items count="7">
        <item x="1"/>
        <item x="0"/>
        <item x="2"/>
        <item x="3"/>
        <item x="4"/>
        <item m="1" x="5"/>
        <item t="default"/>
      </items>
    </pivotField>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
  </rowFields>
  <rowItems count="6">
    <i>
      <x/>
    </i>
    <i>
      <x v="1"/>
    </i>
    <i>
      <x v="2"/>
    </i>
    <i>
      <x v="3"/>
    </i>
    <i>
      <x v="4"/>
    </i>
    <i t="grand">
      <x/>
    </i>
  </rowItems>
  <colFields count="1">
    <field x="-2"/>
  </colFields>
  <colItems count="3">
    <i>
      <x/>
    </i>
    <i i="1">
      <x v="1"/>
    </i>
    <i i="2">
      <x v="2"/>
    </i>
  </colItems>
  <pageFields count="3">
    <pageField fld="6" hier="-1"/>
    <pageField fld="7" hier="-1"/>
    <pageField fld="18" hier="-1"/>
  </pageFields>
  <dataFields count="3">
    <dataField name="% Water Need coverage" fld="84" baseField="0" baseItem="0" numFmtId="1"/>
    <dataField name="% Latrine need coverage" fld="85" baseField="0" baseItem="0" numFmtId="1"/>
    <dataField name="% Bathroom need coverage" fld="86" baseField="0" baseItem="0" numFmtId="1"/>
  </dataFields>
  <formats count="6">
    <format dxfId="176">
      <pivotArea outline="0" collapsedLevelsAreSubtotals="1" fieldPosition="0"/>
    </format>
    <format dxfId="175">
      <pivotArea field="11" type="button" dataOnly="0" labelOnly="1" outline="0" axis="axisRow" fieldPosition="0"/>
    </format>
    <format dxfId="174">
      <pivotArea dataOnly="0" labelOnly="1" outline="0" fieldPosition="0">
        <references count="1">
          <reference field="4294967294" count="3">
            <x v="0"/>
            <x v="1"/>
            <x v="2"/>
          </reference>
        </references>
      </pivotArea>
    </format>
    <format dxfId="173">
      <pivotArea outline="0" collapsedLevelsAreSubtotals="1" fieldPosition="0"/>
    </format>
    <format dxfId="172">
      <pivotArea dataOnly="0" labelOnly="1" outline="0" fieldPosition="0">
        <references count="1">
          <reference field="4294967294" count="3">
            <x v="0"/>
            <x v="1"/>
            <x v="2"/>
          </reference>
        </references>
      </pivotArea>
    </format>
    <format dxfId="171">
      <pivotArea dataOnly="0"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 chart="4"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63:E74" firstHeaderRow="0" firstDataRow="1" firstDataCol="1" rowPageCount="3" colPageCount="1"/>
  <pivotFields count="94">
    <pivotField showAll="0"/>
    <pivotField showAll="0"/>
    <pivotField axis="axisRow"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3">
    <i>
      <x/>
    </i>
    <i i="1">
      <x v="1"/>
    </i>
    <i i="2">
      <x v="2"/>
    </i>
  </colItems>
  <pageFields count="3">
    <pageField fld="6" hier="-1"/>
    <pageField fld="7" hier="-1"/>
    <pageField fld="18" hier="-1"/>
  </pageFields>
  <dataFields count="3">
    <dataField name="% Water Need coverage" fld="84" baseField="0" baseItem="0" numFmtId="1"/>
    <dataField name="% Latrine need coverage" fld="85" baseField="0" baseItem="0" numFmtId="1"/>
    <dataField name="% Bathroom need coverage" fld="86" baseField="0" baseItem="0" numFmtId="1"/>
  </dataFields>
  <formats count="5">
    <format dxfId="181">
      <pivotArea outline="0" collapsedLevelsAreSubtotals="1" fieldPosition="0"/>
    </format>
    <format dxfId="180">
      <pivotArea field="2" type="button" dataOnly="0" labelOnly="1" outline="0" axis="axisRow" fieldPosition="0"/>
    </format>
    <format dxfId="179">
      <pivotArea dataOnly="0" labelOnly="1" outline="0" fieldPosition="0">
        <references count="1">
          <reference field="4294967294" count="3">
            <x v="0"/>
            <x v="1"/>
            <x v="2"/>
          </reference>
        </references>
      </pivotArea>
    </format>
    <format dxfId="178">
      <pivotArea outline="0" collapsedLevelsAreSubtotals="1" fieldPosition="0"/>
    </format>
    <format dxfId="177">
      <pivotArea dataOnly="0" labelOnly="1"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1"/>
          </reference>
        </references>
      </pivotArea>
    </chartFormat>
    <chartFormat chart="2" format="20" series="1">
      <pivotArea type="data" outline="0" fieldPosition="0">
        <references count="1">
          <reference field="4294967294" count="1" selected="0">
            <x v="2"/>
          </reference>
        </references>
      </pivotArea>
    </chartFormat>
    <chartFormat chart="5" format="24" series="1">
      <pivotArea type="data" outline="0" fieldPosition="0">
        <references count="1">
          <reference field="4294967294" count="1" selected="0">
            <x v="0"/>
          </reference>
        </references>
      </pivotArea>
    </chartFormat>
    <chartFormat chart="5" format="25" series="1">
      <pivotArea type="data" outline="0" fieldPosition="0">
        <references count="1">
          <reference field="4294967294" count="1" selected="0">
            <x v="1"/>
          </reference>
        </references>
      </pivotArea>
    </chartFormat>
    <chartFormat chart="5" format="2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E16" firstHeaderRow="0" firstDataRow="1" firstDataCol="1" rowPageCount="3" colPageCount="1"/>
  <pivotFields count="94">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3">
    <pageField fld="6" hier="-1"/>
    <pageField fld="2" hier="-1"/>
    <pageField fld="18" hier="-1"/>
  </pageFields>
  <dataFields count="3">
    <dataField name="% Water coverage" fld="84" baseField="0" baseItem="0" numFmtId="1"/>
    <dataField name="% Latrine coverage" fld="85" baseField="0" baseItem="0" numFmtId="1"/>
    <dataField name="% Bathroom coverage" fld="86" baseField="0" baseItem="0" numFmtId="1"/>
  </dataFields>
  <formats count="12">
    <format dxfId="193">
      <pivotArea outline="0" collapsedLevelsAreSubtotals="1" fieldPosition="0"/>
    </format>
    <format dxfId="192">
      <pivotArea field="7" type="button" dataOnly="0" labelOnly="1" outline="0" axis="axisRow" fieldPosition="0"/>
    </format>
    <format dxfId="191">
      <pivotArea dataOnly="0" labelOnly="1" outline="0" fieldPosition="0">
        <references count="1">
          <reference field="4294967294" count="3">
            <x v="0"/>
            <x v="1"/>
            <x v="2"/>
          </reference>
        </references>
      </pivotArea>
    </format>
    <format dxfId="190">
      <pivotArea type="all" dataOnly="0" outline="0" fieldPosition="0"/>
    </format>
    <format dxfId="189">
      <pivotArea outline="0" collapsedLevelsAreSubtotals="1" fieldPosition="0"/>
    </format>
    <format dxfId="188">
      <pivotArea field="7" type="button" dataOnly="0" labelOnly="1" outline="0" axis="axisRow" fieldPosition="0"/>
    </format>
    <format dxfId="187">
      <pivotArea dataOnly="0" labelOnly="1" fieldPosition="0">
        <references count="1">
          <reference field="7" count="0"/>
        </references>
      </pivotArea>
    </format>
    <format dxfId="186">
      <pivotArea dataOnly="0" labelOnly="1" grandRow="1" outline="0" fieldPosition="0"/>
    </format>
    <format dxfId="185">
      <pivotArea dataOnly="0" labelOnly="1" outline="0" fieldPosition="0">
        <references count="1">
          <reference field="4294967294" count="3">
            <x v="0"/>
            <x v="1"/>
            <x v="2"/>
          </reference>
        </references>
      </pivotArea>
    </format>
    <format dxfId="184">
      <pivotArea field="7" type="button" dataOnly="0" labelOnly="1" outline="0" axis="axisRow" fieldPosition="0"/>
    </format>
    <format dxfId="183">
      <pivotArea dataOnly="0" labelOnly="1" outline="0" fieldPosition="0">
        <references count="1">
          <reference field="4294967294" count="3">
            <x v="0"/>
            <x v="1"/>
            <x v="2"/>
          </reference>
        </references>
      </pivotArea>
    </format>
    <format dxfId="182">
      <pivotArea outline="0" collapsedLevelsAreSubtotals="1" fieldPosition="0"/>
    </format>
  </format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2"/>
          </reference>
        </references>
      </pivotArea>
    </chartFormat>
    <chartFormat chart="14" format="10" series="1">
      <pivotArea type="data" outline="0" fieldPosition="0">
        <references count="1">
          <reference field="4294967294" count="1" selected="0">
            <x v="0"/>
          </reference>
        </references>
      </pivotArea>
    </chartFormat>
    <chartFormat chart="14" format="11"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2"/>
          </reference>
        </references>
      </pivotArea>
    </chartFormat>
    <chartFormat chart="16" format="2" series="1">
      <pivotArea type="data" outline="0" fieldPosition="0">
        <references count="1">
          <reference field="4294967294" count="1" selected="0">
            <x v="2"/>
          </reference>
        </references>
      </pivotArea>
    </chartFormat>
    <chartFormat chart="16" format="3" series="1">
      <pivotArea type="data" outline="0" fieldPosition="0">
        <references count="1">
          <reference field="4294967294" count="1" selected="0">
            <x v="0"/>
          </reference>
        </references>
      </pivotArea>
    </chartFormat>
    <chartFormat chart="16" format="4"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252:D271" firstHeaderRow="0" firstDataRow="1" firstDataCol="1" rowPageCount="2" colPageCount="1"/>
  <pivotFields count="94">
    <pivotField axis="axisRow"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9">
    <i>
      <x/>
    </i>
    <i>
      <x v="1"/>
    </i>
    <i>
      <x v="2"/>
    </i>
    <i>
      <x v="3"/>
    </i>
    <i>
      <x v="4"/>
    </i>
    <i>
      <x v="6"/>
    </i>
    <i>
      <x v="7"/>
    </i>
    <i>
      <x v="8"/>
    </i>
    <i>
      <x v="9"/>
    </i>
    <i>
      <x v="10"/>
    </i>
    <i>
      <x v="11"/>
    </i>
    <i>
      <x v="12"/>
    </i>
    <i>
      <x v="13"/>
    </i>
    <i>
      <x v="14"/>
    </i>
    <i>
      <x v="15"/>
    </i>
    <i>
      <x v="16"/>
    </i>
    <i>
      <x v="18"/>
    </i>
    <i>
      <x v="19"/>
    </i>
    <i t="grand">
      <x/>
    </i>
  </rowItems>
  <colFields count="1">
    <field x="-2"/>
  </colFields>
  <colItems count="2">
    <i>
      <x/>
    </i>
    <i i="1">
      <x v="1"/>
    </i>
  </colItems>
  <pageFields count="2">
    <pageField fld="6" hier="-1"/>
    <pageField fld="18" hier="-1"/>
  </pageFields>
  <dataFields count="2">
    <dataField name="% Coverage Permanent Latrine" fld="87" baseField="0" baseItem="0" numFmtId="9"/>
    <dataField name="% Coverage Emergency latrine" fld="88" baseField="0" baseItem="0" numFmtId="1"/>
  </dataFields>
  <formats count="5">
    <format dxfId="198">
      <pivotArea outline="0" collapsedLevelsAreSubtotals="1" fieldPosition="0"/>
    </format>
    <format dxfId="197">
      <pivotArea field="0" type="button" dataOnly="0" labelOnly="1" outline="0" axis="axisRow" fieldPosition="0"/>
    </format>
    <format dxfId="196">
      <pivotArea dataOnly="0" labelOnly="1" outline="0" fieldPosition="0">
        <references count="1">
          <reference field="4294967294" count="2">
            <x v="0"/>
            <x v="1"/>
          </reference>
        </references>
      </pivotArea>
    </format>
    <format dxfId="195">
      <pivotArea outline="0" collapsedLevelsAreSubtotals="1" fieldPosition="0"/>
    </format>
    <format dxfId="194">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282:D293" firstHeaderRow="0" firstDataRow="1" firstDataCol="1" rowPageCount="2" colPageCount="1"/>
  <pivotFields count="94">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2">
    <i>
      <x/>
    </i>
    <i i="1">
      <x v="1"/>
    </i>
  </colItems>
  <pageFields count="2">
    <pageField fld="6" hier="-1"/>
    <pageField fld="18" hier="-1"/>
  </pageFields>
  <dataFields count="2">
    <dataField name="% Coverage Permanent Latrine" fld="87" baseField="0" baseItem="0" numFmtId="9"/>
    <dataField name="%  Coverage Emergency latrine" fld="88" baseField="0" baseItem="0" numFmtId="1"/>
  </dataFields>
  <formats count="5">
    <format dxfId="203">
      <pivotArea outline="0" collapsedLevelsAreSubtotals="1" fieldPosition="0"/>
    </format>
    <format dxfId="202">
      <pivotArea field="2" type="button" dataOnly="0" labelOnly="1" outline="0" axis="axisRow" fieldPosition="0"/>
    </format>
    <format dxfId="201">
      <pivotArea dataOnly="0" labelOnly="1" outline="0" fieldPosition="0">
        <references count="1">
          <reference field="4294967294" count="2">
            <x v="0"/>
            <x v="1"/>
          </reference>
        </references>
      </pivotArea>
    </format>
    <format dxfId="200">
      <pivotArea outline="0" collapsedLevelsAreSubtotals="1" fieldPosition="0"/>
    </format>
    <format dxfId="199">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304:D307" firstHeaderRow="0" firstDataRow="1" firstDataCol="1" rowPageCount="2" colPageCount="1"/>
  <pivotFields count="94">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8" hier="-1"/>
  </pageFields>
  <dataFields count="2">
    <dataField name="%Coverage Permanent Latrine" fld="87" baseField="0" baseItem="0" numFmtId="9"/>
    <dataField name="% Coverage Emergency latrine" fld="88" baseField="0" baseItem="0" numFmtId="1"/>
  </dataFields>
  <formats count="5">
    <format dxfId="128">
      <pivotArea outline="0" collapsedLevelsAreSubtotals="1" fieldPosition="0"/>
    </format>
    <format dxfId="127">
      <pivotArea field="7" type="button" dataOnly="0" labelOnly="1" outline="0" axis="axisRow" fieldPosition="0"/>
    </format>
    <format dxfId="126">
      <pivotArea dataOnly="0" labelOnly="1" outline="0" fieldPosition="0">
        <references count="1">
          <reference field="4294967294" count="2">
            <x v="0"/>
            <x v="1"/>
          </reference>
        </references>
      </pivotArea>
    </format>
    <format dxfId="125">
      <pivotArea outline="0" collapsedLevelsAreSubtotals="1" fieldPosition="0"/>
    </format>
    <format dxfId="124">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7">
  <location ref="B322:D325" firstHeaderRow="0" firstDataRow="1" firstDataCol="1" rowPageCount="2"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8" hier="-1"/>
  </pageFields>
  <dataFields count="2">
    <dataField name="% Latrine need coverage" fld="85" baseField="0" baseItem="0" numFmtId="1"/>
    <dataField name="% Projection latrine need coverage EOP" fld="92" baseField="0" baseItem="0" numFmtId="1"/>
  </dataFields>
  <formats count="4">
    <format dxfId="207">
      <pivotArea outline="0" collapsedLevelsAreSubtotals="1" fieldPosition="0"/>
    </format>
    <format dxfId="206">
      <pivotArea outline="0" collapsedLevelsAreSubtotals="1" fieldPosition="0"/>
    </format>
    <format dxfId="205">
      <pivotArea field="7" type="button" dataOnly="0" labelOnly="1" outline="0" axis="axisRow" fieldPosition="0"/>
    </format>
    <format dxfId="204">
      <pivotArea dataOnly="0" labelOnly="1" outline="0" fieldPosition="0">
        <references count="1">
          <reference field="4294967294" count="2">
            <x v="0"/>
            <x v="1"/>
          </reference>
        </references>
      </pivotArea>
    </format>
  </formats>
  <chartFormats count="2">
    <chartFormat chart="36" format="6" series="1">
      <pivotArea type="data" outline="0" fieldPosition="0">
        <references count="1">
          <reference field="4294967294" count="1" selected="0">
            <x v="0"/>
          </reference>
        </references>
      </pivotArea>
    </chartFormat>
    <chartFormat chart="36"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589:E593" firstHeaderRow="1" firstDataRow="2" firstDataCol="1" rowPageCount="1" colPageCount="1"/>
  <pivotFields count="94">
    <pivotField showAll="0"/>
    <pivotField showAll="0"/>
    <pivotField showAll="0"/>
    <pivotField showAll="0"/>
    <pivotField showAll="0"/>
    <pivotField showAll="0"/>
    <pivotField axis="axisPage" multipleItemSelectionAllowed="1" showAll="0">
      <items count="4">
        <item x="0"/>
        <item h="1"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axis="axisCol" dataField="1" showAll="0" defaultSubtotal="0">
      <items count="2">
        <item x="0"/>
        <item x="1"/>
      </items>
    </pivotField>
    <pivotField showAll="0" defaultSubtota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5"/>
  </colFields>
  <colItems count="3">
    <i>
      <x/>
    </i>
    <i>
      <x v="1"/>
    </i>
    <i t="grand">
      <x/>
    </i>
  </colItems>
  <pageFields count="1">
    <pageField fld="6" hier="-1"/>
  </pageFields>
  <dataFields count="1">
    <dataField name="Count of Targetted" fld="15" subtotal="count" baseField="0" baseItem="0" numFmtId="1"/>
  </dataFields>
  <formats count="3">
    <format dxfId="210">
      <pivotArea outline="0" collapsedLevelsAreSubtotals="1" fieldPosition="0"/>
    </format>
    <format dxfId="209">
      <pivotArea outline="0" collapsedLevelsAreSubtotals="1" fieldPosition="0"/>
    </format>
    <format dxfId="208">
      <pivotArea outline="0" fieldPosition="0">
        <references count="1">
          <reference field="4294967294" count="1">
            <x v="0"/>
          </reference>
        </references>
      </pivotArea>
    </format>
  </formats>
  <chartFormats count="6">
    <chartFormat chart="38" format="0" series="1">
      <pivotArea type="data" outline="0" fieldPosition="0">
        <references count="2">
          <reference field="4294967294" count="1" selected="0">
            <x v="0"/>
          </reference>
          <reference field="15" count="1" selected="0">
            <x v="0"/>
          </reference>
        </references>
      </pivotArea>
    </chartFormat>
    <chartFormat chart="38" format="1" series="1">
      <pivotArea type="data" outline="0" fieldPosition="0">
        <references count="2">
          <reference field="4294967294" count="1" selected="0">
            <x v="0"/>
          </reference>
          <reference field="15" count="1" selected="0">
            <x v="1"/>
          </reference>
        </references>
      </pivotArea>
    </chartFormat>
    <chartFormat chart="40" format="2" series="1">
      <pivotArea type="data" outline="0" fieldPosition="0">
        <references count="2">
          <reference field="4294967294" count="1" selected="0">
            <x v="0"/>
          </reference>
          <reference field="15" count="1" selected="0">
            <x v="0"/>
          </reference>
        </references>
      </pivotArea>
    </chartFormat>
    <chartFormat chart="40" format="3" series="1">
      <pivotArea type="data" outline="0" fieldPosition="0">
        <references count="2">
          <reference field="4294967294" count="1" selected="0">
            <x v="0"/>
          </reference>
          <reference field="15" count="1" selected="0">
            <x v="1"/>
          </reference>
        </references>
      </pivotArea>
    </chartFormat>
    <chartFormat chart="41" format="4" series="1">
      <pivotArea type="data" outline="0" fieldPosition="0">
        <references count="2">
          <reference field="4294967294" count="1" selected="0">
            <x v="0"/>
          </reference>
          <reference field="15" count="1" selected="0">
            <x v="0"/>
          </reference>
        </references>
      </pivotArea>
    </chartFormat>
    <chartFormat chart="41" format="5"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64:C470" firstHeaderRow="1" firstDataRow="1" firstDataCol="1" rowPageCount="3"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axis="axisRow" dataField="1" showAll="0">
      <items count="8">
        <item x="0"/>
        <item x="2"/>
        <item x="3"/>
        <item x="1"/>
        <item x="4"/>
        <item m="1" x="6"/>
        <item m="1" x="5"/>
        <item t="default"/>
      </items>
    </pivotField>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5"/>
  </rowFields>
  <rowItems count="6">
    <i>
      <x/>
    </i>
    <i>
      <x v="1"/>
    </i>
    <i>
      <x v="2"/>
    </i>
    <i>
      <x v="3"/>
    </i>
    <i>
      <x v="4"/>
    </i>
    <i t="grand">
      <x/>
    </i>
  </rowItems>
  <colItems count="1">
    <i/>
  </colItems>
  <pageFields count="3">
    <pageField fld="6" hier="-1"/>
    <pageField fld="7" hier="-1"/>
    <pageField fld="18" hier="-1"/>
  </pageFields>
  <dataFields count="1">
    <dataField name="Count of Latrines gender sperated" fld="45" subtotal="count" baseField="0" baseItem="0" numFmtId="1"/>
  </dataFields>
  <formats count="3">
    <format dxfId="213">
      <pivotArea outline="0" collapsedLevelsAreSubtotals="1" fieldPosition="0"/>
    </format>
    <format dxfId="212">
      <pivotArea outline="0" collapsedLevelsAreSubtotals="1" fieldPosition="0"/>
    </format>
    <format dxfId="211">
      <pivotArea outline="0" fieldPosition="0">
        <references count="1">
          <reference field="4294967294" count="1">
            <x v="0"/>
          </reference>
        </references>
      </pivotArea>
    </format>
  </formats>
  <chartFormats count="15">
    <chartFormat chart="30" format="15" series="1">
      <pivotArea type="data" outline="0" fieldPosition="0">
        <references count="1">
          <reference field="4294967294" count="1" selected="0">
            <x v="0"/>
          </reference>
        </references>
      </pivotArea>
    </chartFormat>
    <chartFormat chart="30" format="16">
      <pivotArea type="data" outline="0" fieldPosition="0">
        <references count="2">
          <reference field="4294967294" count="1" selected="0">
            <x v="0"/>
          </reference>
          <reference field="45" count="1" selected="0">
            <x v="0"/>
          </reference>
        </references>
      </pivotArea>
    </chartFormat>
    <chartFormat chart="30" format="17">
      <pivotArea type="data" outline="0" fieldPosition="0">
        <references count="2">
          <reference field="4294967294" count="1" selected="0">
            <x v="0"/>
          </reference>
          <reference field="45" count="1" selected="0">
            <x v="1"/>
          </reference>
        </references>
      </pivotArea>
    </chartFormat>
    <chartFormat chart="30" format="18">
      <pivotArea type="data" outline="0" fieldPosition="0">
        <references count="2">
          <reference field="4294967294" count="1" selected="0">
            <x v="0"/>
          </reference>
          <reference field="45" count="1" selected="0">
            <x v="2"/>
          </reference>
        </references>
      </pivotArea>
    </chartFormat>
    <chartFormat chart="30" format="19">
      <pivotArea type="data" outline="0" fieldPosition="0">
        <references count="2">
          <reference field="4294967294" count="1" selected="0">
            <x v="0"/>
          </reference>
          <reference field="45" count="1" selected="0">
            <x v="3"/>
          </reference>
        </references>
      </pivotArea>
    </chartFormat>
    <chartFormat chart="30" format="20">
      <pivotArea type="data" outline="0" fieldPosition="0">
        <references count="2">
          <reference field="4294967294" count="1" selected="0">
            <x v="0"/>
          </reference>
          <reference field="45" count="1" selected="0">
            <x v="6"/>
          </reference>
        </references>
      </pivotArea>
    </chartFormat>
    <chartFormat chart="30" format="21">
      <pivotArea type="data" outline="0" fieldPosition="0">
        <references count="2">
          <reference field="4294967294" count="1" selected="0">
            <x v="0"/>
          </reference>
          <reference field="45" count="1" selected="0">
            <x v="4"/>
          </reference>
        </references>
      </pivotArea>
    </chartFormat>
    <chartFormat chart="30" format="22">
      <pivotArea type="data" outline="0" fieldPosition="0">
        <references count="2">
          <reference field="4294967294" count="1" selected="0">
            <x v="0"/>
          </reference>
          <reference field="45" count="1" selected="0">
            <x v="5"/>
          </reference>
        </references>
      </pivotArea>
    </chartFormat>
    <chartFormat chart="35" format="30" series="1">
      <pivotArea type="data" outline="0" fieldPosition="0">
        <references count="1">
          <reference field="4294967294" count="1" selected="0">
            <x v="0"/>
          </reference>
        </references>
      </pivotArea>
    </chartFormat>
    <chartFormat chart="35" format="31">
      <pivotArea type="data" outline="0" fieldPosition="0">
        <references count="2">
          <reference field="4294967294" count="1" selected="0">
            <x v="0"/>
          </reference>
          <reference field="45" count="1" selected="0">
            <x v="0"/>
          </reference>
        </references>
      </pivotArea>
    </chartFormat>
    <chartFormat chart="35" format="32">
      <pivotArea type="data" outline="0" fieldPosition="0">
        <references count="2">
          <reference field="4294967294" count="1" selected="0">
            <x v="0"/>
          </reference>
          <reference field="45" count="1" selected="0">
            <x v="1"/>
          </reference>
        </references>
      </pivotArea>
    </chartFormat>
    <chartFormat chart="35" format="33">
      <pivotArea type="data" outline="0" fieldPosition="0">
        <references count="2">
          <reference field="4294967294" count="1" selected="0">
            <x v="0"/>
          </reference>
          <reference field="45" count="1" selected="0">
            <x v="2"/>
          </reference>
        </references>
      </pivotArea>
    </chartFormat>
    <chartFormat chart="35" format="34">
      <pivotArea type="data" outline="0" fieldPosition="0">
        <references count="2">
          <reference field="4294967294" count="1" selected="0">
            <x v="0"/>
          </reference>
          <reference field="45" count="1" selected="0">
            <x v="3"/>
          </reference>
        </references>
      </pivotArea>
    </chartFormat>
    <chartFormat chart="35" format="35">
      <pivotArea type="data" outline="0" fieldPosition="0">
        <references count="2">
          <reference field="4294967294" count="1" selected="0">
            <x v="0"/>
          </reference>
          <reference field="45" count="1" selected="0">
            <x v="4"/>
          </reference>
        </references>
      </pivotArea>
    </chartFormat>
    <chartFormat chart="35" format="36">
      <pivotArea type="data" outline="0" fieldPosition="0">
        <references count="2">
          <reference field="4294967294" count="1" selected="0">
            <x v="0"/>
          </reference>
          <reference field="45"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610:E622" firstHeaderRow="1" firstDataRow="2" firstDataCol="1" rowPageCount="2" colPageCount="1"/>
  <pivotFields count="94">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axis="axisCol" dataField="1" showAll="0" defaultSubtotal="0">
      <items count="2">
        <item x="0"/>
        <item x="1"/>
      </items>
    </pivotField>
    <pivotField showAll="0" defaultSubtota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5"/>
  </colFields>
  <colItems count="3">
    <i>
      <x/>
    </i>
    <i>
      <x v="1"/>
    </i>
    <i t="grand">
      <x/>
    </i>
  </colItems>
  <pageFields count="2">
    <pageField fld="6" hier="-1"/>
    <pageField fld="7" hier="-1"/>
  </pageFields>
  <dataFields count="1">
    <dataField name="Count of Targetted" fld="15" subtotal="count" baseField="0" baseItem="0" numFmtId="1"/>
  </dataFields>
  <formats count="3">
    <format dxfId="216">
      <pivotArea outline="0" collapsedLevelsAreSubtotals="1" fieldPosition="0"/>
    </format>
    <format dxfId="215">
      <pivotArea outline="0" collapsedLevelsAreSubtotals="1" fieldPosition="0"/>
    </format>
    <format dxfId="214">
      <pivotArea outline="0" fieldPosition="0">
        <references count="1">
          <reference field="4294967294" count="1">
            <x v="0"/>
          </reference>
        </references>
      </pivotArea>
    </format>
  </formats>
  <chartFormats count="4">
    <chartFormat chart="38" format="0" series="1">
      <pivotArea type="data" outline="0" fieldPosition="0">
        <references count="2">
          <reference field="4294967294" count="1" selected="0">
            <x v="0"/>
          </reference>
          <reference field="15" count="1" selected="0">
            <x v="0"/>
          </reference>
        </references>
      </pivotArea>
    </chartFormat>
    <chartFormat chart="38" format="1" series="1">
      <pivotArea type="data" outline="0" fieldPosition="0">
        <references count="2">
          <reference field="4294967294" count="1" selected="0">
            <x v="0"/>
          </reference>
          <reference field="15" count="1" selected="0">
            <x v="1"/>
          </reference>
        </references>
      </pivotArea>
    </chartFormat>
    <chartFormat chart="40" format="0" series="1">
      <pivotArea type="data" outline="0" fieldPosition="0">
        <references count="2">
          <reference field="4294967294" count="1" selected="0">
            <x v="0"/>
          </reference>
          <reference field="15" count="1" selected="0">
            <x v="0"/>
          </reference>
        </references>
      </pivotArea>
    </chartFormat>
    <chartFormat chart="40" format="1"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7:E141" firstHeaderRow="0" firstDataRow="1" firstDataCol="1" rowPageCount="3" colPageCount="1"/>
  <pivotFields count="94">
    <pivotField axis="axisPage"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Row"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2"/>
    </i>
    <i t="grand">
      <x/>
    </i>
  </rowItems>
  <colFields count="1">
    <field x="-2"/>
  </colFields>
  <colItems count="3">
    <i>
      <x/>
    </i>
    <i i="1">
      <x v="1"/>
    </i>
    <i i="2">
      <x v="2"/>
    </i>
  </colItems>
  <pageFields count="3">
    <pageField fld="7" hier="-1"/>
    <pageField fld="0" hier="-1"/>
    <pageField fld="18" hier="-1"/>
  </pageFields>
  <dataFields count="3">
    <dataField name="% Water Need coverage" fld="84" baseField="0" baseItem="0" numFmtId="1"/>
    <dataField name="% Latrine need coverage" fld="85" baseField="0" baseItem="0" numFmtId="1"/>
    <dataField name="% Bathroom need coverage" fld="86" baseField="0" baseItem="0" numFmtId="1"/>
  </dataFields>
  <formats count="5">
    <format dxfId="221">
      <pivotArea outline="0" collapsedLevelsAreSubtotals="1" fieldPosition="0"/>
    </format>
    <format dxfId="220">
      <pivotArea field="6" type="button" dataOnly="0" labelOnly="1" outline="0" axis="axisRow" fieldPosition="0"/>
    </format>
    <format dxfId="219">
      <pivotArea dataOnly="0" labelOnly="1" outline="0" fieldPosition="0">
        <references count="1">
          <reference field="4294967294" count="3">
            <x v="0"/>
            <x v="1"/>
            <x v="2"/>
          </reference>
        </references>
      </pivotArea>
    </format>
    <format dxfId="218">
      <pivotArea outline="0" collapsedLevelsAreSubtotals="1" fieldPosition="0"/>
    </format>
    <format dxfId="217">
      <pivotArea dataOnly="0" labelOnly="1" outline="0" fieldPosition="0">
        <references count="1">
          <reference field="4294967294" count="3">
            <x v="0"/>
            <x v="1"/>
            <x v="2"/>
          </reference>
        </references>
      </pivotArea>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0"/>
          </reference>
        </references>
      </pivotArea>
    </chartFormat>
    <chartFormat chart="6" format="19" series="1">
      <pivotArea type="data" outline="0" fieldPosition="0">
        <references count="1">
          <reference field="4294967294" count="1" selected="0">
            <x v="1"/>
          </reference>
        </references>
      </pivotArea>
    </chartFormat>
    <chartFormat chart="6"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4">
  <location ref="B482:B485" firstHeaderRow="1" firstDataRow="1" firstDataCol="1" rowPageCount="2"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2">
    <pageField fld="6" hier="-1"/>
    <pageField fld="18" hier="-1"/>
  </pageFields>
  <formats count="4">
    <format dxfId="225">
      <pivotArea outline="0" collapsedLevelsAreSubtotals="1" fieldPosition="0"/>
    </format>
    <format dxfId="224">
      <pivotArea dataOnly="0" labelOnly="1" outline="0" axis="axisValues" fieldPosition="0"/>
    </format>
    <format dxfId="223">
      <pivotArea outline="0" collapsedLevelsAreSubtotals="1" fieldPosition="0"/>
    </format>
    <format dxfId="22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81:E685" firstHeaderRow="1" firstDataRow="2" firstDataCol="1" rowPageCount="2" colPageCount="1"/>
  <pivotFields count="94">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8"/>
  </colFields>
  <colItems count="3">
    <i>
      <x/>
    </i>
    <i>
      <x v="1"/>
    </i>
    <i t="grand">
      <x/>
    </i>
  </colItems>
  <pageFields count="2">
    <pageField fld="6" hier="-1"/>
    <pageField fld="2" hier="-1"/>
  </pageFields>
  <dataFields count="1">
    <dataField name="Count of Documented" fld="18" subtotal="count" baseField="0" baseItem="0"/>
  </dataFields>
  <formats count="3">
    <format dxfId="228">
      <pivotArea outline="0" collapsedLevelsAreSubtotals="1" fieldPosition="0"/>
    </format>
    <format dxfId="227">
      <pivotArea outline="0" collapsedLevelsAreSubtotals="1" fieldPosition="0"/>
    </format>
    <format dxfId="226">
      <pivotArea outline="0" collapsedLevelsAreSubtotals="1" fieldPosition="0"/>
    </format>
  </formats>
  <chartFormats count="2">
    <chartFormat chart="48" format="0" series="1">
      <pivotArea type="data" outline="0" fieldPosition="0">
        <references count="2">
          <reference field="4294967294" count="1" selected="0">
            <x v="0"/>
          </reference>
          <reference field="18" count="1" selected="0">
            <x v="0"/>
          </reference>
        </references>
      </pivotArea>
    </chartFormat>
    <chartFormat chart="48" format="1"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221:M225" firstHeaderRow="1" firstDataRow="2" firstDataCol="1" rowPageCount="2" colPageCount="1"/>
  <pivotFields count="94">
    <pivotField showAll="0"/>
    <pivotField showAll="0"/>
    <pivotField axis="axisCol"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11">
    <i>
      <x/>
    </i>
    <i>
      <x v="1"/>
    </i>
    <i>
      <x v="2"/>
    </i>
    <i>
      <x v="3"/>
    </i>
    <i>
      <x v="4"/>
    </i>
    <i>
      <x v="5"/>
    </i>
    <i>
      <x v="6"/>
    </i>
    <i>
      <x v="7"/>
    </i>
    <i>
      <x v="8"/>
    </i>
    <i>
      <x v="9"/>
    </i>
    <i t="grand">
      <x/>
    </i>
  </colItems>
  <pageFields count="2">
    <pageField fld="6" hier="-1"/>
    <pageField fld="18" hier="-1"/>
  </pageFields>
  <dataFields count="1">
    <dataField name="Sum of # Semi permanent latrines missing" fld="55" baseField="0" baseItem="0" numFmtId="1"/>
  </dataFields>
  <formats count="4">
    <format dxfId="232">
      <pivotArea outline="0" collapsedLevelsAreSubtotals="1" fieldPosition="0"/>
    </format>
    <format dxfId="231">
      <pivotArea outline="0" collapsedLevelsAreSubtotals="1" fieldPosition="0"/>
    </format>
    <format dxfId="230">
      <pivotArea dataOnly="0" labelOnly="1" fieldPosition="0">
        <references count="1">
          <reference field="2" count="0"/>
        </references>
      </pivotArea>
    </format>
    <format dxfId="229">
      <pivotArea dataOnly="0" labelOnly="1" grandCol="1" outline="0" fieldPosition="0"/>
    </format>
  </formats>
  <chartFormats count="24">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4" format="0" series="1">
      <pivotArea type="data" outline="0" fieldPosition="0">
        <references count="2">
          <reference field="4294967294" count="1" selected="0">
            <x v="0"/>
          </reference>
          <reference field="2" count="1" selected="0">
            <x v="0"/>
          </reference>
        </references>
      </pivotArea>
    </chartFormat>
    <chartFormat chart="14" format="1" series="1">
      <pivotArea type="data" outline="0" fieldPosition="0">
        <references count="2">
          <reference field="4294967294" count="1" selected="0">
            <x v="0"/>
          </reference>
          <reference field="2" count="1" selected="0">
            <x v="1"/>
          </reference>
        </references>
      </pivotArea>
    </chartFormat>
    <chartFormat chart="14" format="2" series="1">
      <pivotArea type="data" outline="0" fieldPosition="0">
        <references count="2">
          <reference field="4294967294" count="1" selected="0">
            <x v="0"/>
          </reference>
          <reference field="2" count="1" selected="0">
            <x v="2"/>
          </reference>
        </references>
      </pivotArea>
    </chartFormat>
    <chartFormat chart="14" format="3" series="1">
      <pivotArea type="data" outline="0" fieldPosition="0">
        <references count="2">
          <reference field="4294967294" count="1" selected="0">
            <x v="0"/>
          </reference>
          <reference field="2" count="1" selected="0">
            <x v="3"/>
          </reference>
        </references>
      </pivotArea>
    </chartFormat>
    <chartFormat chart="14" format="4" series="1">
      <pivotArea type="data" outline="0" fieldPosition="0">
        <references count="2">
          <reference field="4294967294" count="1" selected="0">
            <x v="0"/>
          </reference>
          <reference field="2" count="1" selected="0">
            <x v="4"/>
          </reference>
        </references>
      </pivotArea>
    </chartFormat>
    <chartFormat chart="14" format="5" series="1">
      <pivotArea type="data" outline="0" fieldPosition="0">
        <references count="2">
          <reference field="4294967294" count="1" selected="0">
            <x v="0"/>
          </reference>
          <reference field="2" count="1" selected="0">
            <x v="5"/>
          </reference>
        </references>
      </pivotArea>
    </chartFormat>
    <chartFormat chart="14" format="6" series="1">
      <pivotArea type="data" outline="0" fieldPosition="0">
        <references count="2">
          <reference field="4294967294" count="1" selected="0">
            <x v="0"/>
          </reference>
          <reference field="2" count="1" selected="0">
            <x v="6"/>
          </reference>
        </references>
      </pivotArea>
    </chartFormat>
    <chartFormat chart="14" format="7" series="1">
      <pivotArea type="data" outline="0" fieldPosition="0">
        <references count="2">
          <reference field="4294967294" count="1" selected="0">
            <x v="0"/>
          </reference>
          <reference field="2" count="1" selected="0">
            <x v="7"/>
          </reference>
        </references>
      </pivotArea>
    </chartFormat>
    <chartFormat chart="14" format="8" series="1">
      <pivotArea type="data" outline="0" fieldPosition="0">
        <references count="2">
          <reference field="4294967294" count="1" selected="0">
            <x v="0"/>
          </reference>
          <reference field="2" count="1" selected="0">
            <x v="8"/>
          </reference>
        </references>
      </pivotArea>
    </chartFormat>
    <chartFormat chart="14" format="9" series="1">
      <pivotArea type="data" outline="0" fieldPosition="0">
        <references count="2">
          <reference field="4294967294" count="1" selected="0">
            <x v="0"/>
          </reference>
          <reference field="2" count="1" selected="0">
            <x v="9"/>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1"/>
          </reference>
        </references>
      </pivotArea>
    </chartFormat>
    <chartFormat chart="16" format="2" series="1">
      <pivotArea type="data" outline="0" fieldPosition="0">
        <references count="2">
          <reference field="4294967294" count="1" selected="0">
            <x v="0"/>
          </reference>
          <reference field="2" count="1" selected="0">
            <x v="2"/>
          </reference>
        </references>
      </pivotArea>
    </chartFormat>
    <chartFormat chart="16" format="3" series="1">
      <pivotArea type="data" outline="0" fieldPosition="0">
        <references count="2">
          <reference field="4294967294" count="1" selected="0">
            <x v="0"/>
          </reference>
          <reference field="2" count="1" selected="0">
            <x v="3"/>
          </reference>
        </references>
      </pivotArea>
    </chartFormat>
    <chartFormat chart="16" format="4" series="1">
      <pivotArea type="data" outline="0" fieldPosition="0">
        <references count="2">
          <reference field="4294967294" count="1" selected="0">
            <x v="0"/>
          </reference>
          <reference field="2" count="1" selected="0">
            <x v="4"/>
          </reference>
        </references>
      </pivotArea>
    </chartFormat>
    <chartFormat chart="16" format="5" series="1">
      <pivotArea type="data" outline="0" fieldPosition="0">
        <references count="2">
          <reference field="4294967294" count="1" selected="0">
            <x v="0"/>
          </reference>
          <reference field="2" count="1" selected="0">
            <x v="5"/>
          </reference>
        </references>
      </pivotArea>
    </chartFormat>
    <chartFormat chart="16" format="6" series="1">
      <pivotArea type="data" outline="0" fieldPosition="0">
        <references count="2">
          <reference field="4294967294" count="1" selected="0">
            <x v="0"/>
          </reference>
          <reference field="2" count="1" selected="0">
            <x v="6"/>
          </reference>
        </references>
      </pivotArea>
    </chartFormat>
    <chartFormat chart="16" format="7" series="1">
      <pivotArea type="data" outline="0" fieldPosition="0">
        <references count="2">
          <reference field="4294967294" count="1" selected="0">
            <x v="0"/>
          </reference>
          <reference field="2" count="1" selected="0">
            <x v="7"/>
          </reference>
        </references>
      </pivotArea>
    </chartFormat>
    <chartFormat chart="16" format="8" series="1">
      <pivotArea type="data" outline="0" fieldPosition="0">
        <references count="2">
          <reference field="4294967294" count="1" selected="0">
            <x v="0"/>
          </reference>
          <reference field="2" count="1" selected="0">
            <x v="8"/>
          </reference>
        </references>
      </pivotArea>
    </chartFormat>
    <chartFormat chart="16" format="9" series="1">
      <pivotArea type="data" outline="0" fieldPosition="0">
        <references count="2">
          <reference field="4294967294" count="1" selected="0">
            <x v="0"/>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737:F804" firstHeaderRow="0" firstDataRow="1" firstDataCol="1" rowPageCount="2" colPageCount="1"/>
  <pivotFields count="94">
    <pivotField axis="axisPage" showAll="0">
      <items count="21">
        <item x="9"/>
        <item x="0"/>
        <item x="1"/>
        <item x="2"/>
        <item x="14"/>
        <item m="1" x="18"/>
        <item x="10"/>
        <item x="16"/>
        <item x="3"/>
        <item x="4"/>
        <item x="5"/>
        <item x="12"/>
        <item x="6"/>
        <item x="13"/>
        <item x="17"/>
        <item x="7"/>
        <item x="11"/>
        <item m="1" x="19"/>
        <item x="8"/>
        <item x="15"/>
        <item t="default"/>
      </items>
    </pivotField>
    <pivotField showAll="0"/>
    <pivotField axis="axisRow" showAll="0">
      <items count="11">
        <item x="1"/>
        <item x="5"/>
        <item x="2"/>
        <item x="6"/>
        <item x="4"/>
        <item x="3"/>
        <item x="7"/>
        <item x="8"/>
        <item x="9"/>
        <item x="0"/>
        <item t="default"/>
      </items>
    </pivotField>
    <pivotField showAll="0"/>
    <pivotField showAll="0"/>
    <pivotField showAll="0"/>
    <pivotField axis="axisRow" dataField="1"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defaultSubtotal="0"/>
    <pivotField showAll="0"/>
    <pivotField axis="axisRow" showAll="0">
      <items count="10">
        <item x="6"/>
        <item x="1"/>
        <item x="2"/>
        <item x="4"/>
        <item x="3"/>
        <item x="8"/>
        <item x="0"/>
        <item x="5"/>
        <item x="7"/>
        <item t="default"/>
      </items>
    </pivotField>
    <pivotField showAll="0" defaultSubtotal="0"/>
    <pivotField showAll="0" defaultSubtota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14"/>
    <field x="6"/>
    <field x="2"/>
  </rowFields>
  <rowItems count="67">
    <i>
      <x/>
    </i>
    <i r="1">
      <x/>
    </i>
    <i r="2">
      <x v="5"/>
    </i>
    <i r="1">
      <x v="2"/>
    </i>
    <i r="2">
      <x v="3"/>
    </i>
    <i>
      <x v="1"/>
    </i>
    <i r="1">
      <x/>
    </i>
    <i r="2">
      <x/>
    </i>
    <i r="2">
      <x v="1"/>
    </i>
    <i r="2">
      <x v="2"/>
    </i>
    <i r="2">
      <x v="4"/>
    </i>
    <i r="2">
      <x v="9"/>
    </i>
    <i>
      <x v="2"/>
    </i>
    <i r="1">
      <x/>
    </i>
    <i r="2">
      <x/>
    </i>
    <i r="2">
      <x v="1"/>
    </i>
    <i r="2">
      <x v="2"/>
    </i>
    <i r="2">
      <x v="4"/>
    </i>
    <i r="2">
      <x v="5"/>
    </i>
    <i r="2">
      <x v="6"/>
    </i>
    <i r="2">
      <x v="7"/>
    </i>
    <i r="2">
      <x v="8"/>
    </i>
    <i r="2">
      <x v="9"/>
    </i>
    <i r="1">
      <x v="1"/>
    </i>
    <i r="2">
      <x v="9"/>
    </i>
    <i>
      <x v="3"/>
    </i>
    <i r="1">
      <x/>
    </i>
    <i r="2">
      <x v="3"/>
    </i>
    <i r="2">
      <x v="4"/>
    </i>
    <i r="2">
      <x v="6"/>
    </i>
    <i r="2">
      <x v="7"/>
    </i>
    <i r="2">
      <x v="8"/>
    </i>
    <i r="1">
      <x v="1"/>
    </i>
    <i r="2">
      <x v="4"/>
    </i>
    <i r="1">
      <x v="2"/>
    </i>
    <i r="2">
      <x v="4"/>
    </i>
    <i>
      <x v="4"/>
    </i>
    <i r="1">
      <x/>
    </i>
    <i r="2">
      <x/>
    </i>
    <i r="2">
      <x v="9"/>
    </i>
    <i r="1">
      <x v="1"/>
    </i>
    <i r="2">
      <x v="5"/>
    </i>
    <i r="1">
      <x v="2"/>
    </i>
    <i r="2">
      <x v="2"/>
    </i>
    <i r="2">
      <x v="3"/>
    </i>
    <i r="2">
      <x v="8"/>
    </i>
    <i r="2">
      <x v="9"/>
    </i>
    <i>
      <x v="5"/>
    </i>
    <i r="1">
      <x/>
    </i>
    <i r="2">
      <x v="6"/>
    </i>
    <i>
      <x v="6"/>
    </i>
    <i r="1">
      <x/>
    </i>
    <i r="2">
      <x/>
    </i>
    <i r="2">
      <x v="1"/>
    </i>
    <i r="2">
      <x v="9"/>
    </i>
    <i>
      <x v="7"/>
    </i>
    <i r="1">
      <x/>
    </i>
    <i r="2">
      <x v="3"/>
    </i>
    <i r="2">
      <x v="5"/>
    </i>
    <i>
      <x v="8"/>
    </i>
    <i r="1">
      <x/>
    </i>
    <i r="2">
      <x v="5"/>
    </i>
    <i r="1">
      <x v="1"/>
    </i>
    <i r="2">
      <x v="5"/>
    </i>
    <i r="1">
      <x v="2"/>
    </i>
    <i r="2">
      <x v="5"/>
    </i>
    <i t="grand">
      <x/>
    </i>
  </rowItems>
  <colFields count="1">
    <field x="-2"/>
  </colFields>
  <colItems count="4">
    <i>
      <x/>
    </i>
    <i i="1">
      <x v="1"/>
    </i>
    <i i="2">
      <x v="2"/>
    </i>
    <i i="3">
      <x v="3"/>
    </i>
  </colItems>
  <pageFields count="2">
    <pageField fld="7" hier="-1"/>
    <pageField fld="0" hier="-1"/>
  </pageFields>
  <dataFields count="4">
    <dataField name="Nb of sites" fld="6" subtotal="count" baseField="0" baseItem="0"/>
    <dataField name="Population targetted" fld="10" baseField="0" baseItem="0"/>
    <dataField name="% Water Need coverage" fld="84" baseField="0" baseItem="0" numFmtId="9"/>
    <dataField name="% Latrine need coverage" fld="85" baseField="0" baseItem="0"/>
  </dataFields>
  <formats count="45">
    <format dxfId="277">
      <pivotArea outline="0" collapsedLevelsAreSubtotals="1" fieldPosition="0"/>
    </format>
    <format dxfId="276">
      <pivotArea outline="0" collapsedLevelsAreSubtotals="1" fieldPosition="0"/>
    </format>
    <format dxfId="275">
      <pivotArea outline="0" collapsedLevelsAreSubtotals="1" fieldPosition="0"/>
    </format>
    <format dxfId="274">
      <pivotArea outline="0" collapsedLevelsAreSubtotals="1" fieldPosition="0">
        <references count="2">
          <reference field="4294967294" count="2" selected="0">
            <x v="2"/>
            <x v="3"/>
          </reference>
          <reference field="6" count="1" selected="0">
            <x v="0"/>
          </reference>
        </references>
      </pivotArea>
    </format>
    <format dxfId="273">
      <pivotArea dataOnly="0" labelOnly="1" fieldPosition="0">
        <references count="1">
          <reference field="6" count="1">
            <x v="1"/>
          </reference>
        </references>
      </pivotArea>
    </format>
    <format dxfId="272">
      <pivotArea dataOnly="0" labelOnly="1" fieldPosition="0">
        <references count="1">
          <reference field="6" count="1">
            <x v="0"/>
          </reference>
        </references>
      </pivotArea>
    </format>
    <format dxfId="271">
      <pivotArea outline="0" collapsedLevelsAreSubtotals="1" fieldPosition="0">
        <references count="2">
          <reference field="4294967294" count="2" selected="0">
            <x v="2"/>
            <x v="3"/>
          </reference>
          <reference field="6" count="1" selected="0">
            <x v="1"/>
          </reference>
        </references>
      </pivotArea>
    </format>
    <format dxfId="270">
      <pivotArea outline="0" fieldPosition="0">
        <references count="1">
          <reference field="4294967294" count="1">
            <x v="2"/>
          </reference>
        </references>
      </pivotArea>
    </format>
    <format dxfId="269">
      <pivotArea field="14" type="button" dataOnly="0" labelOnly="1" outline="0" axis="axisRow" fieldPosition="0"/>
    </format>
    <format dxfId="268">
      <pivotArea field="6" dataOnly="0" labelOnly="1" outline="0" axis="axisRow" fieldPosition="1">
        <references count="1">
          <reference field="4294967294" count="1" selected="0">
            <x v="0"/>
          </reference>
        </references>
      </pivotArea>
    </format>
    <format dxfId="267">
      <pivotArea field="6" dataOnly="0" labelOnly="1" outline="0" axis="axisRow" fieldPosition="1">
        <references count="1">
          <reference field="4294967294" count="1" selected="0">
            <x v="1"/>
          </reference>
        </references>
      </pivotArea>
    </format>
    <format dxfId="266">
      <pivotArea field="6" dataOnly="0" labelOnly="1" outline="0" axis="axisRow" fieldPosition="1">
        <references count="1">
          <reference field="4294967294" count="1" selected="0">
            <x v="2"/>
          </reference>
        </references>
      </pivotArea>
    </format>
    <format dxfId="265">
      <pivotArea field="6" dataOnly="0" labelOnly="1" outline="0" axis="axisRow" fieldPosition="1">
        <references count="1">
          <reference field="4294967294" count="1" selected="0">
            <x v="3"/>
          </reference>
        </references>
      </pivotArea>
    </format>
    <format dxfId="264">
      <pivotArea dataOnly="0" labelOnly="1" outline="0" fieldPosition="0">
        <references count="2">
          <reference field="4294967294" count="4">
            <x v="0"/>
            <x v="1"/>
            <x v="2"/>
            <x v="3"/>
          </reference>
          <reference field="6" count="1" selected="0">
            <x v="0"/>
          </reference>
        </references>
      </pivotArea>
    </format>
    <format dxfId="263">
      <pivotArea dataOnly="0" labelOnly="1" outline="0" fieldPosition="0">
        <references count="2">
          <reference field="4294967294" count="4">
            <x v="0"/>
            <x v="1"/>
            <x v="2"/>
            <x v="3"/>
          </reference>
          <reference field="6" count="1" selected="0">
            <x v="1"/>
          </reference>
        </references>
      </pivotArea>
    </format>
    <format dxfId="262">
      <pivotArea dataOnly="0" labelOnly="1" outline="0" fieldPosition="0">
        <references count="2">
          <reference field="4294967294" count="4">
            <x v="0"/>
            <x v="1"/>
            <x v="2"/>
            <x v="3"/>
          </reference>
          <reference field="6" count="1" selected="0">
            <x v="2"/>
          </reference>
        </references>
      </pivotArea>
    </format>
    <format dxfId="261">
      <pivotArea field="14" type="button" dataOnly="0" labelOnly="1" outline="0" axis="axisRow" fieldPosition="0"/>
    </format>
    <format dxfId="260">
      <pivotArea field="6" dataOnly="0" labelOnly="1" outline="0" axis="axisRow" fieldPosition="1">
        <references count="1">
          <reference field="4294967294" count="1" selected="0">
            <x v="0"/>
          </reference>
        </references>
      </pivotArea>
    </format>
    <format dxfId="259">
      <pivotArea field="6" dataOnly="0" labelOnly="1" outline="0" axis="axisRow" fieldPosition="1">
        <references count="1">
          <reference field="4294967294" count="1" selected="0">
            <x v="1"/>
          </reference>
        </references>
      </pivotArea>
    </format>
    <format dxfId="258">
      <pivotArea field="6" dataOnly="0" labelOnly="1" outline="0" axis="axisRow" fieldPosition="1">
        <references count="1">
          <reference field="4294967294" count="1" selected="0">
            <x v="2"/>
          </reference>
        </references>
      </pivotArea>
    </format>
    <format dxfId="257">
      <pivotArea field="6" dataOnly="0" labelOnly="1" outline="0" axis="axisRow" fieldPosition="1">
        <references count="1">
          <reference field="4294967294" count="1" selected="0">
            <x v="3"/>
          </reference>
        </references>
      </pivotArea>
    </format>
    <format dxfId="256">
      <pivotArea dataOnly="0" labelOnly="1" outline="0" fieldPosition="0">
        <references count="2">
          <reference field="4294967294" count="4">
            <x v="0"/>
            <x v="1"/>
            <x v="2"/>
            <x v="3"/>
          </reference>
          <reference field="6" count="1" selected="0">
            <x v="0"/>
          </reference>
        </references>
      </pivotArea>
    </format>
    <format dxfId="255">
      <pivotArea dataOnly="0" labelOnly="1" outline="0" fieldPosition="0">
        <references count="2">
          <reference field="4294967294" count="4">
            <x v="0"/>
            <x v="1"/>
            <x v="2"/>
            <x v="3"/>
          </reference>
          <reference field="6" count="1" selected="0">
            <x v="1"/>
          </reference>
        </references>
      </pivotArea>
    </format>
    <format dxfId="254">
      <pivotArea dataOnly="0" labelOnly="1" outline="0" fieldPosition="0">
        <references count="2">
          <reference field="4294967294" count="4">
            <x v="0"/>
            <x v="1"/>
            <x v="2"/>
            <x v="3"/>
          </reference>
          <reference field="6" count="1" selected="0">
            <x v="2"/>
          </reference>
        </references>
      </pivotArea>
    </format>
    <format dxfId="253">
      <pivotArea field="14" type="button" dataOnly="0" labelOnly="1" outline="0" axis="axisRow" fieldPosition="0"/>
    </format>
    <format dxfId="252">
      <pivotArea field="6" dataOnly="0" labelOnly="1" outline="0" axis="axisRow" fieldPosition="1">
        <references count="1">
          <reference field="4294967294" count="1" selected="0">
            <x v="0"/>
          </reference>
        </references>
      </pivotArea>
    </format>
    <format dxfId="251">
      <pivotArea field="6" dataOnly="0" labelOnly="1" outline="0" axis="axisRow" fieldPosition="1">
        <references count="1">
          <reference field="4294967294" count="1" selected="0">
            <x v="1"/>
          </reference>
        </references>
      </pivotArea>
    </format>
    <format dxfId="250">
      <pivotArea field="6" dataOnly="0" labelOnly="1" outline="0" axis="axisRow" fieldPosition="1">
        <references count="1">
          <reference field="4294967294" count="1" selected="0">
            <x v="2"/>
          </reference>
        </references>
      </pivotArea>
    </format>
    <format dxfId="249">
      <pivotArea field="6" dataOnly="0" labelOnly="1" outline="0" axis="axisRow" fieldPosition="1">
        <references count="1">
          <reference field="4294967294" count="1" selected="0">
            <x v="3"/>
          </reference>
        </references>
      </pivotArea>
    </format>
    <format dxfId="248">
      <pivotArea dataOnly="0" labelOnly="1" outline="0" fieldPosition="0">
        <references count="2">
          <reference field="4294967294" count="4">
            <x v="0"/>
            <x v="1"/>
            <x v="2"/>
            <x v="3"/>
          </reference>
          <reference field="6" count="1" selected="0">
            <x v="0"/>
          </reference>
        </references>
      </pivotArea>
    </format>
    <format dxfId="247">
      <pivotArea dataOnly="0" labelOnly="1" outline="0" fieldPosition="0">
        <references count="2">
          <reference field="4294967294" count="4">
            <x v="0"/>
            <x v="1"/>
            <x v="2"/>
            <x v="3"/>
          </reference>
          <reference field="6" count="1" selected="0">
            <x v="1"/>
          </reference>
        </references>
      </pivotArea>
    </format>
    <format dxfId="246">
      <pivotArea dataOnly="0" labelOnly="1" outline="0" fieldPosition="0">
        <references count="2">
          <reference field="4294967294" count="4">
            <x v="0"/>
            <x v="1"/>
            <x v="2"/>
            <x v="3"/>
          </reference>
          <reference field="6" count="1" selected="0">
            <x v="2"/>
          </reference>
        </references>
      </pivotArea>
    </format>
    <format dxfId="245">
      <pivotArea field="14" type="button" dataOnly="0" labelOnly="1" outline="0" axis="axisRow" fieldPosition="0"/>
    </format>
    <format dxfId="244">
      <pivotArea field="6" dataOnly="0" labelOnly="1" outline="0" axis="axisRow" fieldPosition="1">
        <references count="1">
          <reference field="4294967294" count="1" selected="0">
            <x v="0"/>
          </reference>
        </references>
      </pivotArea>
    </format>
    <format dxfId="243">
      <pivotArea field="6" dataOnly="0" labelOnly="1" outline="0" axis="axisRow" fieldPosition="1">
        <references count="1">
          <reference field="4294967294" count="1" selected="0">
            <x v="1"/>
          </reference>
        </references>
      </pivotArea>
    </format>
    <format dxfId="242">
      <pivotArea field="6" dataOnly="0" labelOnly="1" outline="0" axis="axisRow" fieldPosition="1">
        <references count="1">
          <reference field="4294967294" count="1" selected="0">
            <x v="2"/>
          </reference>
        </references>
      </pivotArea>
    </format>
    <format dxfId="241">
      <pivotArea field="6" dataOnly="0" labelOnly="1" outline="0" axis="axisRow" fieldPosition="1">
        <references count="1">
          <reference field="4294967294" count="1" selected="0">
            <x v="3"/>
          </reference>
        </references>
      </pivotArea>
    </format>
    <format dxfId="240">
      <pivotArea dataOnly="0" labelOnly="1" outline="0" fieldPosition="0">
        <references count="2">
          <reference field="4294967294" count="4">
            <x v="0"/>
            <x v="1"/>
            <x v="2"/>
            <x v="3"/>
          </reference>
          <reference field="6" count="1" selected="0">
            <x v="0"/>
          </reference>
        </references>
      </pivotArea>
    </format>
    <format dxfId="239">
      <pivotArea dataOnly="0" labelOnly="1" outline="0" fieldPosition="0">
        <references count="2">
          <reference field="4294967294" count="4">
            <x v="0"/>
            <x v="1"/>
            <x v="2"/>
            <x v="3"/>
          </reference>
          <reference field="6" count="1" selected="0">
            <x v="1"/>
          </reference>
        </references>
      </pivotArea>
    </format>
    <format dxfId="238">
      <pivotArea dataOnly="0" labelOnly="1" outline="0" fieldPosition="0">
        <references count="2">
          <reference field="4294967294" count="4">
            <x v="0"/>
            <x v="1"/>
            <x v="2"/>
            <x v="3"/>
          </reference>
          <reference field="6" count="1" selected="0">
            <x v="2"/>
          </reference>
        </references>
      </pivotArea>
    </format>
    <format dxfId="237">
      <pivotArea field="6" outline="0" collapsedLevelsAreSubtotals="1" axis="axisRow" fieldPosition="1">
        <references count="1">
          <reference field="4294967294" count="1" selected="0">
            <x v="3"/>
          </reference>
        </references>
      </pivotArea>
    </format>
    <format dxfId="236">
      <pivotArea dataOnly="0" labelOnly="1" outline="0" fieldPosition="0">
        <references count="1">
          <reference field="4294967294" count="4">
            <x v="0"/>
            <x v="1"/>
            <x v="2"/>
            <x v="3"/>
          </reference>
        </references>
      </pivotArea>
    </format>
    <format dxfId="235">
      <pivotArea dataOnly="0" labelOnly="1" outline="0" fieldPosition="0">
        <references count="1">
          <reference field="4294967294" count="4">
            <x v="0"/>
            <x v="1"/>
            <x v="2"/>
            <x v="3"/>
          </reference>
        </references>
      </pivotArea>
    </format>
    <format dxfId="234">
      <pivotArea dataOnly="0" labelOnly="1" outline="0" fieldPosition="0">
        <references count="1">
          <reference field="4294967294" count="4">
            <x v="0"/>
            <x v="1"/>
            <x v="2"/>
            <x v="3"/>
          </reference>
        </references>
      </pivotArea>
    </format>
    <format dxfId="23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3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161:C165" firstHeaderRow="1" firstDataRow="1" firstDataCol="1" rowPageCount="4" colPageCount="1"/>
  <pivotFields count="94">
    <pivotField axis="axisPage"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axis="axisRow" dataField="1" showAll="0">
      <items count="7">
        <item x="1"/>
        <item m="1" x="4"/>
        <item m="1" x="3"/>
        <item x="2"/>
        <item m="1" x="5"/>
        <item x="0"/>
        <item t="default"/>
      </items>
    </pivotField>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3"/>
  </rowFields>
  <rowItems count="4">
    <i>
      <x/>
    </i>
    <i>
      <x v="3"/>
    </i>
    <i>
      <x v="5"/>
    </i>
    <i t="grand">
      <x/>
    </i>
  </rowItems>
  <colItems count="1">
    <i/>
  </colItems>
  <pageFields count="4">
    <pageField fld="7" hier="-1"/>
    <pageField fld="0" hier="-1"/>
    <pageField fld="6" hier="-1"/>
    <pageField fld="18" hier="-1"/>
  </pageFields>
  <dataFields count="1">
    <dataField name="Count of Rank coverage" fld="33" subtotal="count" baseField="0" baseItem="0" numFmtId="1"/>
  </dataFields>
  <formats count="4">
    <format dxfId="281">
      <pivotArea outline="0" collapsedLevelsAreSubtotals="1" fieldPosition="0"/>
    </format>
    <format dxfId="280">
      <pivotArea field="6" type="button" dataOnly="0" labelOnly="1" outline="0" axis="axisPage" fieldPosition="2"/>
    </format>
    <format dxfId="279">
      <pivotArea outline="0" collapsedLevelsAreSubtotals="1" fieldPosition="0"/>
    </format>
    <format dxfId="278">
      <pivotArea outline="0" collapsedLevelsAreSubtotals="1" fieldPosition="0"/>
    </format>
  </formats>
  <chartFormats count="6">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33" count="1" selected="0">
            <x v="0"/>
          </reference>
        </references>
      </pivotArea>
    </chartFormat>
    <chartFormat chart="8" format="2">
      <pivotArea type="data" outline="0" fieldPosition="0">
        <references count="2">
          <reference field="4294967294" count="1" selected="0">
            <x v="0"/>
          </reference>
          <reference field="33" count="1" selected="0">
            <x v="1"/>
          </reference>
        </references>
      </pivotArea>
    </chartFormat>
    <chartFormat chart="8" format="3">
      <pivotArea type="data" outline="0" fieldPosition="0">
        <references count="2">
          <reference field="4294967294" count="1" selected="0">
            <x v="0"/>
          </reference>
          <reference field="33" count="1" selected="0">
            <x v="3"/>
          </reference>
        </references>
      </pivotArea>
    </chartFormat>
    <chartFormat chart="8" format="4">
      <pivotArea type="data" outline="0" fieldPosition="0">
        <references count="2">
          <reference field="4294967294" count="1" selected="0">
            <x v="0"/>
          </reference>
          <reference field="33" count="1" selected="0">
            <x v="4"/>
          </reference>
        </references>
      </pivotArea>
    </chartFormat>
    <chartFormat chart="8" format="5">
      <pivotArea type="data" outline="0" fieldPosition="0">
        <references count="2">
          <reference field="4294967294" count="1" selected="0">
            <x v="0"/>
          </reference>
          <reference field="3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351:C366" firstHeaderRow="1" firstDataRow="1" firstDataCol="1" rowPageCount="4" colPageCount="1"/>
  <pivotFields count="94">
    <pivotField axis="axisPage"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dataField="1"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4">
        <item x="0"/>
        <item x="5"/>
        <item x="6"/>
        <item x="13"/>
        <item x="1"/>
        <item x="15"/>
        <item x="2"/>
        <item x="9"/>
        <item x="8"/>
        <item x="11"/>
        <item x="3"/>
        <item x="7"/>
        <item x="12"/>
        <item m="1" x="18"/>
        <item m="1" x="19"/>
        <item x="10"/>
        <item x="14"/>
        <item m="1" x="21"/>
        <item m="1" x="22"/>
        <item m="1" x="23"/>
        <item m="1" x="24"/>
        <item m="1" x="25"/>
        <item h="1" x="4"/>
        <item h="1" m="1" x="26"/>
        <item h="1" m="1" x="27"/>
        <item h="1" m="1" x="28"/>
        <item h="1" m="1" x="30"/>
        <item h="1" m="1" x="29"/>
        <item h="1" m="1" x="31"/>
        <item h="1" m="1" x="32"/>
        <item h="1" m="1" x="20"/>
        <item h="1" x="17"/>
        <item h="1" x="16"/>
        <item t="default"/>
      </items>
    </pivotField>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5"/>
  </rowFields>
  <rowItems count="15">
    <i>
      <x/>
    </i>
    <i>
      <x v="1"/>
    </i>
    <i>
      <x v="2"/>
    </i>
    <i>
      <x v="3"/>
    </i>
    <i>
      <x v="4"/>
    </i>
    <i>
      <x v="5"/>
    </i>
    <i>
      <x v="6"/>
    </i>
    <i>
      <x v="7"/>
    </i>
    <i>
      <x v="8"/>
    </i>
    <i>
      <x v="9"/>
    </i>
    <i>
      <x v="10"/>
    </i>
    <i>
      <x v="11"/>
    </i>
    <i>
      <x v="12"/>
    </i>
    <i>
      <x v="15"/>
    </i>
    <i t="grand">
      <x/>
    </i>
  </rowItems>
  <colItems count="1">
    <i/>
  </colItems>
  <pageFields count="4">
    <pageField fld="6" hier="-1"/>
    <pageField fld="0" hier="-1"/>
    <pageField fld="7" hier="-1"/>
    <pageField fld="18" hier="-1"/>
  </pageFields>
  <dataFields count="1">
    <dataField name="Nb of Familly affected" fld="8" baseField="74" baseItem="0" numFmtId="3"/>
  </dataFields>
  <formats count="6">
    <format dxfId="134">
      <pivotArea outline="0" collapsedLevelsAreSubtotals="1" fieldPosition="0"/>
    </format>
    <format dxfId="133">
      <pivotArea outline="0" collapsedLevelsAreSubtotals="1" fieldPosition="0"/>
    </format>
    <format dxfId="132">
      <pivotArea collapsedLevelsAreSubtotals="1" fieldPosition="0">
        <references count="1">
          <reference field="75" count="0"/>
        </references>
      </pivotArea>
    </format>
    <format dxfId="131">
      <pivotArea dataOnly="0" labelOnly="1" fieldPosition="0">
        <references count="1">
          <reference field="75" count="0"/>
        </references>
      </pivotArea>
    </format>
    <format dxfId="130">
      <pivotArea outline="0" fieldPosition="0">
        <references count="1">
          <reference field="4294967294" count="1">
            <x v="0"/>
          </reference>
        </references>
      </pivotArea>
    </format>
    <format dxfId="129">
      <pivotArea dataOnly="0" labelOnly="1" outline="0" axis="axisValues" fieldPosition="0"/>
    </format>
  </formats>
  <chartFormats count="23">
    <chartFormat chart="20" format="0" series="1">
      <pivotArea type="data" outline="0" fieldPosition="0">
        <references count="1">
          <reference field="4294967294" count="1" selected="0">
            <x v="0"/>
          </reference>
        </references>
      </pivotArea>
    </chartFormat>
    <chartFormat chart="20" format="1">
      <pivotArea type="data" outline="0" fieldPosition="0">
        <references count="2">
          <reference field="4294967294" count="1" selected="0">
            <x v="0"/>
          </reference>
          <reference field="75" count="1" selected="0">
            <x v="0"/>
          </reference>
        </references>
      </pivotArea>
    </chartFormat>
    <chartFormat chart="20" format="2">
      <pivotArea type="data" outline="0" fieldPosition="0">
        <references count="2">
          <reference field="4294967294" count="1" selected="0">
            <x v="0"/>
          </reference>
          <reference field="75" count="1" selected="0">
            <x v="2"/>
          </reference>
        </references>
      </pivotArea>
    </chartFormat>
    <chartFormat chart="20" format="3">
      <pivotArea type="data" outline="0" fieldPosition="0">
        <references count="2">
          <reference field="4294967294" count="1" selected="0">
            <x v="0"/>
          </reference>
          <reference field="75" count="1" selected="0">
            <x v="3"/>
          </reference>
        </references>
      </pivotArea>
    </chartFormat>
    <chartFormat chart="20" format="4">
      <pivotArea type="data" outline="0" fieldPosition="0">
        <references count="2">
          <reference field="4294967294" count="1" selected="0">
            <x v="0"/>
          </reference>
          <reference field="75" count="1" selected="0">
            <x v="4"/>
          </reference>
        </references>
      </pivotArea>
    </chartFormat>
    <chartFormat chart="20" format="5">
      <pivotArea type="data" outline="0" fieldPosition="0">
        <references count="2">
          <reference field="4294967294" count="1" selected="0">
            <x v="0"/>
          </reference>
          <reference field="75" count="1" selected="0">
            <x v="5"/>
          </reference>
        </references>
      </pivotArea>
    </chartFormat>
    <chartFormat chart="20" format="6">
      <pivotArea type="data" outline="0" fieldPosition="0">
        <references count="2">
          <reference field="4294967294" count="1" selected="0">
            <x v="0"/>
          </reference>
          <reference field="75" count="1" selected="0">
            <x v="6"/>
          </reference>
        </references>
      </pivotArea>
    </chartFormat>
    <chartFormat chart="20" format="7">
      <pivotArea type="data" outline="0" fieldPosition="0">
        <references count="2">
          <reference field="4294967294" count="1" selected="0">
            <x v="0"/>
          </reference>
          <reference field="75" count="1" selected="0">
            <x v="7"/>
          </reference>
        </references>
      </pivotArea>
    </chartFormat>
    <chartFormat chart="20" format="8">
      <pivotArea type="data" outline="0" fieldPosition="0">
        <references count="2">
          <reference field="4294967294" count="1" selected="0">
            <x v="0"/>
          </reference>
          <reference field="75" count="1" selected="0">
            <x v="10"/>
          </reference>
        </references>
      </pivotArea>
    </chartFormat>
    <chartFormat chart="20" format="9">
      <pivotArea type="data" outline="0" fieldPosition="0">
        <references count="2">
          <reference field="4294967294" count="1" selected="0">
            <x v="0"/>
          </reference>
          <reference field="75" count="1" selected="0">
            <x v="11"/>
          </reference>
        </references>
      </pivotArea>
    </chartFormat>
    <chartFormat chart="20" format="10">
      <pivotArea type="data" outline="0" fieldPosition="0">
        <references count="2">
          <reference field="4294967294" count="1" selected="0">
            <x v="0"/>
          </reference>
          <reference field="75" count="1" selected="0">
            <x v="12"/>
          </reference>
        </references>
      </pivotArea>
    </chartFormat>
    <chartFormat chart="20" format="11">
      <pivotArea type="data" outline="0" fieldPosition="0">
        <references count="2">
          <reference field="4294967294" count="1" selected="0">
            <x v="0"/>
          </reference>
          <reference field="75" count="1" selected="0">
            <x v="13"/>
          </reference>
        </references>
      </pivotArea>
    </chartFormat>
    <chartFormat chart="20" format="12">
      <pivotArea type="data" outline="0" fieldPosition="0">
        <references count="2">
          <reference field="4294967294" count="1" selected="0">
            <x v="0"/>
          </reference>
          <reference field="75" count="1" selected="0">
            <x v="16"/>
          </reference>
        </references>
      </pivotArea>
    </chartFormat>
    <chartFormat chart="20" format="13">
      <pivotArea type="data" outline="0" fieldPosition="0">
        <references count="2">
          <reference field="4294967294" count="1" selected="0">
            <x v="0"/>
          </reference>
          <reference field="75" count="1" selected="0">
            <x v="20"/>
          </reference>
        </references>
      </pivotArea>
    </chartFormat>
    <chartFormat chart="20" format="14">
      <pivotArea type="data" outline="0" fieldPosition="0">
        <references count="2">
          <reference field="4294967294" count="1" selected="0">
            <x v="0"/>
          </reference>
          <reference field="75" count="1" selected="0">
            <x v="21"/>
          </reference>
        </references>
      </pivotArea>
    </chartFormat>
    <chartFormat chart="20" format="15">
      <pivotArea type="data" outline="0" fieldPosition="0">
        <references count="2">
          <reference field="4294967294" count="1" selected="0">
            <x v="0"/>
          </reference>
          <reference field="75" count="1" selected="0">
            <x v="22"/>
          </reference>
        </references>
      </pivotArea>
    </chartFormat>
    <chartFormat chart="20" format="17">
      <pivotArea type="data" outline="0" fieldPosition="0">
        <references count="2">
          <reference field="4294967294" count="1" selected="0">
            <x v="0"/>
          </reference>
          <reference field="75" count="1" selected="0">
            <x v="8"/>
          </reference>
        </references>
      </pivotArea>
    </chartFormat>
    <chartFormat chart="20" format="18">
      <pivotArea type="data" outline="0" fieldPosition="0">
        <references count="2">
          <reference field="4294967294" count="1" selected="0">
            <x v="0"/>
          </reference>
          <reference field="75" count="1" selected="0">
            <x v="1"/>
          </reference>
        </references>
      </pivotArea>
    </chartFormat>
    <chartFormat chart="20" format="19">
      <pivotArea type="data" outline="0" fieldPosition="0">
        <references count="2">
          <reference field="4294967294" count="1" selected="0">
            <x v="0"/>
          </reference>
          <reference field="75" count="1" selected="0">
            <x v="9"/>
          </reference>
        </references>
      </pivotArea>
    </chartFormat>
    <chartFormat chart="20" format="20">
      <pivotArea type="data" outline="0" fieldPosition="0">
        <references count="2">
          <reference field="4294967294" count="1" selected="0">
            <x v="0"/>
          </reference>
          <reference field="75" count="1" selected="0">
            <x v="14"/>
          </reference>
        </references>
      </pivotArea>
    </chartFormat>
    <chartFormat chart="20" format="21">
      <pivotArea type="data" outline="0" fieldPosition="0">
        <references count="2">
          <reference field="4294967294" count="1" selected="0">
            <x v="0"/>
          </reference>
          <reference field="75" count="1" selected="0">
            <x v="17"/>
          </reference>
        </references>
      </pivotArea>
    </chartFormat>
    <chartFormat chart="20" format="22">
      <pivotArea type="data" outline="0" fieldPosition="0">
        <references count="2">
          <reference field="4294967294" count="1" selected="0">
            <x v="0"/>
          </reference>
          <reference field="75" count="1" selected="0">
            <x v="19"/>
          </reference>
        </references>
      </pivotArea>
    </chartFormat>
    <chartFormat chart="20" format="23">
      <pivotArea type="data" outline="0" fieldPosition="0">
        <references count="2">
          <reference field="4294967294" count="1" selected="0">
            <x v="0"/>
          </reference>
          <reference field="75"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25:C428" firstHeaderRow="1" firstDataRow="1" firstDataCol="1" rowPageCount="3" colPageCount="1"/>
  <pivotFields count="94">
    <pivotField showAll="0"/>
    <pivotField showAll="0"/>
    <pivotField axis="axisPage"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3">
    <pageField fld="6" hier="-1"/>
    <pageField fld="2" hier="-1"/>
    <pageField fld="18" hier="-1"/>
  </pageFields>
  <dataFields count="1">
    <dataField name="% Coverage HP session at HH level" fld="90" baseField="0" baseItem="0" numFmtId="3"/>
  </dataFields>
  <formats count="2">
    <format dxfId="283">
      <pivotArea outline="0" collapsedLevelsAreSubtotals="1" fieldPosition="0"/>
    </format>
    <format dxfId="282">
      <pivotArea outline="0" collapsedLevelsAreSubtotals="1" fieldPosition="0"/>
    </format>
  </formats>
  <chartFormats count="1">
    <chartFormat chart="2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5"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7">
  <location ref="B69:U73" firstHeaderRow="1" firstDataRow="2" firstDataCol="1"/>
  <pivotFields count="32">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4">
        <item x="1"/>
        <item x="3"/>
        <item m="1" x="19"/>
        <item x="12"/>
        <item h="1" x="0"/>
        <item x="17"/>
        <item x="4"/>
        <item h="1" m="1" x="22"/>
        <item x="9"/>
        <item x="14"/>
        <item m="1" x="21"/>
        <item x="16"/>
        <item x="2"/>
        <item x="18"/>
        <item x="11"/>
        <item x="13"/>
        <item x="6"/>
        <item m="1" x="20"/>
        <item x="10"/>
        <item x="5"/>
        <item x="7"/>
        <item x="8"/>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numFmtId="3"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2"/>
  </colFields>
  <colItems count="19">
    <i>
      <x/>
    </i>
    <i>
      <x v="1"/>
    </i>
    <i>
      <x v="3"/>
    </i>
    <i>
      <x v="5"/>
    </i>
    <i>
      <x v="6"/>
    </i>
    <i>
      <x v="8"/>
    </i>
    <i>
      <x v="9"/>
    </i>
    <i>
      <x v="11"/>
    </i>
    <i>
      <x v="12"/>
    </i>
    <i>
      <x v="13"/>
    </i>
    <i>
      <x v="14"/>
    </i>
    <i>
      <x v="15"/>
    </i>
    <i>
      <x v="16"/>
    </i>
    <i>
      <x v="18"/>
    </i>
    <i>
      <x v="19"/>
    </i>
    <i>
      <x v="20"/>
    </i>
    <i>
      <x v="21"/>
    </i>
    <i>
      <x v="22"/>
    </i>
    <i t="grand">
      <x/>
    </i>
  </colItems>
  <dataFields count="3">
    <dataField name="Before 2014" fld="24" baseField="0" baseItem="0"/>
    <dataField name="2014" fld="25" baseField="0" baseItem="0"/>
    <dataField name="2015" fld="26" baseField="0" baseItem="0"/>
  </dataFields>
  <formats count="10">
    <format dxfId="11">
      <pivotArea outline="0" fieldPosition="0"/>
    </format>
    <format dxfId="10">
      <pivotArea type="origin" dataOnly="0" labelOnly="1" outline="0" fieldPosition="0"/>
    </format>
    <format dxfId="9">
      <pivotArea field="2" type="button" dataOnly="0" labelOnly="1" outline="0" axis="axisCol" fieldPosition="0"/>
    </format>
    <format dxfId="8">
      <pivotArea dataOnly="0" labelOnly="1" grandRow="1" outline="0" fieldPosition="0"/>
    </format>
    <format dxfId="7">
      <pivotArea outline="0" fieldPosition="0"/>
    </format>
    <format dxfId="6">
      <pivotArea type="topRight" dataOnly="0" labelOnly="1" outline="0" fieldPosition="0"/>
    </format>
    <format dxfId="5">
      <pivotArea type="all" dataOnly="0" outline="0" fieldPosition="0"/>
    </format>
    <format dxfId="4">
      <pivotArea outline="0" collapsedLevelsAreSubtotals="1" fieldPosition="0"/>
    </format>
    <format dxfId="3">
      <pivotArea field="-2" type="button" dataOnly="0" labelOnly="1" outline="0" axis="axisRow" fieldPosition="0"/>
    </format>
    <format dxfId="2">
      <pivotArea dataOnly="0" labelOnly="1" outline="0" fieldPosition="0">
        <references count="1">
          <reference field="4294967294" count="2">
            <x v="0"/>
            <x v="1"/>
          </reference>
        </references>
      </pivotArea>
    </format>
  </formats>
  <chartFormats count="38">
    <chartFormat chart="7"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15" format="2" series="1">
      <pivotArea type="data" outline="0" fieldPosition="0">
        <references count="2">
          <reference field="4294967294" count="1" selected="0">
            <x v="0"/>
          </reference>
          <reference field="2" count="1" selected="0">
            <x v="0"/>
          </reference>
        </references>
      </pivotArea>
    </chartFormat>
    <chartFormat chart="15" format="3" series="1">
      <pivotArea type="data" outline="0" fieldPosition="0">
        <references count="2">
          <reference field="4294967294" count="1" selected="0">
            <x v="0"/>
          </reference>
          <reference field="2" count="1" selected="0">
            <x v="1"/>
          </reference>
        </references>
      </pivotArea>
    </chartFormat>
    <chartFormat chart="15" format="4" series="1">
      <pivotArea type="data" outline="0" fieldPosition="0">
        <references count="2">
          <reference field="4294967294" count="1" selected="0">
            <x v="0"/>
          </reference>
          <reference field="2" count="1" selected="0">
            <x v="2"/>
          </reference>
        </references>
      </pivotArea>
    </chartFormat>
    <chartFormat chart="15" format="5" series="1">
      <pivotArea type="data" outline="0" fieldPosition="0">
        <references count="2">
          <reference field="4294967294" count="1" selected="0">
            <x v="0"/>
          </reference>
          <reference field="2" count="1" selected="0">
            <x v="3"/>
          </reference>
        </references>
      </pivotArea>
    </chartFormat>
    <chartFormat chart="15" format="6" series="1">
      <pivotArea type="data" outline="0" fieldPosition="0">
        <references count="2">
          <reference field="4294967294" count="1" selected="0">
            <x v="0"/>
          </reference>
          <reference field="2" count="1" selected="0">
            <x v="5"/>
          </reference>
        </references>
      </pivotArea>
    </chartFormat>
    <chartFormat chart="15" format="7" series="1">
      <pivotArea type="data" outline="0" fieldPosition="0">
        <references count="2">
          <reference field="4294967294" count="1" selected="0">
            <x v="0"/>
          </reference>
          <reference field="2" count="1" selected="0">
            <x v="6"/>
          </reference>
        </references>
      </pivotArea>
    </chartFormat>
    <chartFormat chart="15" format="8" series="1">
      <pivotArea type="data" outline="0" fieldPosition="0">
        <references count="2">
          <reference field="4294967294" count="1" selected="0">
            <x v="0"/>
          </reference>
          <reference field="2" count="1" selected="0">
            <x v="8"/>
          </reference>
        </references>
      </pivotArea>
    </chartFormat>
    <chartFormat chart="15" format="9" series="1">
      <pivotArea type="data" outline="0" fieldPosition="0">
        <references count="2">
          <reference field="4294967294" count="1" selected="0">
            <x v="0"/>
          </reference>
          <reference field="2" count="1" selected="0">
            <x v="9"/>
          </reference>
        </references>
      </pivotArea>
    </chartFormat>
    <chartFormat chart="15" format="10" series="1">
      <pivotArea type="data" outline="0" fieldPosition="0">
        <references count="2">
          <reference field="4294967294" count="1" selected="0">
            <x v="0"/>
          </reference>
          <reference field="2" count="1" selected="0">
            <x v="10"/>
          </reference>
        </references>
      </pivotArea>
    </chartFormat>
    <chartFormat chart="15" format="11" series="1">
      <pivotArea type="data" outline="0" fieldPosition="0">
        <references count="2">
          <reference field="4294967294" count="1" selected="0">
            <x v="0"/>
          </reference>
          <reference field="2" count="1" selected="0">
            <x v="11"/>
          </reference>
        </references>
      </pivotArea>
    </chartFormat>
    <chartFormat chart="15" format="12" series="1">
      <pivotArea type="data" outline="0" fieldPosition="0">
        <references count="2">
          <reference field="4294967294" count="1" selected="0">
            <x v="0"/>
          </reference>
          <reference field="2" count="1" selected="0">
            <x v="12"/>
          </reference>
        </references>
      </pivotArea>
    </chartFormat>
    <chartFormat chart="15" format="13" series="1">
      <pivotArea type="data" outline="0" fieldPosition="0">
        <references count="2">
          <reference field="4294967294" count="1" selected="0">
            <x v="0"/>
          </reference>
          <reference field="2" count="1" selected="0">
            <x v="13"/>
          </reference>
        </references>
      </pivotArea>
    </chartFormat>
    <chartFormat chart="15" format="14" series="1">
      <pivotArea type="data" outline="0" fieldPosition="0">
        <references count="2">
          <reference field="4294967294" count="1" selected="0">
            <x v="0"/>
          </reference>
          <reference field="2" count="1" selected="0">
            <x v="14"/>
          </reference>
        </references>
      </pivotArea>
    </chartFormat>
    <chartFormat chart="15" format="15" series="1">
      <pivotArea type="data" outline="0" fieldPosition="0">
        <references count="2">
          <reference field="4294967294" count="1" selected="0">
            <x v="0"/>
          </reference>
          <reference field="2" count="1" selected="0">
            <x v="15"/>
          </reference>
        </references>
      </pivotArea>
    </chartFormat>
    <chartFormat chart="15" format="16" series="1">
      <pivotArea type="data" outline="0" fieldPosition="0">
        <references count="2">
          <reference field="4294967294" count="1" selected="0">
            <x v="0"/>
          </reference>
          <reference field="2" count="1" selected="0">
            <x v="16"/>
          </reference>
        </references>
      </pivotArea>
    </chartFormat>
    <chartFormat chart="15" format="17" series="1">
      <pivotArea type="data" outline="0" fieldPosition="0">
        <references count="2">
          <reference field="4294967294" count="1" selected="0">
            <x v="0"/>
          </reference>
          <reference field="2" count="1" selected="0">
            <x v="18"/>
          </reference>
        </references>
      </pivotArea>
    </chartFormat>
    <chartFormat chart="16" format="18" series="1">
      <pivotArea type="data" outline="0" fieldPosition="0">
        <references count="2">
          <reference field="4294967294" count="1" selected="0">
            <x v="0"/>
          </reference>
          <reference field="2" count="1" selected="0">
            <x v="0"/>
          </reference>
        </references>
      </pivotArea>
    </chartFormat>
    <chartFormat chart="16" format="19" series="1">
      <pivotArea type="data" outline="0" fieldPosition="0">
        <references count="2">
          <reference field="4294967294" count="1" selected="0">
            <x v="0"/>
          </reference>
          <reference field="2" count="1" selected="0">
            <x v="1"/>
          </reference>
        </references>
      </pivotArea>
    </chartFormat>
    <chartFormat chart="16" format="20" series="1">
      <pivotArea type="data" outline="0" fieldPosition="0">
        <references count="2">
          <reference field="4294967294" count="1" selected="0">
            <x v="0"/>
          </reference>
          <reference field="2" count="1" selected="0">
            <x v="2"/>
          </reference>
        </references>
      </pivotArea>
    </chartFormat>
    <chartFormat chart="16" format="21" series="1">
      <pivotArea type="data" outline="0" fieldPosition="0">
        <references count="2">
          <reference field="4294967294" count="1" selected="0">
            <x v="0"/>
          </reference>
          <reference field="2" count="1" selected="0">
            <x v="3"/>
          </reference>
        </references>
      </pivotArea>
    </chartFormat>
    <chartFormat chart="16" format="22" series="1">
      <pivotArea type="data" outline="0" fieldPosition="0">
        <references count="2">
          <reference field="4294967294" count="1" selected="0">
            <x v="0"/>
          </reference>
          <reference field="2" count="1" selected="0">
            <x v="5"/>
          </reference>
        </references>
      </pivotArea>
    </chartFormat>
    <chartFormat chart="16" format="23" series="1">
      <pivotArea type="data" outline="0" fieldPosition="0">
        <references count="2">
          <reference field="4294967294" count="1" selected="0">
            <x v="0"/>
          </reference>
          <reference field="2" count="1" selected="0">
            <x v="6"/>
          </reference>
        </references>
      </pivotArea>
    </chartFormat>
    <chartFormat chart="16" format="24" series="1">
      <pivotArea type="data" outline="0" fieldPosition="0">
        <references count="2">
          <reference field="4294967294" count="1" selected="0">
            <x v="0"/>
          </reference>
          <reference field="2" count="1" selected="0">
            <x v="8"/>
          </reference>
        </references>
      </pivotArea>
    </chartFormat>
    <chartFormat chart="16" format="25" series="1">
      <pivotArea type="data" outline="0" fieldPosition="0">
        <references count="2">
          <reference field="4294967294" count="1" selected="0">
            <x v="0"/>
          </reference>
          <reference field="2" count="1" selected="0">
            <x v="9"/>
          </reference>
        </references>
      </pivotArea>
    </chartFormat>
    <chartFormat chart="16" format="26" series="1">
      <pivotArea type="data" outline="0" fieldPosition="0">
        <references count="2">
          <reference field="4294967294" count="1" selected="0">
            <x v="0"/>
          </reference>
          <reference field="2" count="1" selected="0">
            <x v="10"/>
          </reference>
        </references>
      </pivotArea>
    </chartFormat>
    <chartFormat chart="16" format="27" series="1">
      <pivotArea type="data" outline="0" fieldPosition="0">
        <references count="2">
          <reference field="4294967294" count="1" selected="0">
            <x v="0"/>
          </reference>
          <reference field="2" count="1" selected="0">
            <x v="11"/>
          </reference>
        </references>
      </pivotArea>
    </chartFormat>
    <chartFormat chart="16" format="28" series="1">
      <pivotArea type="data" outline="0" fieldPosition="0">
        <references count="2">
          <reference field="4294967294" count="1" selected="0">
            <x v="0"/>
          </reference>
          <reference field="2" count="1" selected="0">
            <x v="12"/>
          </reference>
        </references>
      </pivotArea>
    </chartFormat>
    <chartFormat chart="16" format="29" series="1">
      <pivotArea type="data" outline="0" fieldPosition="0">
        <references count="2">
          <reference field="4294967294" count="1" selected="0">
            <x v="0"/>
          </reference>
          <reference field="2" count="1" selected="0">
            <x v="13"/>
          </reference>
        </references>
      </pivotArea>
    </chartFormat>
    <chartFormat chart="16" format="30" series="1">
      <pivotArea type="data" outline="0" fieldPosition="0">
        <references count="2">
          <reference field="4294967294" count="1" selected="0">
            <x v="0"/>
          </reference>
          <reference field="2" count="1" selected="0">
            <x v="14"/>
          </reference>
        </references>
      </pivotArea>
    </chartFormat>
    <chartFormat chart="16" format="31" series="1">
      <pivotArea type="data" outline="0" fieldPosition="0">
        <references count="2">
          <reference field="4294967294" count="1" selected="0">
            <x v="0"/>
          </reference>
          <reference field="2" count="1" selected="0">
            <x v="15"/>
          </reference>
        </references>
      </pivotArea>
    </chartFormat>
    <chartFormat chart="16" format="32" series="1">
      <pivotArea type="data" outline="0" fieldPosition="0">
        <references count="2">
          <reference field="4294967294" count="1" selected="0">
            <x v="0"/>
          </reference>
          <reference field="2" count="1" selected="0">
            <x v="16"/>
          </reference>
        </references>
      </pivotArea>
    </chartFormat>
    <chartFormat chart="16" format="33" series="1">
      <pivotArea type="data" outline="0" fieldPosition="0">
        <references count="2">
          <reference field="4294967294" count="1" selected="0">
            <x v="0"/>
          </reference>
          <reference field="2" count="1" selected="0">
            <x v="18"/>
          </reference>
        </references>
      </pivotArea>
    </chartFormat>
    <chartFormat chart="16" format="34" series="1">
      <pivotArea type="data" outline="0" fieldPosition="0">
        <references count="2">
          <reference field="4294967294" count="1" selected="0">
            <x v="0"/>
          </reference>
          <reference field="2" count="1" selected="0">
            <x v="19"/>
          </reference>
        </references>
      </pivotArea>
    </chartFormat>
    <chartFormat chart="16" format="35" series="1">
      <pivotArea type="data" outline="0" fieldPosition="0">
        <references count="2">
          <reference field="4294967294" count="1" selected="0">
            <x v="0"/>
          </reference>
          <reference field="2" count="1" selected="0">
            <x v="21"/>
          </reference>
        </references>
      </pivotArea>
    </chartFormat>
    <chartFormat chart="16" format="36" series="1">
      <pivotArea type="data" outline="0" fieldPosition="0">
        <references count="2">
          <reference field="4294967294" count="1" selected="0">
            <x v="0"/>
          </reference>
          <reference field="2" count="1" selected="0">
            <x v="22"/>
          </reference>
        </references>
      </pivotArea>
    </chartFormat>
    <chartFormat chart="16" format="37" series="1">
      <pivotArea type="data" outline="0" fieldPosition="0">
        <references count="2">
          <reference field="4294967294" count="1" selected="0">
            <x v="0"/>
          </reference>
          <reference field="2" count="1" selected="0">
            <x v="20"/>
          </reference>
        </references>
      </pivotArea>
    </chartFormat>
  </chartFormats>
  <pivotTableStyleInfo showRowHeaders="1" showColHeaders="1" showRowStripes="0" showColStripes="0" showLastColumn="1"/>
</pivotTableDefinition>
</file>

<file path=xl/pivotTables/pivotTable32.xml><?xml version="1.0" encoding="utf-8"?>
<pivotTableDefinition xmlns="http://schemas.openxmlformats.org/spreadsheetml/2006/main" name="PivotTable8"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
  <location ref="B94:C97" firstHeaderRow="1" firstDataRow="1" firstDataCol="1" rowPageCount="1" colPageCount="1"/>
  <pivotFields count="32">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 fund attributed for Northern Shan" fld="12" subtotal="average" baseField="0" baseItem="3075528"/>
    <dataField name=" % fund attributed for South Kachin" fld="13" subtotal="average" baseField="0" baseItem="3075528"/>
    <dataField name=" % funds attributed for North kachin" fld="14" subtotal="average" baseField="0" baseItem="3075528"/>
  </dataFields>
  <formats count="8">
    <format dxfId="19">
      <pivotArea outline="0" fieldPosition="0"/>
    </format>
    <format dxfId="18">
      <pivotArea field="0" type="button" dataOnly="0" labelOnly="1" outline="0"/>
    </format>
    <format dxfId="17">
      <pivotArea field="-2" type="button" dataOnly="0" labelOnly="1" outline="0" axis="axisRow" fieldPosition="0"/>
    </format>
    <format dxfId="16">
      <pivotArea outline="0" fieldPosition="0"/>
    </format>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outline="0" fieldPosition="0">
        <references count="1">
          <reference field="4294967294" count="3">
            <x v="0"/>
            <x v="1"/>
            <x v="2"/>
          </reference>
        </references>
      </pivotArea>
    </format>
  </formats>
  <chartFormats count="5">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1">
          <reference field="4294967294" count="1" selected="0">
            <x v="1"/>
          </reference>
        </references>
      </pivotArea>
    </chartFormat>
    <chartFormat chart="4" format="8">
      <pivotArea type="data" outline="0" fieldPosition="0">
        <references count="1">
          <reference field="4294967294" count="1" selected="0">
            <x v="2"/>
          </reference>
        </references>
      </pivotArea>
    </chartFormat>
    <chartFormat chart="4" format="9">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3.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7">
  <location ref="B124:C126" firstHeaderRow="1" firstDataRow="1" firstDataCol="1" rowPageCount="1" colPageCount="1"/>
  <pivotFields count="32">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e % of beneficiaries in host community" fld="16" subtotal="average" baseField="0" baseItem="29047"/>
    <dataField name="Average of Approximate % of beneficiaries in camps" fld="15" subtotal="average" baseField="0" baseItem="29047"/>
  </dataFields>
  <formats count="9">
    <format dxfId="28">
      <pivotArea outline="0" fieldPosition="0"/>
    </format>
    <format dxfId="27">
      <pivotArea field="0" type="button" dataOnly="0" labelOnly="1" outline="0"/>
    </format>
    <format dxfId="26">
      <pivotArea field="-2" type="button" dataOnly="0" labelOnly="1" outline="0" axis="axisRow" fieldPosition="0"/>
    </format>
    <format dxfId="25">
      <pivotArea dataOnly="0" labelOnly="1" outline="0" fieldPosition="0">
        <references count="1">
          <reference field="4294967294" count="2">
            <x v="0"/>
            <x v="1"/>
          </reference>
        </references>
      </pivotArea>
    </format>
    <format dxfId="24">
      <pivotArea outline="0" fieldPosition="0"/>
    </format>
    <format dxfId="23">
      <pivotArea type="all" dataOnly="0" outline="0" fieldPosition="0"/>
    </format>
    <format dxfId="22">
      <pivotArea outline="0" collapsedLevelsAreSubtotals="1" fieldPosition="0"/>
    </format>
    <format dxfId="21">
      <pivotArea field="-2" type="button" dataOnly="0" labelOnly="1" outline="0" axis="axisRow" fieldPosition="0"/>
    </format>
    <format dxfId="20">
      <pivotArea dataOnly="0" labelOnly="1" outline="0" fieldPosition="0">
        <references count="1">
          <reference field="4294967294" count="2">
            <x v="0"/>
            <x v="1"/>
          </reference>
        </references>
      </pivotArea>
    </format>
  </formats>
  <chartFormats count="5">
    <chartFormat chart="2"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5">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 chart="6" format="8">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9"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0">
  <location ref="B108:C110" firstHeaderRow="1" firstDataRow="1" firstDataCol="1" rowPageCount="1" colPageCount="1"/>
  <pivotFields count="32">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ive % of NGCA beneficiaries" fld="10" subtotal="average" baseField="0" baseItem="3075528"/>
    <dataField name="Average of Approximative % of GCA beneficiaries" fld="11" subtotal="average" baseField="0" baseItem="3075528"/>
  </dataFields>
  <formats count="8">
    <format dxfId="36">
      <pivotArea outline="0" fieldPosition="0"/>
    </format>
    <format dxfId="35">
      <pivotArea field="0" type="button" dataOnly="0" labelOnly="1" outline="0"/>
    </format>
    <format dxfId="34">
      <pivotArea field="-2" type="button" dataOnly="0" labelOnly="1" outline="0" axis="axisRow" fieldPosition="0"/>
    </format>
    <format dxfId="33">
      <pivotArea outline="0" fieldPosition="0"/>
    </format>
    <format dxfId="32">
      <pivotArea type="all" dataOnly="0" outline="0" fieldPosition="0"/>
    </format>
    <format dxfId="31">
      <pivotArea outline="0" collapsedLevelsAreSubtotals="1" fieldPosition="0"/>
    </format>
    <format dxfId="30">
      <pivotArea field="-2" type="button" dataOnly="0" labelOnly="1" outline="0" axis="axisRow" fieldPosition="0"/>
    </format>
    <format dxfId="29">
      <pivotArea dataOnly="0" labelOnly="1" outline="0" fieldPosition="0">
        <references count="1">
          <reference field="4294967294" count="2">
            <x v="0"/>
            <x v="1"/>
          </reference>
        </references>
      </pivotArea>
    </format>
  </formats>
  <chartFormats count="4">
    <chartFormat chart="15" format="4" series="1">
      <pivotArea type="data" outline="0" fieldPosition="0">
        <references count="1">
          <reference field="4294967294" count="1" selected="0">
            <x v="0"/>
          </reference>
        </references>
      </pivotArea>
    </chartFormat>
    <chartFormat chart="15" format="5">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0"/>
          </reference>
        </references>
      </pivotArea>
    </chartFormat>
    <chartFormat chart="18" format="7">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2"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8:C28"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4">
        <item x="1"/>
        <item x="3"/>
        <item m="1" x="19"/>
        <item x="12"/>
        <item h="1" x="0"/>
        <item x="17"/>
        <item x="4"/>
        <item h="1" m="1" x="22"/>
        <item x="9"/>
        <item x="14"/>
        <item m="1" x="21"/>
        <item x="16"/>
        <item x="2"/>
        <item x="18"/>
        <item x="11"/>
        <item x="13"/>
        <item x="6"/>
        <item m="1" x="20"/>
        <item x="10"/>
        <item x="5"/>
        <item x="7"/>
        <item x="8"/>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9">
    <i>
      <x/>
    </i>
    <i>
      <x v="1"/>
    </i>
    <i>
      <x v="3"/>
    </i>
    <i>
      <x v="5"/>
    </i>
    <i>
      <x v="6"/>
    </i>
    <i>
      <x v="8"/>
    </i>
    <i>
      <x v="9"/>
    </i>
    <i>
      <x v="11"/>
    </i>
    <i>
      <x v="12"/>
    </i>
    <i>
      <x v="13"/>
    </i>
    <i>
      <x v="14"/>
    </i>
    <i>
      <x v="15"/>
    </i>
    <i>
      <x v="16"/>
    </i>
    <i>
      <x v="18"/>
    </i>
    <i>
      <x v="19"/>
    </i>
    <i>
      <x v="20"/>
    </i>
    <i>
      <x v="21"/>
    </i>
    <i>
      <x v="22"/>
    </i>
    <i t="grand">
      <x/>
    </i>
  </rowItems>
  <colItems count="1">
    <i/>
  </colItems>
  <pageFields count="1">
    <pageField fld="8" hier="-1"/>
  </pageFields>
  <dataFields count="1">
    <dataField name="Sum of Total budget of the project US$. For only WASH related cost (including related support costs)" fld="23" baseField="2" baseItem="5" numFmtId="3"/>
  </dataFields>
  <formats count="12">
    <format dxfId="48">
      <pivotArea outline="0" fieldPosition="0">
        <references count="1">
          <reference field="4294967294" count="1">
            <x v="0"/>
          </reference>
        </references>
      </pivotArea>
    </format>
    <format dxfId="47">
      <pivotArea outline="0" fieldPosition="0"/>
    </format>
    <format dxfId="46">
      <pivotArea type="origin" dataOnly="0" labelOnly="1" outline="0" fieldPosition="0"/>
    </format>
    <format dxfId="45">
      <pivotArea field="2" type="button" dataOnly="0" labelOnly="1" outline="0" axis="axisRow" fieldPosition="0"/>
    </format>
    <format dxfId="44">
      <pivotArea dataOnly="0" labelOnly="1" grandRow="1" outline="0" fieldPosition="0"/>
    </format>
    <format dxfId="43">
      <pivotArea outline="0" fieldPosition="0"/>
    </format>
    <format dxfId="42">
      <pivotArea type="topRight" dataOnly="0" labelOnly="1" outline="0" fieldPosition="0"/>
    </format>
    <format dxfId="41">
      <pivotArea type="all" dataOnly="0" outline="0" fieldPosition="0"/>
    </format>
    <format dxfId="40">
      <pivotArea outline="0" collapsedLevelsAreSubtotals="1" fieldPosition="0"/>
    </format>
    <format dxfId="39">
      <pivotArea type="topRight" dataOnly="0" labelOnly="1" outline="0" fieldPosition="0"/>
    </format>
    <format dxfId="38">
      <pivotArea dataOnly="0" labelOnly="1" outline="0" fieldPosition="0">
        <references count="1">
          <reference field="2" count="0"/>
        </references>
      </pivotArea>
    </format>
    <format dxfId="37">
      <pivotArea dataOnly="0" labelOnly="1" grandRow="1" outline="0" fieldPosition="0"/>
    </format>
  </formats>
  <chartFormats count="23">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0" format="12">
      <pivotArea type="data" outline="0" fieldPosition="0">
        <references count="2">
          <reference field="4294967294" count="1" selected="0">
            <x v="0"/>
          </reference>
          <reference field="2" count="1" selected="0">
            <x v="1"/>
          </reference>
        </references>
      </pivotArea>
    </chartFormat>
    <chartFormat chart="0" format="13">
      <pivotArea type="data" outline="0" fieldPosition="0">
        <references count="2">
          <reference field="4294967294" count="1" selected="0">
            <x v="0"/>
          </reference>
          <reference field="2" count="1" selected="0">
            <x v="12"/>
          </reference>
        </references>
      </pivotArea>
    </chartFormat>
    <chartFormat chart="8" format="14" series="1">
      <pivotArea type="data" outline="0" fieldPosition="0">
        <references count="1">
          <reference field="4294967294" count="1" selected="0">
            <x v="0"/>
          </reference>
        </references>
      </pivotArea>
    </chartFormat>
    <chartFormat chart="8" format="15">
      <pivotArea type="data" outline="0" fieldPosition="0">
        <references count="2">
          <reference field="4294967294" count="1" selected="0">
            <x v="0"/>
          </reference>
          <reference field="2" count="1" selected="0">
            <x v="1"/>
          </reference>
        </references>
      </pivotArea>
    </chartFormat>
    <chartFormat chart="8" format="16">
      <pivotArea type="data" outline="0" fieldPosition="0">
        <references count="2">
          <reference field="4294967294" count="1" selected="0">
            <x v="0"/>
          </reference>
          <reference field="2" count="1" selected="0">
            <x v="12"/>
          </reference>
        </references>
      </pivotArea>
    </chartFormat>
    <chartFormat chart="8" format="17">
      <pivotArea type="data" outline="0" fieldPosition="0">
        <references count="2">
          <reference field="4294967294" count="1" selected="0">
            <x v="0"/>
          </reference>
          <reference field="2" count="1" selected="0">
            <x v="16"/>
          </reference>
        </references>
      </pivotArea>
    </chartFormat>
    <chartFormat chart="8" format="18">
      <pivotArea type="data" outline="0" fieldPosition="0">
        <references count="2">
          <reference field="4294967294" count="1" selected="0">
            <x v="0"/>
          </reference>
          <reference field="2" count="1" selected="0">
            <x v="2"/>
          </reference>
        </references>
      </pivotArea>
    </chartFormat>
    <chartFormat chart="8" format="19">
      <pivotArea type="data" outline="0" fieldPosition="0">
        <references count="2">
          <reference field="4294967294" count="1" selected="0">
            <x v="0"/>
          </reference>
          <reference field="2" count="1" selected="0">
            <x v="6"/>
          </reference>
        </references>
      </pivotArea>
    </chartFormat>
    <chartFormat chart="8" format="20">
      <pivotArea type="data" outline="0" fieldPosition="0">
        <references count="2">
          <reference field="4294967294" count="1" selected="0">
            <x v="0"/>
          </reference>
          <reference field="2" count="1" selected="0">
            <x v="8"/>
          </reference>
        </references>
      </pivotArea>
    </chartFormat>
    <chartFormat chart="8" format="21">
      <pivotArea type="data" outline="0" fieldPosition="0">
        <references count="2">
          <reference field="4294967294" count="1" selected="0">
            <x v="0"/>
          </reference>
          <reference field="2" count="1" selected="0">
            <x v="17"/>
          </reference>
        </references>
      </pivotArea>
    </chartFormat>
    <chartFormat chart="8" format="22">
      <pivotArea type="data" outline="0" fieldPosition="0">
        <references count="2">
          <reference field="4294967294" count="1" selected="0">
            <x v="0"/>
          </reference>
          <reference field="2" count="1" selected="0">
            <x v="13"/>
          </reference>
        </references>
      </pivotArea>
    </chartFormat>
    <chartFormat chart="8" format="23">
      <pivotArea type="data" outline="0" fieldPosition="0">
        <references count="2">
          <reference field="4294967294" count="1" selected="0">
            <x v="0"/>
          </reference>
          <reference field="2" count="1" selected="0">
            <x v="9"/>
          </reference>
        </references>
      </pivotArea>
    </chartFormat>
    <chartFormat chart="8" format="24">
      <pivotArea type="data" outline="0" fieldPosition="0">
        <references count="2">
          <reference field="4294967294" count="1" selected="0">
            <x v="0"/>
          </reference>
          <reference field="2" count="1" selected="0">
            <x v="11"/>
          </reference>
        </references>
      </pivotArea>
    </chartFormat>
    <chartFormat chart="8" format="25">
      <pivotArea type="data" outline="0" fieldPosition="0">
        <references count="2">
          <reference field="4294967294" count="1" selected="0">
            <x v="0"/>
          </reference>
          <reference field="2" count="1" selected="0">
            <x v="15"/>
          </reference>
        </references>
      </pivotArea>
    </chartFormat>
    <chartFormat chart="8" format="26">
      <pivotArea type="data" outline="0" fieldPosition="0">
        <references count="2">
          <reference field="4294967294" count="1" selected="0">
            <x v="0"/>
          </reference>
          <reference field="2" count="1" selected="0">
            <x v="3"/>
          </reference>
        </references>
      </pivotArea>
    </chartFormat>
    <chartFormat chart="8" format="27">
      <pivotArea type="data" outline="0" fieldPosition="0">
        <references count="2">
          <reference field="4294967294" count="1" selected="0">
            <x v="0"/>
          </reference>
          <reference field="2" count="1" selected="0">
            <x v="5"/>
          </reference>
        </references>
      </pivotArea>
    </chartFormat>
    <chartFormat chart="8" format="28">
      <pivotArea type="data" outline="0" fieldPosition="0">
        <references count="2">
          <reference field="4294967294" count="1" selected="0">
            <x v="0"/>
          </reference>
          <reference field="2" count="1" selected="0">
            <x v="14"/>
          </reference>
        </references>
      </pivotArea>
    </chartFormat>
    <chartFormat chart="8" format="29">
      <pivotArea type="data" outline="0" fieldPosition="0">
        <references count="2">
          <reference field="4294967294" count="1" selected="0">
            <x v="0"/>
          </reference>
          <reference field="2" count="1" selected="0">
            <x v="0"/>
          </reference>
        </references>
      </pivotArea>
    </chartFormat>
    <chartFormat chart="8" format="30">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6.xml><?xml version="1.0" encoding="utf-8"?>
<pivotTableDefinition xmlns="http://schemas.openxmlformats.org/spreadsheetml/2006/main" name="PivotTable4"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6">
  <location ref="B56:C62" firstHeaderRow="2" firstDataRow="2" firstDataCol="1" rowPageCount="1" colPageCount="1"/>
  <pivotFields count="32">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4">
        <item x="1"/>
        <item x="3"/>
        <item m="1" x="19"/>
        <item x="12"/>
        <item h="1" x="0"/>
        <item x="17"/>
        <item x="4"/>
        <item h="1" m="1" x="22"/>
        <item x="9"/>
        <item x="14"/>
        <item m="1" x="21"/>
        <item x="16"/>
        <item x="2"/>
        <item x="18"/>
        <item x="11"/>
        <item x="13"/>
        <item x="6"/>
        <item m="1" x="20"/>
        <item x="10"/>
        <item x="5"/>
        <item x="7"/>
        <item x="8"/>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3"/>
    </i>
    <i t="grand">
      <x/>
    </i>
  </rowItems>
  <colItems count="1">
    <i/>
  </colItems>
  <pageFields count="1">
    <pageField fld="2" hier="-1"/>
  </pageFields>
  <dataFields count="1">
    <dataField name="Sum of Total budget of the project US$. For only WASH related cost (including related support costs)" fld="23" baseField="0" baseItem="0" numFmtId="3"/>
  </dataFields>
  <formats count="12">
    <format dxfId="60">
      <pivotArea outline="0" fieldPosition="0">
        <references count="1">
          <reference field="4294967294" count="1">
            <x v="0"/>
          </reference>
        </references>
      </pivotArea>
    </format>
    <format dxfId="59">
      <pivotArea outline="0" fieldPosition="0"/>
    </format>
    <format dxfId="58">
      <pivotArea type="origin" dataOnly="0" labelOnly="1" outline="0" fieldPosition="0"/>
    </format>
    <format dxfId="57">
      <pivotArea field="2" type="button" dataOnly="0" labelOnly="1" outline="0" axis="axisPage" fieldPosition="0"/>
    </format>
    <format dxfId="56">
      <pivotArea dataOnly="0" labelOnly="1" grandRow="1" outline="0" fieldPosition="0"/>
    </format>
    <format dxfId="55">
      <pivotArea outline="0" fieldPosition="0"/>
    </format>
    <format dxfId="54">
      <pivotArea type="topRight" dataOnly="0" labelOnly="1" outline="0" fieldPosition="0"/>
    </format>
    <format dxfId="53">
      <pivotArea type="all" dataOnly="0" outline="0" fieldPosition="0"/>
    </format>
    <format dxfId="52">
      <pivotArea outline="0" collapsedLevelsAreSubtotals="1" fieldPosition="0"/>
    </format>
    <format dxfId="51">
      <pivotArea type="topRight" dataOnly="0" labelOnly="1" outline="0" fieldPosition="0"/>
    </format>
    <format dxfId="50">
      <pivotArea dataOnly="0" labelOnly="1" outline="0" fieldPosition="0">
        <references count="1">
          <reference field="8" count="0"/>
        </references>
      </pivotArea>
    </format>
    <format dxfId="49">
      <pivotArea dataOnly="0" labelOnly="1" grandRow="1" outline="0" fieldPosition="0"/>
    </format>
  </formats>
  <chartFormats count="6">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6"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
  <location ref="B153:G157" firstHeaderRow="1" firstDataRow="2" firstDataCol="1"/>
  <pivotFields count="32">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dataFields count="3">
    <dataField name="Number of sanitation beneficiaries" fld="17" baseField="0" baseItem="3207800"/>
    <dataField name="Number of water access beneficiaries" fld="18" baseField="0" baseItem="3207800"/>
    <dataField name=" Number of beneficiairies for HE" fld="19" baseField="0" baseItem="3207800"/>
  </dataFields>
  <formats count="10">
    <format dxfId="70">
      <pivotArea outline="0" fieldPosition="0"/>
    </format>
    <format dxfId="69">
      <pivotArea field="0" type="button" dataOnly="0" labelOnly="1" outline="0"/>
    </format>
    <format dxfId="68">
      <pivotArea field="-2" type="button" dataOnly="0" labelOnly="1" outline="0" axis="axisRow" fieldPosition="0"/>
    </format>
    <format dxfId="67">
      <pivotArea outline="0" fieldPosition="0"/>
    </format>
    <format dxfId="66">
      <pivotArea outline="0" collapsedLevelsAreSubtotals="1" fieldPosition="0"/>
    </format>
    <format dxfId="65">
      <pivotArea type="all" dataOnly="0" outline="0" fieldPosition="0"/>
    </format>
    <format dxfId="64">
      <pivotArea outline="0" collapsedLevelsAreSubtotals="1" fieldPosition="0"/>
    </format>
    <format dxfId="63">
      <pivotArea dataOnly="0" labelOnly="1" outline="0" fieldPosition="0">
        <references count="1">
          <reference field="4294967294" count="3">
            <x v="0"/>
            <x v="1"/>
            <x v="2"/>
          </reference>
        </references>
      </pivotArea>
    </format>
    <format dxfId="62">
      <pivotArea dataOnly="0" labelOnly="1" outline="0" fieldPosition="0">
        <references count="1">
          <reference field="8" count="0"/>
        </references>
      </pivotArea>
    </format>
    <format dxfId="61">
      <pivotArea dataOnly="0" labelOnly="1" grandCol="1" outline="0" fieldPosition="0"/>
    </format>
  </formats>
  <chartFormats count="5">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7"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69:G173" firstHeaderRow="1" firstDataRow="2" firstDataCol="1" rowPageCount="1" colPageCount="1"/>
  <pivotFields count="32">
    <pivotField axis="axisPage"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pageFields count="1">
    <pageField fld="0" hier="0"/>
  </pageFields>
  <dataFields count="3">
    <dataField name=" Nb of sanitation beneficiaries" fld="20" baseField="0" baseItem="3207800"/>
    <dataField name="Nb of water access beneficiaries" fld="21" baseField="0" baseItem="3207800"/>
    <dataField name="Nb of beneficiairies for HE in host" fld="22" baseField="0" baseItem="3207800"/>
  </dataFields>
  <formats count="11">
    <format dxfId="81">
      <pivotArea outline="0" fieldPosition="0"/>
    </format>
    <format dxfId="80">
      <pivotArea field="0" type="button" dataOnly="0" labelOnly="1" outline="0" axis="axisPage" fieldPosition="0"/>
    </format>
    <format dxfId="79">
      <pivotArea field="-2" type="button" dataOnly="0" labelOnly="1" outline="0" axis="axisRow" fieldPosition="0"/>
    </format>
    <format dxfId="78">
      <pivotArea outline="0" fieldPosition="0"/>
    </format>
    <format dxfId="77">
      <pivotArea dataOnly="0" labelOnly="1" outline="0" fieldPosition="0">
        <references count="1">
          <reference field="0" count="0"/>
        </references>
      </pivotArea>
    </format>
    <format dxfId="76">
      <pivotArea outline="0" collapsedLevelsAreSubtotals="1" fieldPosition="0"/>
    </format>
    <format dxfId="75">
      <pivotArea type="all" dataOnly="0" outline="0" fieldPosition="0"/>
    </format>
    <format dxfId="74">
      <pivotArea outline="0" collapsedLevelsAreSubtotals="1" fieldPosition="0"/>
    </format>
    <format dxfId="73">
      <pivotArea dataOnly="0" labelOnly="1" outline="0" fieldPosition="0">
        <references count="1">
          <reference field="4294967294" count="3">
            <x v="0"/>
            <x v="1"/>
            <x v="2"/>
          </reference>
        </references>
      </pivotArea>
    </format>
    <format dxfId="72">
      <pivotArea dataOnly="0" labelOnly="1" outline="0" fieldPosition="0">
        <references count="1">
          <reference field="8" count="0"/>
        </references>
      </pivotArea>
    </format>
    <format dxfId="71">
      <pivotArea dataOnly="0" labelOnly="1" grandCol="1" outline="0" fieldPosition="0"/>
    </format>
  </formats>
  <chartFormats count="5">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3"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40:C143" firstHeaderRow="1" firstDataRow="1" firstDataCol="1" rowPageCount="1" colPageCount="1"/>
  <pivotFields count="32">
    <pivotField compact="0" outline="0" subtotalTop="0" showAll="0" includeNewItemsInFilter="1">
      <items count="18">
        <item x="10"/>
        <item x="14"/>
        <item x="4"/>
        <item x="5"/>
        <item x="7"/>
        <item x="0"/>
        <item x="2"/>
        <item x="3"/>
        <item x="6"/>
        <item x="8"/>
        <item x="9"/>
        <item m="1" x="16"/>
        <item x="13"/>
        <item x="11"/>
        <item m="1" x="15"/>
        <item x="1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Average of Approximate % of fund dedicated to sanitation" fld="28" subtotal="average" baseField="0" baseItem="29047"/>
    <dataField name="Average of Approximate % fund dedicated to Water access" fld="29" subtotal="average" baseField="0" baseItem="29047"/>
    <dataField name="Average of Approximate % of fund dedicated to HP" fld="30" subtotal="average" baseField="0" baseItem="29047"/>
  </dataFields>
  <formats count="9">
    <format dxfId="90">
      <pivotArea outline="0" fieldPosition="0"/>
    </format>
    <format dxfId="89">
      <pivotArea field="0" type="button" dataOnly="0" labelOnly="1" outline="0"/>
    </format>
    <format dxfId="88">
      <pivotArea field="-2" type="button" dataOnly="0" labelOnly="1" outline="0" axis="axisRow" fieldPosition="0"/>
    </format>
    <format dxfId="87">
      <pivotArea dataOnly="0" labelOnly="1" outline="0" fieldPosition="0">
        <references count="1">
          <reference field="4294967294" count="3">
            <x v="0"/>
            <x v="1"/>
            <x v="2"/>
          </reference>
        </references>
      </pivotArea>
    </format>
    <format dxfId="86">
      <pivotArea outline="0" fieldPosition="0"/>
    </format>
    <format dxfId="85">
      <pivotArea type="all" dataOnly="0" outline="0" fieldPosition="0"/>
    </format>
    <format dxfId="84">
      <pivotArea outline="0" collapsedLevelsAreSubtotals="1" fieldPosition="0"/>
    </format>
    <format dxfId="83">
      <pivotArea field="-2" type="button" dataOnly="0" labelOnly="1" outline="0" axis="axisRow" fieldPosition="0"/>
    </format>
    <format dxfId="82">
      <pivotArea dataOnly="0" labelOnly="1" outline="0" fieldPosition="0">
        <references count="1">
          <reference field="4294967294" count="3">
            <x v="0"/>
            <x v="1"/>
            <x v="2"/>
          </reference>
        </references>
      </pivotArea>
    </format>
  </formats>
  <chartFormats count="8">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2"/>
          </reference>
        </references>
      </pivotArea>
    </chartFormat>
    <chartFormat chart="0"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1">
          <reference field="4294967294" count="1" selected="0">
            <x v="0"/>
          </reference>
        </references>
      </pivotArea>
    </chartFormat>
    <chartFormat chart="3" format="8">
      <pivotArea type="data" outline="0" fieldPosition="0">
        <references count="1">
          <reference field="4294967294" count="1" selected="0">
            <x v="1"/>
          </reference>
        </references>
      </pivotArea>
    </chartFormat>
    <chartFormat chart="3" format="9">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374:C393" firstHeaderRow="1" firstDataRow="1" firstDataCol="1" rowPageCount="3" colPageCount="1"/>
  <pivotFields count="94">
    <pivotField axis="axisRow"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multipleItemSelectionAllowed="1"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9">
    <i>
      <x/>
    </i>
    <i>
      <x v="1"/>
    </i>
    <i>
      <x v="2"/>
    </i>
    <i>
      <x v="3"/>
    </i>
    <i>
      <x v="4"/>
    </i>
    <i>
      <x v="6"/>
    </i>
    <i>
      <x v="7"/>
    </i>
    <i>
      <x v="8"/>
    </i>
    <i>
      <x v="9"/>
    </i>
    <i>
      <x v="10"/>
    </i>
    <i>
      <x v="11"/>
    </i>
    <i>
      <x v="12"/>
    </i>
    <i>
      <x v="13"/>
    </i>
    <i>
      <x v="14"/>
    </i>
    <i>
      <x v="15"/>
    </i>
    <i>
      <x v="16"/>
    </i>
    <i>
      <x v="18"/>
    </i>
    <i>
      <x v="19"/>
    </i>
    <i t="grand">
      <x/>
    </i>
  </rowItems>
  <colItems count="1">
    <i/>
  </colItems>
  <pageFields count="3">
    <pageField fld="6" hier="-1"/>
    <pageField fld="7" hier="-1"/>
    <pageField fld="18" hier="-1"/>
  </pageFields>
  <dataFields count="1">
    <dataField name="Sum of Coverage Full HK %" fld="89" baseField="0" baseItem="0"/>
  </dataFields>
  <formats count="2">
    <format dxfId="136">
      <pivotArea outline="0" collapsedLevelsAreSubtotals="1" fieldPosition="0"/>
    </format>
    <format dxfId="135">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le10"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9">
  <location ref="B33:C45"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4">
        <item x="1"/>
        <item x="3"/>
        <item x="12"/>
        <item x="13"/>
        <item h="1" x="0"/>
        <item x="17"/>
        <item x="2"/>
        <item x="18"/>
        <item x="4"/>
        <item m="1" x="22"/>
        <item x="6"/>
        <item x="9"/>
        <item m="1" x="20"/>
        <item x="11"/>
        <item x="14"/>
        <item m="1" x="19"/>
        <item m="1" x="21"/>
        <item x="16"/>
        <item x="10"/>
        <item x="5"/>
        <item x="7"/>
        <item x="8"/>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multipleItemSelectionAllowed="1"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axis="axisPage" dataField="1" compact="0" outline="0" multipleItemSelectionAllowed="1" showAll="0" defaultSubtotal="0">
      <items count="47">
        <item h="1" x="0"/>
        <item x="31"/>
        <item m="1" x="38"/>
        <item x="1"/>
        <item m="1" x="40"/>
        <item x="5"/>
        <item m="1" x="37"/>
        <item x="8"/>
        <item x="9"/>
        <item x="10"/>
        <item x="11"/>
        <item m="1" x="33"/>
        <item x="13"/>
        <item x="14"/>
        <item m="1" x="39"/>
        <item x="19"/>
        <item x="20"/>
        <item x="22"/>
        <item m="1" x="35"/>
        <item m="1" x="46"/>
        <item x="27"/>
        <item x="28"/>
        <item x="29"/>
        <item x="32"/>
        <item h="1" m="1" x="44"/>
        <item h="1" x="4"/>
        <item h="1" x="6"/>
        <item h="1" m="1" x="36"/>
        <item h="1" m="1" x="42"/>
        <item h="1" m="1" x="41"/>
        <item h="1" x="7"/>
        <item h="1" m="1" x="43"/>
        <item h="1" x="17"/>
        <item h="1" x="25"/>
        <item h="1" x="26"/>
        <item h="1" x="30"/>
        <item h="1" m="1" x="45"/>
        <item h="1" m="1" x="34"/>
        <item h="1" x="2"/>
        <item h="1" x="18"/>
        <item h="1" x="21"/>
        <item h="1" x="23"/>
        <item h="1" x="15"/>
        <item h="1" x="16"/>
        <item h="1" x="24"/>
        <item h="1" x="12"/>
        <item h="1" x="3"/>
      </items>
    </pivotField>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1">
    <i>
      <x/>
    </i>
    <i>
      <x v="2"/>
    </i>
    <i>
      <x v="5"/>
    </i>
    <i>
      <x v="6"/>
    </i>
    <i>
      <x v="10"/>
    </i>
    <i>
      <x v="11"/>
    </i>
    <i>
      <x v="13"/>
    </i>
    <i>
      <x v="17"/>
    </i>
    <i>
      <x v="19"/>
    </i>
    <i>
      <x v="22"/>
    </i>
    <i t="grand">
      <x/>
    </i>
  </rowItems>
  <colItems count="1">
    <i/>
  </colItems>
  <pageFields count="1">
    <pageField fld="25" hier="-1"/>
  </pageFields>
  <dataFields count="1">
    <dataField name="Sum of Approximate fund 2014 regarding project date implementation" fld="25" baseField="0" baseItem="0" numFmtId="165"/>
  </dataFields>
  <formats count="7">
    <format dxfId="97">
      <pivotArea outline="0" fieldPosition="0"/>
    </format>
    <format dxfId="96">
      <pivotArea type="origin" dataOnly="0" labelOnly="1" outline="0" fieldPosition="0"/>
    </format>
    <format dxfId="95">
      <pivotArea field="2" type="button" dataOnly="0" labelOnly="1" outline="0" axis="axisRow" fieldPosition="0"/>
    </format>
    <format dxfId="94">
      <pivotArea dataOnly="0" labelOnly="1" grandRow="1" outline="0" fieldPosition="0"/>
    </format>
    <format dxfId="93">
      <pivotArea outline="0" fieldPosition="0"/>
    </format>
    <format dxfId="92">
      <pivotArea type="topRight" dataOnly="0" labelOnly="1" outline="0" fieldPosition="0"/>
    </format>
    <format dxfId="91">
      <pivotArea outline="0" collapsedLevelsAreSubtotals="1" fieldPosition="0"/>
    </format>
  </formats>
  <chartFormats count="7">
    <chartFormat chart="56" format="38" series="1">
      <pivotArea type="data" outline="0" fieldPosition="0">
        <references count="1">
          <reference field="4294967294" count="1" selected="0">
            <x v="0"/>
          </reference>
        </references>
      </pivotArea>
    </chartFormat>
    <chartFormat chart="57" format="40" series="1">
      <pivotArea type="data" outline="0" fieldPosition="0">
        <references count="1">
          <reference field="4294967294" count="1" selected="0">
            <x v="0"/>
          </reference>
        </references>
      </pivotArea>
    </chartFormat>
    <chartFormat chart="57" format="41">
      <pivotArea type="data" outline="0" fieldPosition="0">
        <references count="2">
          <reference field="4294967294" count="1" selected="0">
            <x v="0"/>
          </reference>
          <reference field="2" count="1" selected="0">
            <x v="11"/>
          </reference>
        </references>
      </pivotArea>
    </chartFormat>
    <chartFormat chart="57" format="42">
      <pivotArea type="data" outline="0" fieldPosition="0">
        <references count="2">
          <reference field="4294967294" count="1" selected="0">
            <x v="0"/>
          </reference>
          <reference field="2" count="1" selected="0">
            <x v="15"/>
          </reference>
        </references>
      </pivotArea>
    </chartFormat>
    <chartFormat chart="57" format="43">
      <pivotArea type="data" outline="0" fieldPosition="0">
        <references count="2">
          <reference field="4294967294" count="1" selected="0">
            <x v="0"/>
          </reference>
          <reference field="2" count="1" selected="0">
            <x v="17"/>
          </reference>
        </references>
      </pivotArea>
    </chartFormat>
    <chartFormat chart="57" format="44">
      <pivotArea type="data" outline="0" fieldPosition="0">
        <references count="2">
          <reference field="4294967294" count="1" selected="0">
            <x v="0"/>
          </reference>
          <reference field="2" count="1" selected="0">
            <x v="16"/>
          </reference>
        </references>
      </pivotArea>
    </chartFormat>
    <chartFormat chart="57" format="45">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2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45:C450" firstHeaderRow="1" firstDataRow="1" firstDataCol="1" rowPageCount="3" colPageCount="1"/>
  <pivotFields count="94">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axis="axisRow" dataField="1" showAll="0">
      <items count="16">
        <item m="1" x="5"/>
        <item m="1" x="10"/>
        <item x="0"/>
        <item m="1" x="9"/>
        <item m="1" x="7"/>
        <item m="1" x="14"/>
        <item m="1" x="11"/>
        <item m="1" x="8"/>
        <item m="1" x="12"/>
        <item m="1" x="13"/>
        <item x="3"/>
        <item x="2"/>
        <item x="1"/>
        <item x="4"/>
        <item m="1" x="6"/>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2"/>
  </rowFields>
  <rowItems count="5">
    <i>
      <x v="2"/>
    </i>
    <i>
      <x v="10"/>
    </i>
    <i>
      <x v="11"/>
    </i>
    <i>
      <x v="12"/>
    </i>
    <i t="grand">
      <x/>
    </i>
  </rowItems>
  <colItems count="1">
    <i/>
  </colItems>
  <pageFields count="3">
    <pageField fld="6" hier="-1"/>
    <pageField fld="7" hier="-1"/>
    <pageField fld="18" hier="-1"/>
  </pageFields>
  <dataFields count="1">
    <dataField name="Count of Community management organise and efficient in camps" fld="82" subtotal="count" baseField="0" baseItem="0" numFmtId="3"/>
  </dataFields>
  <formats count="5">
    <format dxfId="141">
      <pivotArea outline="0" collapsedLevelsAreSubtotals="1" fieldPosition="0"/>
    </format>
    <format dxfId="140">
      <pivotArea outline="0" collapsedLevelsAreSubtotals="1" fieldPosition="0"/>
    </format>
    <format dxfId="139">
      <pivotArea outline="0" fieldPosition="0">
        <references count="1">
          <reference field="4294967294" count="1">
            <x v="0"/>
          </reference>
        </references>
      </pivotArea>
    </format>
    <format dxfId="138">
      <pivotArea field="82" type="button" dataOnly="0" labelOnly="1" outline="0" axis="axisRow" fieldPosition="0"/>
    </format>
    <format dxfId="137">
      <pivotArea dataOnly="0" labelOnly="1" outline="0" axis="axisValues" fieldPosition="0"/>
    </format>
  </formats>
  <chartFormats count="20">
    <chartFormat chart="28" format="0" series="1">
      <pivotArea type="data" outline="0" fieldPosition="0">
        <references count="1">
          <reference field="4294967294" count="1" selected="0">
            <x v="0"/>
          </reference>
        </references>
      </pivotArea>
    </chartFormat>
    <chartFormat chart="28" format="1">
      <pivotArea type="data" outline="0" fieldPosition="0">
        <references count="2">
          <reference field="4294967294" count="1" selected="0">
            <x v="0"/>
          </reference>
          <reference field="82" count="1" selected="0">
            <x v="2"/>
          </reference>
        </references>
      </pivotArea>
    </chartFormat>
    <chartFormat chart="28" format="2">
      <pivotArea type="data" outline="0" fieldPosition="0">
        <references count="2">
          <reference field="4294967294" count="1" selected="0">
            <x v="0"/>
          </reference>
          <reference field="82" count="1" selected="0">
            <x v="7"/>
          </reference>
        </references>
      </pivotArea>
    </chartFormat>
    <chartFormat chart="28" format="3">
      <pivotArea type="data" outline="0" fieldPosition="0">
        <references count="2">
          <reference field="4294967294" count="1" selected="0">
            <x v="0"/>
          </reference>
          <reference field="82" count="1" selected="0">
            <x v="11"/>
          </reference>
        </references>
      </pivotArea>
    </chartFormat>
    <chartFormat chart="28" format="4">
      <pivotArea type="data" outline="0" fieldPosition="0">
        <references count="2">
          <reference field="4294967294" count="1" selected="0">
            <x v="0"/>
          </reference>
          <reference field="82" count="1" selected="0">
            <x v="12"/>
          </reference>
        </references>
      </pivotArea>
    </chartFormat>
    <chartFormat chart="28" format="5">
      <pivotArea type="data" outline="0" fieldPosition="0">
        <references count="2">
          <reference field="4294967294" count="1" selected="0">
            <x v="0"/>
          </reference>
          <reference field="82" count="1" selected="0">
            <x v="8"/>
          </reference>
        </references>
      </pivotArea>
    </chartFormat>
    <chartFormat chart="35" format="12" series="1">
      <pivotArea type="data" outline="0" fieldPosition="0">
        <references count="1">
          <reference field="4294967294" count="1" selected="0">
            <x v="0"/>
          </reference>
        </references>
      </pivotArea>
    </chartFormat>
    <chartFormat chart="35" format="13">
      <pivotArea type="data" outline="0" fieldPosition="0">
        <references count="2">
          <reference field="4294967294" count="1" selected="0">
            <x v="0"/>
          </reference>
          <reference field="82" count="1" selected="0">
            <x v="2"/>
          </reference>
        </references>
      </pivotArea>
    </chartFormat>
    <chartFormat chart="35" format="14">
      <pivotArea type="data" outline="0" fieldPosition="0">
        <references count="2">
          <reference field="4294967294" count="1" selected="0">
            <x v="0"/>
          </reference>
          <reference field="82" count="1" selected="0">
            <x v="7"/>
          </reference>
        </references>
      </pivotArea>
    </chartFormat>
    <chartFormat chart="35" format="15">
      <pivotArea type="data" outline="0" fieldPosition="0">
        <references count="2">
          <reference field="4294967294" count="1" selected="0">
            <x v="0"/>
          </reference>
          <reference field="82" count="1" selected="0">
            <x v="8"/>
          </reference>
        </references>
      </pivotArea>
    </chartFormat>
    <chartFormat chart="35" format="16">
      <pivotArea type="data" outline="0" fieldPosition="0">
        <references count="2">
          <reference field="4294967294" count="1" selected="0">
            <x v="0"/>
          </reference>
          <reference field="82" count="1" selected="0">
            <x v="11"/>
          </reference>
        </references>
      </pivotArea>
    </chartFormat>
    <chartFormat chart="35" format="17">
      <pivotArea type="data" outline="0" fieldPosition="0">
        <references count="2">
          <reference field="4294967294" count="1" selected="0">
            <x v="0"/>
          </reference>
          <reference field="82" count="1" selected="0">
            <x v="12"/>
          </reference>
        </references>
      </pivotArea>
    </chartFormat>
    <chartFormat chart="35" format="18">
      <pivotArea type="data" outline="0" fieldPosition="0">
        <references count="2">
          <reference field="4294967294" count="1" selected="0">
            <x v="0"/>
          </reference>
          <reference field="82" count="1" selected="0">
            <x v="0"/>
          </reference>
        </references>
      </pivotArea>
    </chartFormat>
    <chartFormat chart="28" format="6">
      <pivotArea type="data" outline="0" fieldPosition="0">
        <references count="2">
          <reference field="4294967294" count="1" selected="0">
            <x v="0"/>
          </reference>
          <reference field="82" count="1" selected="0">
            <x v="0"/>
          </reference>
        </references>
      </pivotArea>
    </chartFormat>
    <chartFormat chart="28" format="7">
      <pivotArea type="data" outline="0" fieldPosition="0">
        <references count="2">
          <reference field="4294967294" count="1" selected="0">
            <x v="0"/>
          </reference>
          <reference field="82" count="1" selected="0">
            <x v="10"/>
          </reference>
        </references>
      </pivotArea>
    </chartFormat>
    <chartFormat chart="35" format="19">
      <pivotArea type="data" outline="0" fieldPosition="0">
        <references count="2">
          <reference field="4294967294" count="1" selected="0">
            <x v="0"/>
          </reference>
          <reference field="82" count="1" selected="0">
            <x v="10"/>
          </reference>
        </references>
      </pivotArea>
    </chartFormat>
    <chartFormat chart="35" format="20">
      <pivotArea type="data" outline="0" fieldPosition="0">
        <references count="2">
          <reference field="4294967294" count="1" selected="0">
            <x v="0"/>
          </reference>
          <reference field="82" count="1" selected="0">
            <x v="14"/>
          </reference>
        </references>
      </pivotArea>
    </chartFormat>
    <chartFormat chart="28" format="8">
      <pivotArea type="data" outline="0" fieldPosition="0">
        <references count="2">
          <reference field="4294967294" count="1" selected="0">
            <x v="0"/>
          </reference>
          <reference field="82" count="1" selected="0">
            <x v="14"/>
          </reference>
        </references>
      </pivotArea>
    </chartFormat>
    <chartFormat chart="35" format="21">
      <pivotArea type="data" outline="0" fieldPosition="0">
        <references count="2">
          <reference field="4294967294" count="1" selected="0">
            <x v="0"/>
          </reference>
          <reference field="82" count="1" selected="0">
            <x v="13"/>
          </reference>
        </references>
      </pivotArea>
    </chartFormat>
    <chartFormat chart="28" format="9">
      <pivotArea type="data" outline="0" fieldPosition="0">
        <references count="2">
          <reference field="4294967294" count="1" selected="0">
            <x v="0"/>
          </reference>
          <reference field="82"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3">
  <location ref="B698:E710" firstHeaderRow="1" firstDataRow="2" firstDataCol="1" rowPageCount="2" colPageCount="1"/>
  <pivotFields count="94">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8"/>
  </colFields>
  <colItems count="3">
    <i>
      <x/>
    </i>
    <i>
      <x v="1"/>
    </i>
    <i t="grand">
      <x/>
    </i>
  </colItems>
  <pageFields count="2">
    <pageField fld="6" hier="-1"/>
    <pageField fld="7" hier="-1"/>
  </pageFields>
  <dataFields count="1">
    <dataField name="Count of Documented" fld="18" subtotal="count" baseField="0" baseItem="0"/>
  </dataFields>
  <formats count="3">
    <format dxfId="144">
      <pivotArea outline="0" collapsedLevelsAreSubtotals="1" fieldPosition="0"/>
    </format>
    <format dxfId="143">
      <pivotArea outline="0" collapsedLevelsAreSubtotals="1" fieldPosition="0"/>
    </format>
    <format dxfId="142">
      <pivotArea outline="0" collapsedLevelsAreSubtotals="1" fieldPosition="0"/>
    </format>
  </formats>
  <chartFormats count="4">
    <chartFormat chart="48" format="0" series="1">
      <pivotArea type="data" outline="0" fieldPosition="0">
        <references count="2">
          <reference field="4294967294" count="1" selected="0">
            <x v="0"/>
          </reference>
          <reference field="18" count="1" selected="0">
            <x v="0"/>
          </reference>
        </references>
      </pivotArea>
    </chartFormat>
    <chartFormat chart="48" format="1" series="1">
      <pivotArea type="data" outline="0" fieldPosition="0">
        <references count="2">
          <reference field="4294967294" count="1" selected="0">
            <x v="0"/>
          </reference>
          <reference field="18" count="1" selected="0">
            <x v="1"/>
          </reference>
        </references>
      </pivotArea>
    </chartFormat>
    <chartFormat chart="50" format="0" series="1">
      <pivotArea type="data" outline="0" fieldPosition="0">
        <references count="2">
          <reference field="4294967294" count="1" selected="0">
            <x v="0"/>
          </reference>
          <reference field="18" count="1" selected="0">
            <x v="0"/>
          </reference>
        </references>
      </pivotArea>
    </chartFormat>
    <chartFormat chart="50" format="1" series="1">
      <pivotArea type="data" outline="0" fieldPosition="0">
        <references count="2">
          <reference field="4294967294" count="1" selected="0">
            <x v="0"/>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194:E214" firstHeaderRow="1" firstDataRow="2" firstDataCol="1" rowPageCount="2" colPageCount="1"/>
  <pivotFields count="94">
    <pivotField axis="axisRow" showAll="0">
      <items count="21">
        <item x="9"/>
        <item x="0"/>
        <item x="1"/>
        <item x="2"/>
        <item x="14"/>
        <item m="1" x="18"/>
        <item x="10"/>
        <item x="16"/>
        <item x="3"/>
        <item x="4"/>
        <item x="5"/>
        <item x="12"/>
        <item x="6"/>
        <item x="13"/>
        <item x="17"/>
        <item x="7"/>
        <item x="11"/>
        <item m="1" x="19"/>
        <item x="8"/>
        <item x="15"/>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Col"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9">
    <i>
      <x/>
    </i>
    <i>
      <x v="1"/>
    </i>
    <i>
      <x v="2"/>
    </i>
    <i>
      <x v="3"/>
    </i>
    <i>
      <x v="4"/>
    </i>
    <i>
      <x v="6"/>
    </i>
    <i>
      <x v="7"/>
    </i>
    <i>
      <x v="8"/>
    </i>
    <i>
      <x v="9"/>
    </i>
    <i>
      <x v="10"/>
    </i>
    <i>
      <x v="11"/>
    </i>
    <i>
      <x v="12"/>
    </i>
    <i>
      <x v="13"/>
    </i>
    <i>
      <x v="14"/>
    </i>
    <i>
      <x v="15"/>
    </i>
    <i>
      <x v="16"/>
    </i>
    <i>
      <x v="18"/>
    </i>
    <i>
      <x v="19"/>
    </i>
    <i t="grand">
      <x/>
    </i>
  </rowItems>
  <colFields count="1">
    <field x="7"/>
  </colFields>
  <colItems count="3">
    <i>
      <x/>
    </i>
    <i>
      <x v="1"/>
    </i>
    <i t="grand">
      <x/>
    </i>
  </colItems>
  <pageFields count="2">
    <pageField fld="6" hier="-1"/>
    <pageField fld="18" hier="-1"/>
  </pageFields>
  <dataFields count="1">
    <dataField name="Sum of # Semi permanent latrines missing" fld="55" baseField="0" baseItem="0" numFmtId="1"/>
  </dataFields>
  <formats count="4">
    <format dxfId="148">
      <pivotArea outline="0" collapsedLevelsAreSubtotals="1" fieldPosition="0"/>
    </format>
    <format dxfId="147">
      <pivotArea outline="0" collapsedLevelsAreSubtotals="1" fieldPosition="0"/>
    </format>
    <format dxfId="146">
      <pivotArea dataOnly="0" labelOnly="1" fieldPosition="0">
        <references count="1">
          <reference field="7" count="0"/>
        </references>
      </pivotArea>
    </format>
    <format dxfId="145">
      <pivotArea dataOnly="0" labelOnly="1" grandCol="1" outline="0" fieldPosition="0"/>
    </format>
  </formats>
  <chartFormats count="10">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2" format="2" series="1">
      <pivotArea type="data" outline="0" fieldPosition="0">
        <references count="2">
          <reference field="4294967294" count="1" selected="0">
            <x v="0"/>
          </reference>
          <reference field="7" count="1" selected="0">
            <x v="0"/>
          </reference>
        </references>
      </pivotArea>
    </chartFormat>
    <chartFormat chart="12" format="3" series="1">
      <pivotArea type="data" outline="0" fieldPosition="0">
        <references count="2">
          <reference field="4294967294" count="1" selected="0">
            <x v="0"/>
          </reference>
          <reference field="7" count="1" selected="0">
            <x v="1"/>
          </reference>
        </references>
      </pivotArea>
    </chartFormat>
    <chartFormat chart="13" format="4" series="1">
      <pivotArea type="data" outline="0" fieldPosition="0">
        <references count="2">
          <reference field="4294967294" count="1" selected="0">
            <x v="0"/>
          </reference>
          <reference field="7" count="1" selected="0">
            <x v="0"/>
          </reference>
        </references>
      </pivotArea>
    </chartFormat>
    <chartFormat chart="13" format="5" series="1">
      <pivotArea type="data" outline="0" fieldPosition="0">
        <references count="2">
          <reference field="4294967294" count="1" selected="0">
            <x v="0"/>
          </reference>
          <reference field="7" count="1" selected="0">
            <x v="1"/>
          </reference>
        </references>
      </pivotArea>
    </chartFormat>
    <chartFormat chart="14" format="2" series="1">
      <pivotArea type="data" outline="0" fieldPosition="0">
        <references count="2">
          <reference field="4294967294" count="1" selected="0">
            <x v="0"/>
          </reference>
          <reference field="7" count="1" selected="0">
            <x v="0"/>
          </reference>
        </references>
      </pivotArea>
    </chartFormat>
    <chartFormat chart="14" format="3" series="1">
      <pivotArea type="data" outline="0" fieldPosition="0">
        <references count="2">
          <reference field="4294967294" count="1" selected="0">
            <x v="0"/>
          </reference>
          <reference field="7" count="1" selected="0">
            <x v="1"/>
          </reference>
        </references>
      </pivotArea>
    </chartFormat>
    <chartFormat chart="16" format="0" series="1">
      <pivotArea type="data" outline="0" fieldPosition="0">
        <references count="2">
          <reference field="4294967294" count="1" selected="0">
            <x v="0"/>
          </reference>
          <reference field="7" count="1" selected="0">
            <x v="0"/>
          </reference>
        </references>
      </pivotArea>
    </chartFormat>
    <chartFormat chart="16" format="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location ref="B646:E666" firstHeaderRow="1" firstDataRow="2" firstDataCol="1" rowPageCount="3" colPageCount="1"/>
  <pivotFields count="94">
    <pivotField axis="axisRow" showAll="0">
      <items count="21">
        <item x="9"/>
        <item x="0"/>
        <item x="1"/>
        <item x="2"/>
        <item x="14"/>
        <item m="1" x="18"/>
        <item x="10"/>
        <item x="16"/>
        <item x="3"/>
        <item x="4"/>
        <item x="5"/>
        <item x="12"/>
        <item x="6"/>
        <item x="13"/>
        <item x="17"/>
        <item x="7"/>
        <item x="11"/>
        <item m="1" x="19"/>
        <item x="8"/>
        <item x="15"/>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defaultSubtotal="0"/>
    <pivotField showAll="0"/>
    <pivotField showAll="0"/>
    <pivotField axis="axisCol" showAll="0" defaultSubtotal="0">
      <items count="2">
        <item x="0"/>
        <item x="1"/>
      </items>
    </pivotField>
    <pivotField showAll="0" defaultSubtota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9">
    <i>
      <x/>
    </i>
    <i>
      <x v="1"/>
    </i>
    <i>
      <x v="2"/>
    </i>
    <i>
      <x v="3"/>
    </i>
    <i>
      <x v="4"/>
    </i>
    <i>
      <x v="6"/>
    </i>
    <i>
      <x v="7"/>
    </i>
    <i>
      <x v="8"/>
    </i>
    <i>
      <x v="9"/>
    </i>
    <i>
      <x v="10"/>
    </i>
    <i>
      <x v="11"/>
    </i>
    <i>
      <x v="12"/>
    </i>
    <i>
      <x v="13"/>
    </i>
    <i>
      <x v="14"/>
    </i>
    <i>
      <x v="15"/>
    </i>
    <i>
      <x v="16"/>
    </i>
    <i>
      <x v="18"/>
    </i>
    <i>
      <x v="19"/>
    </i>
    <i t="grand">
      <x/>
    </i>
  </rowItems>
  <colFields count="1">
    <field x="15"/>
  </colFields>
  <colItems count="3">
    <i>
      <x/>
    </i>
    <i>
      <x v="1"/>
    </i>
    <i t="grand">
      <x/>
    </i>
  </colItems>
  <pageFields count="3">
    <pageField fld="6" hier="-1"/>
    <pageField fld="2" hier="-1"/>
    <pageField fld="7" hier="-1"/>
  </pageFields>
  <dataFields count="1">
    <dataField name="Sum of Total PoP" fld="10" baseField="0" baseItem="0" numFmtId="1"/>
  </dataFields>
  <formats count="3">
    <format dxfId="151">
      <pivotArea outline="0" collapsedLevelsAreSubtotals="1" fieldPosition="0"/>
    </format>
    <format dxfId="150">
      <pivotArea outline="0" collapsedLevelsAreSubtotals="1" fieldPosition="0"/>
    </format>
    <format dxfId="149">
      <pivotArea outline="0" collapsedLevelsAreSubtotals="1" fieldPosition="0"/>
    </format>
  </formats>
  <chartFormats count="6">
    <chartFormat chart="42" format="0" series="1">
      <pivotArea type="data" outline="0" fieldPosition="0">
        <references count="2">
          <reference field="4294967294" count="1" selected="0">
            <x v="0"/>
          </reference>
          <reference field="15" count="1" selected="0">
            <x v="0"/>
          </reference>
        </references>
      </pivotArea>
    </chartFormat>
    <chartFormat chart="42" format="1" series="1">
      <pivotArea type="data" outline="0" fieldPosition="0">
        <references count="2">
          <reference field="4294967294" count="1" selected="0">
            <x v="0"/>
          </reference>
          <reference field="15" count="1" selected="0">
            <x v="1"/>
          </reference>
        </references>
      </pivotArea>
    </chartFormat>
    <chartFormat chart="44" format="0" series="1">
      <pivotArea type="data" outline="0" fieldPosition="0">
        <references count="2">
          <reference field="4294967294" count="1" selected="0">
            <x v="0"/>
          </reference>
          <reference field="15" count="1" selected="0">
            <x v="0"/>
          </reference>
        </references>
      </pivotArea>
    </chartFormat>
    <chartFormat chart="44" format="1" series="1">
      <pivotArea type="data" outline="0" fieldPosition="0">
        <references count="2">
          <reference field="4294967294" count="1" selected="0">
            <x v="0"/>
          </reference>
          <reference field="15" count="1" selected="0">
            <x v="1"/>
          </reference>
        </references>
      </pivotArea>
    </chartFormat>
    <chartFormat chart="46" format="0" series="1">
      <pivotArea type="data" outline="0" fieldPosition="0">
        <references count="2">
          <reference field="4294967294" count="1" selected="0">
            <x v="0"/>
          </reference>
          <reference field="15" count="1" selected="0">
            <x v="0"/>
          </reference>
        </references>
      </pivotArea>
    </chartFormat>
    <chartFormat chart="46" format="1" series="1">
      <pivotArea type="data" outline="0" fieldPosition="0">
        <references count="2">
          <reference field="4294967294" count="1" selected="0">
            <x v="0"/>
          </reference>
          <reference field="1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4">
  <location ref="B334:D337" firstHeaderRow="0" firstDataRow="1" firstDataCol="1" rowPageCount="2" colPageCount="1"/>
  <pivotFields count="94">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defaultSubtotal="0"/>
    <pivotField showAll="0"/>
    <pivotField showAll="0"/>
    <pivotField showAll="0" defaultSubtotal="0"/>
    <pivotField showAll="0" defaultSubtota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defaultSubtota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8" hier="-1"/>
  </pageFields>
  <dataFields count="2">
    <dataField name="% Bathroom need coverage" fld="86" baseField="0" baseItem="0" numFmtId="1"/>
    <dataField name="% Projection Bathrrom coverage EOP" fld="93" baseField="0" baseItem="0"/>
  </dataFields>
  <formats count="5">
    <format dxfId="156">
      <pivotArea outline="0" collapsedLevelsAreSubtotals="1" fieldPosition="0"/>
    </format>
    <format dxfId="155">
      <pivotArea field="7" type="button" dataOnly="0" labelOnly="1" outline="0" axis="axisRow" fieldPosition="0"/>
    </format>
    <format dxfId="154">
      <pivotArea dataOnly="0" labelOnly="1" outline="0" fieldPosition="0">
        <references count="1">
          <reference field="4294967294" count="2">
            <x v="0"/>
            <x v="1"/>
          </reference>
        </references>
      </pivotArea>
    </format>
    <format dxfId="153">
      <pivotArea outline="0" collapsedLevelsAreSubtotals="1" fieldPosition="0"/>
    </format>
    <format dxfId="152">
      <pivotArea dataOnly="0" labelOnly="1" outline="0" fieldPosition="0">
        <references count="1">
          <reference field="4294967294" count="2">
            <x v="0"/>
            <x v="1"/>
          </reference>
        </references>
      </pivotArea>
    </format>
  </formats>
  <chartFormats count="6">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0" format="0" series="1">
      <pivotArea type="data" outline="0" fieldPosition="0">
        <references count="1">
          <reference field="4294967294" count="1" selected="0">
            <x v="0"/>
          </reference>
        </references>
      </pivotArea>
    </chartFormat>
    <chartFormat chart="40" format="1" series="1">
      <pivotArea type="data" outline="0" fieldPosition="0">
        <references count="1">
          <reference field="4294967294" count="1" selected="0">
            <x v="1"/>
          </reference>
        </references>
      </pivotArea>
    </chartFormat>
    <chartFormat chart="42" format="0" series="1">
      <pivotArea type="data" outline="0" fieldPosition="0">
        <references count="1">
          <reference field="4294967294" count="1" selected="0">
            <x v="0"/>
          </reference>
        </references>
      </pivotArea>
    </chartFormat>
    <chartFormat chart="4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drawing" Target="../drawings/drawing3.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38.xml"/><Relationship Id="rId3" Type="http://schemas.openxmlformats.org/officeDocument/2006/relationships/pivotTable" Target="../pivotTables/pivotTable33.xml"/><Relationship Id="rId7" Type="http://schemas.openxmlformats.org/officeDocument/2006/relationships/pivotTable" Target="../pivotTables/pivotTable37.xml"/><Relationship Id="rId12" Type="http://schemas.openxmlformats.org/officeDocument/2006/relationships/drawing" Target="../drawings/drawing4.xml"/><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pivotTable" Target="../pivotTables/pivotTable36.xml"/><Relationship Id="rId11" Type="http://schemas.openxmlformats.org/officeDocument/2006/relationships/printerSettings" Target="../printerSettings/printerSettings3.bin"/><Relationship Id="rId5" Type="http://schemas.openxmlformats.org/officeDocument/2006/relationships/pivotTable" Target="../pivotTables/pivotTable35.xml"/><Relationship Id="rId10" Type="http://schemas.openxmlformats.org/officeDocument/2006/relationships/pivotTable" Target="../pivotTables/pivotTable40.xml"/><Relationship Id="rId4" Type="http://schemas.openxmlformats.org/officeDocument/2006/relationships/pivotTable" Target="../pivotTables/pivotTable34.xml"/><Relationship Id="rId9" Type="http://schemas.openxmlformats.org/officeDocument/2006/relationships/pivotTable" Target="../pivotTables/pivotTable3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3"/>
  <sheetViews>
    <sheetView tabSelected="1" zoomScale="75" zoomScaleNormal="75" workbookViewId="0">
      <selection activeCell="A97" sqref="A97"/>
    </sheetView>
  </sheetViews>
  <sheetFormatPr defaultColWidth="8.85546875" defaultRowHeight="15" x14ac:dyDescent="0.25"/>
  <cols>
    <col min="1" max="1" width="8.140625" style="1" customWidth="1"/>
    <col min="2" max="2" width="2.5703125" style="1" customWidth="1"/>
    <col min="3" max="16384" width="8.85546875" style="1"/>
  </cols>
  <sheetData>
    <row r="1" spans="2:20" ht="28.15" customHeight="1" thickBot="1" x14ac:dyDescent="0.3"/>
    <row r="2" spans="2:20" s="9" customFormat="1" ht="35.450000000000003" customHeight="1" thickTop="1" thickBot="1" x14ac:dyDescent="0.3">
      <c r="B2" s="805" t="s">
        <v>72</v>
      </c>
      <c r="C2" s="806"/>
      <c r="D2" s="806"/>
      <c r="E2" s="806"/>
      <c r="F2" s="806"/>
      <c r="G2" s="806"/>
      <c r="H2" s="806"/>
      <c r="I2" s="806"/>
      <c r="J2" s="806"/>
      <c r="K2" s="806"/>
      <c r="L2" s="806"/>
      <c r="M2" s="806"/>
      <c r="N2" s="806"/>
      <c r="O2" s="806"/>
      <c r="P2" s="806"/>
      <c r="Q2" s="806"/>
      <c r="R2" s="806"/>
      <c r="S2" s="806"/>
      <c r="T2" s="807"/>
    </row>
    <row r="3" spans="2:20" ht="15.75" thickTop="1" x14ac:dyDescent="0.25">
      <c r="B3" s="2"/>
      <c r="C3" s="3"/>
      <c r="D3" s="3"/>
      <c r="E3" s="3"/>
      <c r="F3" s="3"/>
      <c r="G3" s="3"/>
      <c r="H3" s="3"/>
      <c r="I3" s="3"/>
      <c r="J3" s="3"/>
      <c r="K3" s="3"/>
      <c r="L3" s="3"/>
      <c r="M3" s="3"/>
      <c r="N3" s="3"/>
      <c r="O3" s="3"/>
      <c r="P3" s="3"/>
      <c r="Q3" s="3"/>
      <c r="R3" s="3"/>
      <c r="S3" s="3"/>
      <c r="T3" s="4"/>
    </row>
    <row r="4" spans="2:20" x14ac:dyDescent="0.25">
      <c r="B4" s="2"/>
      <c r="C4" s="5" t="s">
        <v>34</v>
      </c>
      <c r="D4" s="3"/>
      <c r="E4" s="3"/>
      <c r="F4" s="3"/>
      <c r="G4" s="3"/>
      <c r="H4" s="3"/>
      <c r="I4" s="3"/>
      <c r="J4" s="3"/>
      <c r="K4" s="3"/>
      <c r="L4" s="3"/>
      <c r="M4" s="3"/>
      <c r="N4" s="3"/>
      <c r="O4" s="3"/>
      <c r="P4" s="3"/>
      <c r="Q4" s="3"/>
      <c r="R4" s="3"/>
      <c r="S4" s="3"/>
      <c r="T4" s="4"/>
    </row>
    <row r="5" spans="2:20" x14ac:dyDescent="0.25">
      <c r="B5" s="2"/>
      <c r="C5" s="3"/>
      <c r="D5" s="3" t="s">
        <v>35</v>
      </c>
      <c r="E5" s="3"/>
      <c r="F5" s="3"/>
      <c r="G5" s="3"/>
      <c r="H5" s="3"/>
      <c r="I5" s="3"/>
      <c r="J5" s="3"/>
      <c r="K5" s="3"/>
      <c r="L5" s="3"/>
      <c r="M5" s="3"/>
      <c r="N5" s="3"/>
      <c r="O5" s="3"/>
      <c r="P5" s="3"/>
      <c r="Q5" s="3"/>
      <c r="R5" s="3"/>
      <c r="S5" s="3"/>
      <c r="T5" s="4"/>
    </row>
    <row r="6" spans="2:20" x14ac:dyDescent="0.25">
      <c r="B6" s="2"/>
      <c r="C6" s="3"/>
      <c r="D6" s="3" t="s">
        <v>36</v>
      </c>
      <c r="E6" s="3"/>
      <c r="F6" s="3"/>
      <c r="G6" s="3"/>
      <c r="H6" s="3"/>
      <c r="I6" s="3"/>
      <c r="J6" s="3"/>
      <c r="K6" s="3"/>
      <c r="L6" s="3"/>
      <c r="M6" s="3"/>
      <c r="N6" s="3"/>
      <c r="O6" s="3"/>
      <c r="P6" s="3"/>
      <c r="Q6" s="3"/>
      <c r="R6" s="3"/>
      <c r="S6" s="3"/>
      <c r="T6" s="4"/>
    </row>
    <row r="7" spans="2:20" x14ac:dyDescent="0.25">
      <c r="B7" s="2"/>
      <c r="C7" s="3"/>
      <c r="D7" s="3" t="s">
        <v>37</v>
      </c>
      <c r="E7" s="3"/>
      <c r="F7" s="3"/>
      <c r="G7" s="3"/>
      <c r="H7" s="3"/>
      <c r="I7" s="3"/>
      <c r="J7" s="3"/>
      <c r="K7" s="3"/>
      <c r="L7" s="3"/>
      <c r="M7" s="3"/>
      <c r="N7" s="3"/>
      <c r="O7" s="3"/>
      <c r="P7" s="3"/>
      <c r="Q7" s="3"/>
      <c r="R7" s="3"/>
      <c r="S7" s="3"/>
      <c r="T7" s="4"/>
    </row>
    <row r="8" spans="2:20" x14ac:dyDescent="0.25">
      <c r="B8" s="2"/>
      <c r="C8" s="3"/>
      <c r="D8" s="3" t="s">
        <v>55</v>
      </c>
      <c r="E8" s="3"/>
      <c r="F8" s="3"/>
      <c r="G8" s="3"/>
      <c r="H8" s="3"/>
      <c r="I8" s="3"/>
      <c r="J8" s="3"/>
      <c r="K8" s="3"/>
      <c r="L8" s="3"/>
      <c r="M8" s="3"/>
      <c r="N8" s="3"/>
      <c r="O8" s="3"/>
      <c r="P8" s="3"/>
      <c r="Q8" s="3"/>
      <c r="R8" s="3"/>
      <c r="S8" s="3"/>
      <c r="T8" s="4"/>
    </row>
    <row r="9" spans="2:20" x14ac:dyDescent="0.25">
      <c r="B9" s="2"/>
      <c r="C9" s="3"/>
      <c r="D9" s="3" t="s">
        <v>38</v>
      </c>
      <c r="E9" s="3"/>
      <c r="F9" s="3"/>
      <c r="G9" s="3"/>
      <c r="H9" s="3"/>
      <c r="I9" s="3"/>
      <c r="J9" s="3"/>
      <c r="K9" s="3"/>
      <c r="L9" s="3"/>
      <c r="M9" s="3"/>
      <c r="N9" s="3"/>
      <c r="O9" s="3"/>
      <c r="P9" s="3"/>
      <c r="Q9" s="3"/>
      <c r="R9" s="3"/>
      <c r="S9" s="3"/>
      <c r="T9" s="4"/>
    </row>
    <row r="10" spans="2:20" x14ac:dyDescent="0.25">
      <c r="B10" s="2"/>
      <c r="C10" s="3"/>
      <c r="D10" s="3" t="s">
        <v>39</v>
      </c>
      <c r="E10" s="3"/>
      <c r="F10" s="3"/>
      <c r="G10" s="3"/>
      <c r="H10" s="3"/>
      <c r="I10" s="3"/>
      <c r="J10" s="3"/>
      <c r="K10" s="3"/>
      <c r="L10" s="3"/>
      <c r="M10" s="3"/>
      <c r="N10" s="3"/>
      <c r="O10" s="3"/>
      <c r="P10" s="3"/>
      <c r="Q10" s="3"/>
      <c r="R10" s="3"/>
      <c r="S10" s="3"/>
      <c r="T10" s="4"/>
    </row>
    <row r="11" spans="2:20" x14ac:dyDescent="0.25">
      <c r="B11" s="2"/>
      <c r="C11" s="3"/>
      <c r="D11" s="3" t="s">
        <v>40</v>
      </c>
      <c r="E11" s="3"/>
      <c r="F11" s="3"/>
      <c r="G11" s="3"/>
      <c r="H11" s="3"/>
      <c r="I11" s="3"/>
      <c r="J11" s="3"/>
      <c r="K11" s="3"/>
      <c r="L11" s="3"/>
      <c r="M11" s="3"/>
      <c r="N11" s="3"/>
      <c r="O11" s="3"/>
      <c r="P11" s="3"/>
      <c r="Q11" s="3"/>
      <c r="R11" s="3"/>
      <c r="S11" s="3"/>
      <c r="T11" s="4"/>
    </row>
    <row r="12" spans="2:20" x14ac:dyDescent="0.25">
      <c r="B12" s="2"/>
      <c r="C12" s="3"/>
      <c r="D12" s="3" t="s">
        <v>42</v>
      </c>
      <c r="E12" s="3"/>
      <c r="F12" s="3"/>
      <c r="G12" s="3"/>
      <c r="H12" s="3"/>
      <c r="I12" s="3"/>
      <c r="J12" s="3"/>
      <c r="K12" s="3"/>
      <c r="L12" s="3"/>
      <c r="M12" s="3"/>
      <c r="N12" s="3"/>
      <c r="O12" s="3"/>
      <c r="P12" s="3"/>
      <c r="Q12" s="3"/>
      <c r="R12" s="3"/>
      <c r="S12" s="3"/>
      <c r="T12" s="4"/>
    </row>
    <row r="13" spans="2:20" x14ac:dyDescent="0.25">
      <c r="B13" s="2"/>
      <c r="C13" s="3"/>
      <c r="D13" s="3" t="s">
        <v>43</v>
      </c>
      <c r="E13" s="3"/>
      <c r="F13" s="3"/>
      <c r="G13" s="3"/>
      <c r="H13" s="3"/>
      <c r="I13" s="3"/>
      <c r="J13" s="3"/>
      <c r="K13" s="3"/>
      <c r="L13" s="3"/>
      <c r="M13" s="3"/>
      <c r="N13" s="3"/>
      <c r="O13" s="3"/>
      <c r="P13" s="3"/>
      <c r="Q13" s="3"/>
      <c r="R13" s="3"/>
      <c r="S13" s="3"/>
      <c r="T13" s="4"/>
    </row>
    <row r="14" spans="2:20" x14ac:dyDescent="0.25">
      <c r="B14" s="2"/>
      <c r="C14" s="3"/>
      <c r="D14" s="3"/>
      <c r="E14" s="3"/>
      <c r="F14" s="3"/>
      <c r="G14" s="3"/>
      <c r="H14" s="3"/>
      <c r="I14" s="3"/>
      <c r="J14" s="3"/>
      <c r="K14" s="3"/>
      <c r="L14" s="3"/>
      <c r="M14" s="3"/>
      <c r="N14" s="3"/>
      <c r="O14" s="3"/>
      <c r="P14" s="3"/>
      <c r="Q14" s="3"/>
      <c r="R14" s="3"/>
      <c r="S14" s="3"/>
      <c r="T14" s="4"/>
    </row>
    <row r="15" spans="2:20" x14ac:dyDescent="0.25">
      <c r="B15" s="2"/>
      <c r="C15" s="5" t="s">
        <v>50</v>
      </c>
      <c r="D15" s="3"/>
      <c r="E15" s="3"/>
      <c r="F15" s="3"/>
      <c r="G15" s="3"/>
      <c r="H15" s="3"/>
      <c r="I15" s="3"/>
      <c r="J15" s="3"/>
      <c r="K15" s="3"/>
      <c r="L15" s="3"/>
      <c r="M15" s="3"/>
      <c r="N15" s="3"/>
      <c r="O15" s="3"/>
      <c r="P15" s="3"/>
      <c r="Q15" s="3"/>
      <c r="R15" s="3"/>
      <c r="S15" s="3"/>
      <c r="T15" s="4"/>
    </row>
    <row r="16" spans="2:20" x14ac:dyDescent="0.25">
      <c r="B16" s="2"/>
      <c r="C16" s="3"/>
      <c r="D16" s="3" t="s">
        <v>51</v>
      </c>
      <c r="E16" s="3"/>
      <c r="F16" s="3"/>
      <c r="G16" s="3"/>
      <c r="H16" s="3"/>
      <c r="I16" s="3"/>
      <c r="J16" s="3"/>
      <c r="K16" s="3"/>
      <c r="L16" s="3"/>
      <c r="M16" s="3"/>
      <c r="N16" s="3"/>
      <c r="O16" s="3"/>
      <c r="P16" s="3"/>
      <c r="Q16" s="3"/>
      <c r="R16" s="3"/>
      <c r="S16" s="3"/>
      <c r="T16" s="4"/>
    </row>
    <row r="17" spans="2:20" x14ac:dyDescent="0.25">
      <c r="B17" s="2"/>
      <c r="C17" s="3"/>
      <c r="D17" s="3" t="s">
        <v>52</v>
      </c>
      <c r="E17" s="3"/>
      <c r="F17" s="3"/>
      <c r="G17" s="3"/>
      <c r="H17" s="3"/>
      <c r="I17" s="3"/>
      <c r="J17" s="3"/>
      <c r="K17" s="3"/>
      <c r="L17" s="3"/>
      <c r="M17" s="3"/>
      <c r="N17" s="3"/>
      <c r="O17" s="3"/>
      <c r="P17" s="3"/>
      <c r="Q17" s="3"/>
      <c r="R17" s="3"/>
      <c r="S17" s="3"/>
      <c r="T17" s="4"/>
    </row>
    <row r="18" spans="2:20" x14ac:dyDescent="0.25">
      <c r="B18" s="2"/>
      <c r="C18" s="3"/>
      <c r="D18" s="3" t="s">
        <v>53</v>
      </c>
      <c r="E18" s="3"/>
      <c r="F18" s="3"/>
      <c r="G18" s="3"/>
      <c r="H18" s="3"/>
      <c r="I18" s="3"/>
      <c r="J18" s="3"/>
      <c r="K18" s="3"/>
      <c r="L18" s="3"/>
      <c r="M18" s="3"/>
      <c r="N18" s="3"/>
      <c r="O18" s="3"/>
      <c r="P18" s="3"/>
      <c r="Q18" s="3"/>
      <c r="R18" s="3"/>
      <c r="S18" s="3"/>
      <c r="T18" s="4"/>
    </row>
    <row r="19" spans="2:20" x14ac:dyDescent="0.25">
      <c r="B19" s="2"/>
      <c r="C19" s="3"/>
      <c r="D19" s="3" t="s">
        <v>54</v>
      </c>
      <c r="E19" s="3"/>
      <c r="F19" s="3"/>
      <c r="G19" s="3"/>
      <c r="H19" s="3"/>
      <c r="I19" s="3"/>
      <c r="J19" s="3"/>
      <c r="K19" s="3"/>
      <c r="L19" s="3"/>
      <c r="M19" s="3"/>
      <c r="N19" s="3"/>
      <c r="O19" s="3"/>
      <c r="P19" s="3"/>
      <c r="Q19" s="3"/>
      <c r="R19" s="3"/>
      <c r="S19" s="3"/>
      <c r="T19" s="4"/>
    </row>
    <row r="20" spans="2:20" x14ac:dyDescent="0.25">
      <c r="B20" s="2"/>
      <c r="C20" s="3"/>
      <c r="D20" s="3" t="s">
        <v>57</v>
      </c>
      <c r="E20" s="3"/>
      <c r="F20" s="3"/>
      <c r="G20" s="3"/>
      <c r="H20" s="3"/>
      <c r="I20" s="3"/>
      <c r="J20" s="3"/>
      <c r="K20" s="3"/>
      <c r="L20" s="3"/>
      <c r="M20" s="3"/>
      <c r="N20" s="3"/>
      <c r="O20" s="3"/>
      <c r="P20" s="3"/>
      <c r="Q20" s="3"/>
      <c r="R20" s="3"/>
      <c r="S20" s="3"/>
      <c r="T20" s="4"/>
    </row>
    <row r="21" spans="2:20" x14ac:dyDescent="0.25">
      <c r="B21" s="2"/>
      <c r="C21" s="3"/>
      <c r="D21" s="3" t="s">
        <v>58</v>
      </c>
      <c r="E21" s="3"/>
      <c r="F21" s="3"/>
      <c r="G21" s="3"/>
      <c r="H21" s="3"/>
      <c r="I21" s="3"/>
      <c r="J21" s="3"/>
      <c r="K21" s="3"/>
      <c r="L21" s="3"/>
      <c r="M21" s="3"/>
      <c r="N21" s="3"/>
      <c r="O21" s="3"/>
      <c r="P21" s="3"/>
      <c r="Q21" s="3"/>
      <c r="R21" s="3"/>
      <c r="S21" s="3"/>
      <c r="T21" s="4"/>
    </row>
    <row r="22" spans="2:20" x14ac:dyDescent="0.25">
      <c r="B22" s="2"/>
      <c r="C22" s="3"/>
      <c r="D22" s="3" t="s">
        <v>59</v>
      </c>
      <c r="E22" s="3"/>
      <c r="F22" s="3"/>
      <c r="G22" s="3"/>
      <c r="H22" s="3"/>
      <c r="I22" s="3"/>
      <c r="J22" s="3"/>
      <c r="K22" s="3"/>
      <c r="L22" s="3"/>
      <c r="M22" s="3"/>
      <c r="N22" s="3"/>
      <c r="O22" s="3"/>
      <c r="P22" s="3"/>
      <c r="Q22" s="3"/>
      <c r="R22" s="3"/>
      <c r="S22" s="3"/>
      <c r="T22" s="4"/>
    </row>
    <row r="23" spans="2:20" x14ac:dyDescent="0.25">
      <c r="B23" s="2"/>
      <c r="C23" s="3"/>
      <c r="D23" s="3"/>
      <c r="E23" s="3"/>
      <c r="F23" s="3"/>
      <c r="G23" s="3"/>
      <c r="H23" s="3"/>
      <c r="I23" s="3"/>
      <c r="J23" s="3"/>
      <c r="K23" s="3"/>
      <c r="L23" s="3"/>
      <c r="M23" s="3"/>
      <c r="N23" s="3"/>
      <c r="O23" s="3"/>
      <c r="P23" s="3"/>
      <c r="Q23" s="3"/>
      <c r="R23" s="3"/>
      <c r="S23" s="3"/>
      <c r="T23" s="4"/>
    </row>
    <row r="24" spans="2:20" x14ac:dyDescent="0.25">
      <c r="B24" s="2"/>
      <c r="C24" s="5" t="s">
        <v>27</v>
      </c>
      <c r="D24" s="3"/>
      <c r="E24" s="3"/>
      <c r="F24" s="3"/>
      <c r="G24" s="3"/>
      <c r="H24" s="3"/>
      <c r="I24" s="3"/>
      <c r="J24" s="3"/>
      <c r="K24" s="3"/>
      <c r="L24" s="3"/>
      <c r="M24" s="3"/>
      <c r="N24" s="3"/>
      <c r="O24" s="3"/>
      <c r="P24" s="3"/>
      <c r="Q24" s="3"/>
      <c r="R24" s="3"/>
      <c r="S24" s="3"/>
      <c r="T24" s="4"/>
    </row>
    <row r="25" spans="2:20" x14ac:dyDescent="0.25">
      <c r="B25" s="2"/>
      <c r="C25" s="3"/>
      <c r="D25" s="3" t="s">
        <v>28</v>
      </c>
      <c r="E25" s="3"/>
      <c r="F25" s="3"/>
      <c r="G25" s="3"/>
      <c r="H25" s="3"/>
      <c r="I25" s="3"/>
      <c r="J25" s="3"/>
      <c r="K25" s="3"/>
      <c r="L25" s="3"/>
      <c r="M25" s="3"/>
      <c r="N25" s="3"/>
      <c r="O25" s="3"/>
      <c r="P25" s="3"/>
      <c r="Q25" s="3"/>
      <c r="R25" s="3"/>
      <c r="S25" s="3"/>
      <c r="T25" s="4"/>
    </row>
    <row r="26" spans="2:20" x14ac:dyDescent="0.25">
      <c r="B26" s="2"/>
      <c r="C26" s="3"/>
      <c r="D26" s="3" t="s">
        <v>29</v>
      </c>
      <c r="E26" s="3"/>
      <c r="F26" s="3"/>
      <c r="G26" s="3"/>
      <c r="H26" s="3"/>
      <c r="I26" s="3"/>
      <c r="J26" s="3"/>
      <c r="K26" s="3"/>
      <c r="L26" s="3"/>
      <c r="M26" s="3"/>
      <c r="N26" s="3"/>
      <c r="O26" s="3"/>
      <c r="P26" s="3"/>
      <c r="Q26" s="3"/>
      <c r="R26" s="3"/>
      <c r="S26" s="3"/>
      <c r="T26" s="4"/>
    </row>
    <row r="27" spans="2:20" x14ac:dyDescent="0.25">
      <c r="B27" s="2"/>
      <c r="C27" s="3"/>
      <c r="D27" s="3" t="s">
        <v>30</v>
      </c>
      <c r="E27" s="3"/>
      <c r="F27" s="3"/>
      <c r="G27" s="3"/>
      <c r="H27" s="3"/>
      <c r="I27" s="3"/>
      <c r="J27" s="3"/>
      <c r="K27" s="3"/>
      <c r="L27" s="3"/>
      <c r="M27" s="3"/>
      <c r="N27" s="3"/>
      <c r="O27" s="3"/>
      <c r="P27" s="3"/>
      <c r="Q27" s="3"/>
      <c r="R27" s="3"/>
      <c r="S27" s="3"/>
      <c r="T27" s="4"/>
    </row>
    <row r="28" spans="2:20" x14ac:dyDescent="0.25">
      <c r="B28" s="2"/>
      <c r="C28" s="3"/>
      <c r="D28" s="3" t="s">
        <v>31</v>
      </c>
      <c r="E28" s="3"/>
      <c r="F28" s="3"/>
      <c r="G28" s="3"/>
      <c r="H28" s="3"/>
      <c r="I28" s="3"/>
      <c r="J28" s="3"/>
      <c r="K28" s="3"/>
      <c r="L28" s="3"/>
      <c r="M28" s="3"/>
      <c r="N28" s="3"/>
      <c r="O28" s="3"/>
      <c r="P28" s="3"/>
      <c r="Q28" s="3"/>
      <c r="R28" s="3"/>
      <c r="S28" s="3"/>
      <c r="T28" s="4"/>
    </row>
    <row r="29" spans="2:20" x14ac:dyDescent="0.25">
      <c r="B29" s="2"/>
      <c r="C29" s="3"/>
      <c r="D29" s="3"/>
      <c r="E29" s="3"/>
      <c r="F29" s="3"/>
      <c r="G29" s="3"/>
      <c r="H29" s="3"/>
      <c r="I29" s="3"/>
      <c r="J29" s="3"/>
      <c r="K29" s="3"/>
      <c r="L29" s="3"/>
      <c r="M29" s="3"/>
      <c r="N29" s="3"/>
      <c r="O29" s="3"/>
      <c r="P29" s="3"/>
      <c r="Q29" s="3"/>
      <c r="R29" s="3"/>
      <c r="S29" s="3"/>
      <c r="T29" s="4"/>
    </row>
    <row r="30" spans="2:20" x14ac:dyDescent="0.25">
      <c r="B30" s="2"/>
      <c r="C30" s="5" t="s">
        <v>32</v>
      </c>
      <c r="D30" s="3"/>
      <c r="E30" s="3"/>
      <c r="F30" s="3"/>
      <c r="G30" s="3"/>
      <c r="H30" s="3"/>
      <c r="I30" s="3"/>
      <c r="J30" s="3"/>
      <c r="K30" s="3"/>
      <c r="L30" s="3"/>
      <c r="M30" s="3"/>
      <c r="N30" s="3"/>
      <c r="O30" s="3"/>
      <c r="P30" s="3"/>
      <c r="Q30" s="3"/>
      <c r="R30" s="3"/>
      <c r="S30" s="3"/>
      <c r="T30" s="4"/>
    </row>
    <row r="31" spans="2:20" x14ac:dyDescent="0.25">
      <c r="B31" s="2"/>
      <c r="C31" s="3"/>
      <c r="D31" s="3" t="s">
        <v>33</v>
      </c>
      <c r="E31" s="3"/>
      <c r="F31" s="3"/>
      <c r="G31" s="3"/>
      <c r="H31" s="3"/>
      <c r="I31" s="3"/>
      <c r="J31" s="3"/>
      <c r="K31" s="3"/>
      <c r="L31" s="3"/>
      <c r="M31" s="3"/>
      <c r="N31" s="3"/>
      <c r="O31" s="3"/>
      <c r="P31" s="3"/>
      <c r="Q31" s="3"/>
      <c r="R31" s="3"/>
      <c r="S31" s="3"/>
      <c r="T31" s="4"/>
    </row>
    <row r="32" spans="2:20" x14ac:dyDescent="0.25">
      <c r="B32" s="2"/>
      <c r="C32" s="3"/>
      <c r="D32" s="3" t="s">
        <v>44</v>
      </c>
      <c r="E32" s="3"/>
      <c r="F32" s="3"/>
      <c r="G32" s="3"/>
      <c r="H32" s="3"/>
      <c r="I32" s="3"/>
      <c r="J32" s="3"/>
      <c r="K32" s="3"/>
      <c r="L32" s="3"/>
      <c r="M32" s="3"/>
      <c r="N32" s="3"/>
      <c r="O32" s="3"/>
      <c r="P32" s="3"/>
      <c r="Q32" s="3"/>
      <c r="R32" s="3"/>
      <c r="S32" s="3"/>
      <c r="T32" s="4"/>
    </row>
    <row r="33" spans="2:20" x14ac:dyDescent="0.25">
      <c r="B33" s="2"/>
      <c r="C33" s="3"/>
      <c r="D33" s="3" t="s">
        <v>45</v>
      </c>
      <c r="E33" s="3"/>
      <c r="F33" s="3"/>
      <c r="G33" s="3"/>
      <c r="H33" s="3"/>
      <c r="I33" s="3"/>
      <c r="J33" s="3"/>
      <c r="K33" s="3"/>
      <c r="L33" s="3"/>
      <c r="M33" s="3"/>
      <c r="N33" s="3"/>
      <c r="O33" s="3"/>
      <c r="P33" s="3"/>
      <c r="Q33" s="3"/>
      <c r="R33" s="3"/>
      <c r="S33" s="3"/>
      <c r="T33" s="4"/>
    </row>
    <row r="34" spans="2:20" x14ac:dyDescent="0.25">
      <c r="B34" s="2"/>
      <c r="C34" s="3"/>
      <c r="D34" s="3" t="s">
        <v>46</v>
      </c>
      <c r="E34" s="3"/>
      <c r="F34" s="3"/>
      <c r="G34" s="3"/>
      <c r="H34" s="3"/>
      <c r="I34" s="3"/>
      <c r="J34" s="3"/>
      <c r="K34" s="3"/>
      <c r="L34" s="3"/>
      <c r="M34" s="3"/>
      <c r="N34" s="3"/>
      <c r="O34" s="3"/>
      <c r="P34" s="3"/>
      <c r="Q34" s="3"/>
      <c r="R34" s="3"/>
      <c r="S34" s="3"/>
      <c r="T34" s="4"/>
    </row>
    <row r="35" spans="2:20" x14ac:dyDescent="0.25">
      <c r="B35" s="2"/>
      <c r="C35" s="3"/>
      <c r="D35" s="3"/>
      <c r="E35" s="3"/>
      <c r="F35" s="3"/>
      <c r="G35" s="3"/>
      <c r="H35" s="3"/>
      <c r="I35" s="3"/>
      <c r="J35" s="3"/>
      <c r="K35" s="3"/>
      <c r="L35" s="3"/>
      <c r="M35" s="3"/>
      <c r="N35" s="3"/>
      <c r="O35" s="3"/>
      <c r="P35" s="3"/>
      <c r="Q35" s="3"/>
      <c r="R35" s="3"/>
      <c r="S35" s="3"/>
      <c r="T35" s="4"/>
    </row>
    <row r="36" spans="2:20" x14ac:dyDescent="0.25">
      <c r="B36" s="2"/>
      <c r="C36" s="5" t="s">
        <v>41</v>
      </c>
      <c r="D36" s="3"/>
      <c r="E36" s="3"/>
      <c r="F36" s="3"/>
      <c r="G36" s="3"/>
      <c r="H36" s="3"/>
      <c r="I36" s="3"/>
      <c r="J36" s="3"/>
      <c r="K36" s="3"/>
      <c r="L36" s="3"/>
      <c r="M36" s="3"/>
      <c r="N36" s="3"/>
      <c r="O36" s="3"/>
      <c r="P36" s="3"/>
      <c r="Q36" s="3"/>
      <c r="R36" s="3"/>
      <c r="S36" s="3"/>
      <c r="T36" s="4"/>
    </row>
    <row r="37" spans="2:20" x14ac:dyDescent="0.25">
      <c r="B37" s="2"/>
      <c r="C37" s="3"/>
      <c r="D37" s="3" t="s">
        <v>47</v>
      </c>
      <c r="E37" s="3"/>
      <c r="F37" s="3"/>
      <c r="G37" s="3"/>
      <c r="H37" s="3"/>
      <c r="I37" s="3"/>
      <c r="J37" s="3"/>
      <c r="K37" s="3"/>
      <c r="L37" s="3"/>
      <c r="M37" s="3"/>
      <c r="N37" s="3"/>
      <c r="O37" s="3"/>
      <c r="P37" s="3"/>
      <c r="Q37" s="3"/>
      <c r="R37" s="3"/>
      <c r="S37" s="3"/>
      <c r="T37" s="4"/>
    </row>
    <row r="38" spans="2:20" x14ac:dyDescent="0.25">
      <c r="B38" s="2"/>
      <c r="C38" s="3"/>
      <c r="D38" s="3" t="s">
        <v>48</v>
      </c>
      <c r="E38" s="3"/>
      <c r="F38" s="3"/>
      <c r="G38" s="3"/>
      <c r="H38" s="3"/>
      <c r="I38" s="3"/>
      <c r="J38" s="3"/>
      <c r="K38" s="3"/>
      <c r="L38" s="3"/>
      <c r="M38" s="3"/>
      <c r="N38" s="3"/>
      <c r="O38" s="3"/>
      <c r="P38" s="3"/>
      <c r="Q38" s="3"/>
      <c r="R38" s="3"/>
      <c r="S38" s="3"/>
      <c r="T38" s="4"/>
    </row>
    <row r="39" spans="2:20" x14ac:dyDescent="0.25">
      <c r="B39" s="2"/>
      <c r="C39" s="3"/>
      <c r="D39" s="3" t="s">
        <v>49</v>
      </c>
      <c r="E39" s="3"/>
      <c r="F39" s="3"/>
      <c r="G39" s="3"/>
      <c r="H39" s="3"/>
      <c r="I39" s="3"/>
      <c r="J39" s="3"/>
      <c r="K39" s="3"/>
      <c r="L39" s="3"/>
      <c r="M39" s="3"/>
      <c r="N39" s="3"/>
      <c r="O39" s="3"/>
      <c r="P39" s="3"/>
      <c r="Q39" s="3"/>
      <c r="R39" s="3"/>
      <c r="S39" s="3"/>
      <c r="T39" s="4"/>
    </row>
    <row r="40" spans="2:20" x14ac:dyDescent="0.25">
      <c r="B40" s="2"/>
      <c r="C40" s="3"/>
      <c r="D40" s="3" t="s">
        <v>56</v>
      </c>
      <c r="E40" s="3"/>
      <c r="F40" s="3"/>
      <c r="G40" s="3"/>
      <c r="H40" s="3"/>
      <c r="I40" s="3"/>
      <c r="J40" s="3"/>
      <c r="K40" s="3"/>
      <c r="L40" s="3"/>
      <c r="M40" s="3"/>
      <c r="N40" s="3"/>
      <c r="O40" s="3"/>
      <c r="P40" s="3"/>
      <c r="Q40" s="3"/>
      <c r="R40" s="3"/>
      <c r="S40" s="3"/>
      <c r="T40" s="4"/>
    </row>
    <row r="41" spans="2:20" x14ac:dyDescent="0.25">
      <c r="B41" s="2"/>
      <c r="C41" s="3"/>
      <c r="D41" s="3"/>
      <c r="E41" s="3"/>
      <c r="F41" s="3"/>
      <c r="G41" s="3"/>
      <c r="H41" s="3"/>
      <c r="I41" s="3"/>
      <c r="J41" s="3"/>
      <c r="K41" s="3"/>
      <c r="L41" s="3"/>
      <c r="M41" s="3"/>
      <c r="N41" s="3"/>
      <c r="O41" s="3"/>
      <c r="P41" s="3"/>
      <c r="Q41" s="3"/>
      <c r="R41" s="3"/>
      <c r="S41" s="3"/>
      <c r="T41" s="4"/>
    </row>
    <row r="42" spans="2:20" x14ac:dyDescent="0.25">
      <c r="B42" s="2"/>
      <c r="C42" s="5" t="s">
        <v>60</v>
      </c>
      <c r="D42" s="3"/>
      <c r="E42" s="3"/>
      <c r="F42" s="3"/>
      <c r="G42" s="3"/>
      <c r="H42" s="3"/>
      <c r="I42" s="3"/>
      <c r="J42" s="3"/>
      <c r="K42" s="3"/>
      <c r="L42" s="3"/>
      <c r="M42" s="3"/>
      <c r="N42" s="3"/>
      <c r="O42" s="3"/>
      <c r="P42" s="3"/>
      <c r="Q42" s="3"/>
      <c r="R42" s="3"/>
      <c r="S42" s="3"/>
      <c r="T42" s="4"/>
    </row>
    <row r="43" spans="2:20" x14ac:dyDescent="0.25">
      <c r="B43" s="2"/>
      <c r="C43" s="3"/>
      <c r="D43" s="3" t="s">
        <v>61</v>
      </c>
      <c r="E43" s="3"/>
      <c r="F43" s="3"/>
      <c r="G43" s="3"/>
      <c r="H43" s="3"/>
      <c r="I43" s="3"/>
      <c r="J43" s="3"/>
      <c r="K43" s="3"/>
      <c r="L43" s="3"/>
      <c r="M43" s="3"/>
      <c r="N43" s="3"/>
      <c r="O43" s="3"/>
      <c r="P43" s="3"/>
      <c r="Q43" s="3"/>
      <c r="R43" s="3"/>
      <c r="S43" s="3"/>
      <c r="T43" s="4"/>
    </row>
    <row r="44" spans="2:20" x14ac:dyDescent="0.25">
      <c r="B44" s="2"/>
      <c r="C44" s="3"/>
      <c r="D44" s="3" t="s">
        <v>62</v>
      </c>
      <c r="E44" s="3"/>
      <c r="F44" s="3"/>
      <c r="G44" s="3"/>
      <c r="H44" s="3"/>
      <c r="I44" s="3"/>
      <c r="J44" s="3"/>
      <c r="K44" s="3"/>
      <c r="L44" s="3"/>
      <c r="M44" s="3"/>
      <c r="N44" s="3"/>
      <c r="O44" s="3"/>
      <c r="P44" s="3"/>
      <c r="Q44" s="3"/>
      <c r="R44" s="3"/>
      <c r="S44" s="3"/>
      <c r="T44" s="4"/>
    </row>
    <row r="45" spans="2:20" x14ac:dyDescent="0.25">
      <c r="B45" s="2"/>
      <c r="C45" s="3"/>
      <c r="D45" s="3" t="s">
        <v>63</v>
      </c>
      <c r="E45" s="3"/>
      <c r="F45" s="3"/>
      <c r="G45" s="3"/>
      <c r="H45" s="3"/>
      <c r="I45" s="3"/>
      <c r="J45" s="3"/>
      <c r="K45" s="3"/>
      <c r="L45" s="3"/>
      <c r="M45" s="3"/>
      <c r="N45" s="3"/>
      <c r="O45" s="3"/>
      <c r="P45" s="3"/>
      <c r="Q45" s="3"/>
      <c r="R45" s="3"/>
      <c r="S45" s="3"/>
      <c r="T45" s="4"/>
    </row>
    <row r="46" spans="2:20" x14ac:dyDescent="0.25">
      <c r="B46" s="2"/>
      <c r="C46" s="3"/>
      <c r="D46" s="3" t="s">
        <v>68</v>
      </c>
      <c r="E46" s="3"/>
      <c r="F46" s="3"/>
      <c r="G46" s="3"/>
      <c r="H46" s="3"/>
      <c r="I46" s="3"/>
      <c r="J46" s="3"/>
      <c r="K46" s="3"/>
      <c r="L46" s="3"/>
      <c r="M46" s="3"/>
      <c r="N46" s="3"/>
      <c r="O46" s="3"/>
      <c r="P46" s="3"/>
      <c r="Q46" s="3"/>
      <c r="R46" s="3"/>
      <c r="S46" s="3"/>
      <c r="T46" s="4"/>
    </row>
    <row r="47" spans="2:20" x14ac:dyDescent="0.25">
      <c r="B47" s="2"/>
      <c r="C47" s="3"/>
      <c r="D47" s="3" t="s">
        <v>69</v>
      </c>
      <c r="E47" s="3"/>
      <c r="F47" s="3"/>
      <c r="G47" s="3"/>
      <c r="H47" s="3"/>
      <c r="I47" s="3"/>
      <c r="J47" s="3"/>
      <c r="K47" s="3"/>
      <c r="L47" s="3"/>
      <c r="M47" s="3"/>
      <c r="N47" s="3"/>
      <c r="O47" s="3"/>
      <c r="P47" s="3"/>
      <c r="Q47" s="3"/>
      <c r="R47" s="3"/>
      <c r="S47" s="3"/>
      <c r="T47" s="4"/>
    </row>
    <row r="48" spans="2:20" x14ac:dyDescent="0.25">
      <c r="B48" s="2"/>
      <c r="C48" s="3"/>
      <c r="D48" s="3" t="s">
        <v>64</v>
      </c>
      <c r="E48" s="3"/>
      <c r="F48" s="3"/>
      <c r="G48" s="3"/>
      <c r="H48" s="3"/>
      <c r="I48" s="3"/>
      <c r="J48" s="3"/>
      <c r="K48" s="3"/>
      <c r="L48" s="3"/>
      <c r="M48" s="3"/>
      <c r="N48" s="3"/>
      <c r="O48" s="3"/>
      <c r="P48" s="3"/>
      <c r="Q48" s="3"/>
      <c r="R48" s="3"/>
      <c r="S48" s="3"/>
      <c r="T48" s="4"/>
    </row>
    <row r="49" spans="2:20" x14ac:dyDescent="0.25">
      <c r="B49" s="2"/>
      <c r="C49" s="3"/>
      <c r="D49" s="3" t="s">
        <v>67</v>
      </c>
      <c r="E49" s="3"/>
      <c r="F49" s="3"/>
      <c r="G49" s="3"/>
      <c r="H49" s="3"/>
      <c r="I49" s="3"/>
      <c r="J49" s="3"/>
      <c r="K49" s="3"/>
      <c r="L49" s="3"/>
      <c r="M49" s="3"/>
      <c r="N49" s="3"/>
      <c r="O49" s="3"/>
      <c r="P49" s="3"/>
      <c r="Q49" s="3"/>
      <c r="R49" s="3"/>
      <c r="S49" s="3"/>
      <c r="T49" s="4"/>
    </row>
    <row r="50" spans="2:20" x14ac:dyDescent="0.25">
      <c r="B50" s="2"/>
      <c r="C50" s="3"/>
      <c r="D50" s="3" t="s">
        <v>70</v>
      </c>
      <c r="E50" s="3"/>
      <c r="F50" s="3"/>
      <c r="G50" s="3"/>
      <c r="H50" s="3"/>
      <c r="I50" s="3"/>
      <c r="J50" s="3"/>
      <c r="K50" s="3"/>
      <c r="L50" s="3"/>
      <c r="M50" s="3"/>
      <c r="N50" s="3"/>
      <c r="O50" s="3"/>
      <c r="P50" s="3"/>
      <c r="Q50" s="3"/>
      <c r="R50" s="3"/>
      <c r="S50" s="3"/>
      <c r="T50" s="4"/>
    </row>
    <row r="51" spans="2:20" x14ac:dyDescent="0.25">
      <c r="B51" s="2"/>
      <c r="C51" s="3"/>
      <c r="D51" s="3" t="s">
        <v>71</v>
      </c>
      <c r="E51" s="3"/>
      <c r="F51" s="3"/>
      <c r="G51" s="3"/>
      <c r="H51" s="3"/>
      <c r="I51" s="3"/>
      <c r="J51" s="3"/>
      <c r="K51" s="3"/>
      <c r="L51" s="3"/>
      <c r="M51" s="3"/>
      <c r="N51" s="3"/>
      <c r="O51" s="3"/>
      <c r="P51" s="3"/>
      <c r="Q51" s="3"/>
      <c r="R51" s="3"/>
      <c r="S51" s="3"/>
      <c r="T51" s="4"/>
    </row>
    <row r="52" spans="2:20" ht="15.75" thickBot="1" x14ac:dyDescent="0.3">
      <c r="B52" s="6"/>
      <c r="C52" s="7"/>
      <c r="D52" s="7"/>
      <c r="E52" s="7"/>
      <c r="F52" s="7"/>
      <c r="G52" s="7"/>
      <c r="H52" s="7"/>
      <c r="I52" s="7"/>
      <c r="J52" s="7"/>
      <c r="K52" s="7"/>
      <c r="L52" s="7"/>
      <c r="M52" s="7"/>
      <c r="N52" s="7"/>
      <c r="O52" s="7"/>
      <c r="P52" s="7"/>
      <c r="Q52" s="7"/>
      <c r="R52" s="7"/>
      <c r="S52" s="7"/>
      <c r="T52" s="8"/>
    </row>
    <row r="53" spans="2:20" ht="15.75" thickTop="1" x14ac:dyDescent="0.25"/>
  </sheetData>
  <sheetProtection algorithmName="SHA-512" hashValue="uiHbwOb1mybg5WuN5niPTtZMYVqYanwqltgN7buCi6JR2mTgslJL+nVR0owdHltpCNL2tjem4GqQ0uJC1VWgdA==" saltValue="xUbBA3r8e7JfHYdQXnBZ4g==" spinCount="100000" sheet="1" objects="1" scenarios="1"/>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
  <sheetViews>
    <sheetView view="pageBreakPreview" zoomScale="130" zoomScaleNormal="100" zoomScaleSheetLayoutView="130" workbookViewId="0">
      <selection activeCell="L40" sqref="L40"/>
    </sheetView>
  </sheetViews>
  <sheetFormatPr defaultRowHeight="15" x14ac:dyDescent="0.25"/>
  <cols>
    <col min="1" max="14" width="9.140625" style="1"/>
    <col min="15" max="15" width="16.5703125" style="1" customWidth="1"/>
    <col min="16" max="16384" width="9.140625" style="1"/>
  </cols>
  <sheetData>
    <row r="39" ht="18.75" customHeight="1" x14ac:dyDescent="0.25"/>
  </sheetData>
  <printOptions horizontalCentered="1" verticalCentered="1"/>
  <pageMargins left="0" right="0" top="0" bottom="0" header="0" footer="0"/>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905"/>
  <sheetViews>
    <sheetView showGridLines="0" zoomScale="80" zoomScaleNormal="80" workbookViewId="0">
      <selection activeCell="E50" sqref="E50"/>
    </sheetView>
  </sheetViews>
  <sheetFormatPr defaultColWidth="8.85546875" defaultRowHeight="15" x14ac:dyDescent="0.25"/>
  <cols>
    <col min="1" max="1" width="9.140625" style="11" customWidth="1"/>
    <col min="2" max="2" width="17.5703125" style="11" customWidth="1"/>
    <col min="3" max="3" width="12.42578125" style="14" customWidth="1"/>
    <col min="4" max="4" width="15" style="14" customWidth="1"/>
    <col min="5" max="5" width="14.28515625" style="14" customWidth="1"/>
    <col min="6" max="12" width="8.85546875" style="11" customWidth="1"/>
    <col min="13" max="13" width="11.5703125" style="11" customWidth="1"/>
    <col min="14" max="14" width="48.5703125" style="11" customWidth="1"/>
    <col min="15" max="15" width="29.85546875" style="11" customWidth="1"/>
    <col min="16" max="16" width="20.7109375" style="11" customWidth="1"/>
    <col min="17" max="17" width="35.85546875" style="11" customWidth="1"/>
    <col min="18" max="18" width="15.7109375" style="11" customWidth="1"/>
    <col min="19" max="19" width="16.42578125" style="11" customWidth="1"/>
    <col min="20" max="20" width="30.28515625" style="11" customWidth="1"/>
    <col min="21" max="21" width="26.28515625" style="11" customWidth="1"/>
    <col min="22" max="22" width="41" style="11" customWidth="1"/>
    <col min="23" max="23" width="34.28515625" style="11" customWidth="1"/>
    <col min="24" max="24" width="19.5703125" style="11" customWidth="1"/>
    <col min="25" max="25" width="8.7109375" style="11" customWidth="1"/>
    <col min="26" max="26" width="52.28515625" style="11" customWidth="1"/>
    <col min="27" max="27" width="23.140625" style="11" customWidth="1"/>
    <col min="28" max="28" width="23.42578125" style="11" customWidth="1"/>
    <col min="29" max="29" width="26" style="11" customWidth="1"/>
    <col min="30" max="30" width="31.5703125" style="11" customWidth="1"/>
    <col min="31" max="31" width="22.7109375" style="11" customWidth="1"/>
    <col min="32" max="32" width="21" style="11" customWidth="1"/>
    <col min="33" max="33" width="18.85546875" style="11" customWidth="1"/>
    <col min="34" max="34" width="18.42578125" style="11" customWidth="1"/>
    <col min="35" max="35" width="13.5703125" style="11" customWidth="1"/>
    <col min="36" max="36" width="10.7109375" style="11" customWidth="1"/>
    <col min="37" max="37" width="43.7109375" style="11" customWidth="1"/>
    <col min="38" max="38" width="44.28515625" style="11" customWidth="1"/>
    <col min="39" max="39" width="22.7109375" style="11" customWidth="1"/>
    <col min="40" max="40" width="23.5703125" style="11" customWidth="1"/>
    <col min="41" max="41" width="39.85546875" style="11" customWidth="1"/>
    <col min="42" max="42" width="10.7109375" style="11" customWidth="1"/>
    <col min="43" max="43" width="23.140625" style="11" customWidth="1"/>
    <col min="44" max="44" width="20.5703125" style="11" customWidth="1"/>
    <col min="45" max="45" width="18" style="11" customWidth="1"/>
    <col min="46" max="46" width="20.5703125" style="11" customWidth="1"/>
    <col min="47" max="47" width="11.5703125" style="11" customWidth="1"/>
    <col min="48" max="157" width="47.28515625" style="11" bestFit="1" customWidth="1"/>
    <col min="158" max="158" width="11.28515625" style="11" customWidth="1"/>
    <col min="159" max="159" width="45.28515625" style="11" bestFit="1" customWidth="1"/>
    <col min="160" max="160" width="10.7109375" style="11" bestFit="1" customWidth="1"/>
    <col min="161" max="16384" width="8.85546875" style="11"/>
  </cols>
  <sheetData>
    <row r="1" spans="2:14" ht="34.9" customHeight="1" thickBot="1" x14ac:dyDescent="0.3"/>
    <row r="2" spans="2:14" ht="70.150000000000006" customHeight="1" thickBot="1" x14ac:dyDescent="0.3">
      <c r="B2" s="808" t="s">
        <v>456</v>
      </c>
      <c r="C2" s="809"/>
      <c r="D2" s="809"/>
      <c r="E2" s="809"/>
      <c r="F2" s="809"/>
      <c r="G2" s="809"/>
      <c r="H2" s="809"/>
      <c r="I2" s="809"/>
      <c r="J2" s="809"/>
      <c r="K2" s="809"/>
      <c r="L2" s="809"/>
      <c r="M2" s="809"/>
      <c r="N2" s="810"/>
    </row>
    <row r="4" spans="2:14" ht="23.45" customHeight="1" x14ac:dyDescent="0.25">
      <c r="B4" s="38"/>
      <c r="C4" s="39"/>
      <c r="D4" s="15"/>
      <c r="E4" s="15"/>
      <c r="F4" s="12"/>
      <c r="G4" s="12"/>
      <c r="H4" s="12"/>
      <c r="I4" s="12"/>
      <c r="J4" s="12"/>
    </row>
    <row r="5" spans="2:14" ht="36.75" customHeight="1" x14ac:dyDescent="0.25">
      <c r="B5" s="811" t="s">
        <v>92</v>
      </c>
      <c r="C5" s="812"/>
      <c r="D5" s="812"/>
      <c r="E5" s="812"/>
      <c r="F5" s="812"/>
      <c r="G5" s="812"/>
      <c r="H5" s="812"/>
      <c r="I5" s="812"/>
      <c r="J5" s="812"/>
      <c r="K5" s="812"/>
      <c r="L5" s="812"/>
      <c r="M5" s="812"/>
      <c r="N5" s="813"/>
    </row>
    <row r="9" spans="2:14" x14ac:dyDescent="0.25">
      <c r="B9" s="285" t="s">
        <v>3</v>
      </c>
      <c r="C9" s="286" t="s">
        <v>449</v>
      </c>
    </row>
    <row r="10" spans="2:14" x14ac:dyDescent="0.25">
      <c r="B10" s="285" t="s">
        <v>256</v>
      </c>
      <c r="C10" s="286" t="s">
        <v>74</v>
      </c>
    </row>
    <row r="11" spans="2:14" x14ac:dyDescent="0.25">
      <c r="B11" s="285" t="s">
        <v>286</v>
      </c>
      <c r="C11" s="286" t="s">
        <v>74</v>
      </c>
    </row>
    <row r="13" spans="2:14" ht="30" x14ac:dyDescent="0.25">
      <c r="B13" s="288" t="s">
        <v>237</v>
      </c>
      <c r="C13" s="289" t="s">
        <v>678</v>
      </c>
      <c r="D13" s="289" t="s">
        <v>679</v>
      </c>
      <c r="E13" s="289" t="s">
        <v>680</v>
      </c>
    </row>
    <row r="14" spans="2:14" x14ac:dyDescent="0.25">
      <c r="B14" s="287" t="s">
        <v>214</v>
      </c>
      <c r="C14" s="290">
        <v>0.96217982566904681</v>
      </c>
      <c r="D14" s="290">
        <v>0.84094405032486164</v>
      </c>
      <c r="E14" s="290">
        <v>0.61064811626145055</v>
      </c>
    </row>
    <row r="15" spans="2:14" x14ac:dyDescent="0.25">
      <c r="B15" s="287" t="s">
        <v>222</v>
      </c>
      <c r="C15" s="290">
        <v>1</v>
      </c>
      <c r="D15" s="290">
        <v>0.97596201404688887</v>
      </c>
      <c r="E15" s="290">
        <v>0.53262769149602662</v>
      </c>
    </row>
    <row r="16" spans="2:14" x14ac:dyDescent="0.25">
      <c r="B16" s="287" t="s">
        <v>73</v>
      </c>
      <c r="C16" s="290">
        <v>0.97770378791980228</v>
      </c>
      <c r="D16" s="290">
        <v>0.89636457149044446</v>
      </c>
      <c r="E16" s="290">
        <v>0.57862324725244974</v>
      </c>
    </row>
    <row r="17" spans="2:5" x14ac:dyDescent="0.25">
      <c r="B17"/>
      <c r="C17"/>
      <c r="D17"/>
    </row>
    <row r="18" spans="2:5" x14ac:dyDescent="0.25">
      <c r="B18"/>
      <c r="C18"/>
      <c r="D18"/>
    </row>
    <row r="19" spans="2:5" x14ac:dyDescent="0.25">
      <c r="B19"/>
      <c r="C19"/>
      <c r="D19"/>
    </row>
    <row r="20" spans="2:5" x14ac:dyDescent="0.25">
      <c r="B20"/>
      <c r="C20"/>
      <c r="D20"/>
    </row>
    <row r="21" spans="2:5" x14ac:dyDescent="0.25">
      <c r="B21"/>
      <c r="C21"/>
      <c r="D21"/>
    </row>
    <row r="22" spans="2:5" x14ac:dyDescent="0.25">
      <c r="B22"/>
      <c r="C22"/>
      <c r="D22"/>
    </row>
    <row r="25" spans="2:5" x14ac:dyDescent="0.25">
      <c r="B25" s="12"/>
      <c r="C25" s="30"/>
      <c r="D25" s="30"/>
      <c r="E25" s="30"/>
    </row>
    <row r="28" spans="2:5" x14ac:dyDescent="0.25">
      <c r="B28" s="29" t="s">
        <v>3</v>
      </c>
      <c r="C28" t="s">
        <v>449</v>
      </c>
    </row>
    <row r="29" spans="2:5" x14ac:dyDescent="0.25">
      <c r="B29" s="29" t="s">
        <v>256</v>
      </c>
      <c r="C29" t="s">
        <v>74</v>
      </c>
    </row>
    <row r="30" spans="2:5" x14ac:dyDescent="0.25">
      <c r="B30" s="29" t="s">
        <v>286</v>
      </c>
      <c r="C30" t="s">
        <v>74</v>
      </c>
    </row>
    <row r="32" spans="2:5" ht="45" x14ac:dyDescent="0.25">
      <c r="B32" s="284" t="s">
        <v>237</v>
      </c>
      <c r="C32" s="291" t="s">
        <v>655</v>
      </c>
      <c r="D32" s="291" t="s">
        <v>658</v>
      </c>
      <c r="E32" s="291" t="s">
        <v>657</v>
      </c>
    </row>
    <row r="33" spans="2:5" x14ac:dyDescent="0.25">
      <c r="B33" s="337" t="s">
        <v>176</v>
      </c>
      <c r="C33" s="279">
        <v>1</v>
      </c>
      <c r="D33" s="279">
        <v>0.76138082794663731</v>
      </c>
      <c r="E33" s="279">
        <v>0.44037959015266126</v>
      </c>
    </row>
    <row r="34" spans="2:5" x14ac:dyDescent="0.25">
      <c r="B34" s="337" t="s">
        <v>104</v>
      </c>
      <c r="C34" s="279">
        <v>1</v>
      </c>
      <c r="D34" s="279">
        <v>0.84009452540370222</v>
      </c>
      <c r="E34" s="279">
        <v>0.64592359196534066</v>
      </c>
    </row>
    <row r="35" spans="2:5" x14ac:dyDescent="0.25">
      <c r="B35" s="337" t="s">
        <v>107</v>
      </c>
      <c r="C35" s="279">
        <v>1</v>
      </c>
      <c r="D35" s="279">
        <v>0.79617486338797816</v>
      </c>
      <c r="E35" s="279">
        <v>0.72923497267759563</v>
      </c>
    </row>
    <row r="36" spans="2:5" x14ac:dyDescent="0.25">
      <c r="B36" s="337" t="s">
        <v>125</v>
      </c>
      <c r="C36" s="279">
        <v>0</v>
      </c>
      <c r="D36" s="279">
        <v>0</v>
      </c>
      <c r="E36" s="279">
        <v>0</v>
      </c>
    </row>
    <row r="37" spans="2:5" x14ac:dyDescent="0.25">
      <c r="B37" s="337" t="s">
        <v>201</v>
      </c>
      <c r="C37" s="279">
        <v>0.54029733959311421</v>
      </c>
      <c r="D37" s="279">
        <v>0.8491784037558685</v>
      </c>
      <c r="E37" s="279">
        <v>0.67194835680751175</v>
      </c>
    </row>
    <row r="38" spans="2:5" x14ac:dyDescent="0.25">
      <c r="B38" s="337" t="s">
        <v>182</v>
      </c>
      <c r="C38" s="279">
        <v>0.99853596237111797</v>
      </c>
      <c r="D38" s="279">
        <v>0.84870572843659475</v>
      </c>
      <c r="E38" s="279">
        <v>0.40061676478833752</v>
      </c>
    </row>
    <row r="39" spans="2:5" x14ac:dyDescent="0.25">
      <c r="B39" s="337" t="s">
        <v>183</v>
      </c>
      <c r="C39" s="279">
        <v>1</v>
      </c>
      <c r="D39" s="279">
        <v>1</v>
      </c>
      <c r="E39" s="279">
        <v>1</v>
      </c>
    </row>
    <row r="40" spans="2:5" x14ac:dyDescent="0.25">
      <c r="B40" s="337" t="s">
        <v>221</v>
      </c>
      <c r="C40" s="279">
        <v>1</v>
      </c>
      <c r="D40" s="279">
        <v>1</v>
      </c>
      <c r="E40" s="279">
        <v>0.82828282828282829</v>
      </c>
    </row>
    <row r="41" spans="2:5" x14ac:dyDescent="0.25">
      <c r="B41" s="337" t="s">
        <v>130</v>
      </c>
      <c r="C41" s="279">
        <v>1</v>
      </c>
      <c r="D41" s="279">
        <v>1</v>
      </c>
      <c r="E41" s="279">
        <v>1</v>
      </c>
    </row>
    <row r="42" spans="2:5" x14ac:dyDescent="0.25">
      <c r="B42" s="337" t="s">
        <v>184</v>
      </c>
      <c r="C42" s="279">
        <v>1</v>
      </c>
      <c r="D42" s="279">
        <v>0.96547511552557497</v>
      </c>
      <c r="E42" s="279">
        <v>0.57088224358633877</v>
      </c>
    </row>
    <row r="43" spans="2:5" x14ac:dyDescent="0.25">
      <c r="B43" s="337" t="s">
        <v>210</v>
      </c>
      <c r="C43" s="279">
        <v>0.90513833992094861</v>
      </c>
      <c r="D43" s="279">
        <v>1</v>
      </c>
      <c r="E43" s="279">
        <v>1</v>
      </c>
    </row>
    <row r="44" spans="2:5" x14ac:dyDescent="0.25">
      <c r="B44" s="337" t="s">
        <v>132</v>
      </c>
      <c r="C44" s="279">
        <v>1</v>
      </c>
      <c r="D44" s="279">
        <v>0.86726371341755959</v>
      </c>
      <c r="E44" s="279">
        <v>0.58531904685750835</v>
      </c>
    </row>
    <row r="45" spans="2:5" x14ac:dyDescent="0.25">
      <c r="B45" s="337" t="s">
        <v>468</v>
      </c>
      <c r="C45" s="279">
        <v>1</v>
      </c>
      <c r="D45" s="279">
        <v>0.7939429928741093</v>
      </c>
      <c r="E45" s="279">
        <v>0.83016627078384797</v>
      </c>
    </row>
    <row r="46" spans="2:5" x14ac:dyDescent="0.25">
      <c r="B46" s="337" t="s">
        <v>228</v>
      </c>
      <c r="C46" s="279">
        <v>1</v>
      </c>
      <c r="D46" s="279">
        <v>1</v>
      </c>
      <c r="E46" s="279">
        <v>1</v>
      </c>
    </row>
    <row r="47" spans="2:5" x14ac:dyDescent="0.25">
      <c r="B47" s="337" t="s">
        <v>220</v>
      </c>
      <c r="C47" s="279">
        <v>1</v>
      </c>
      <c r="D47" s="279">
        <v>1</v>
      </c>
      <c r="E47" s="279">
        <v>0</v>
      </c>
    </row>
    <row r="48" spans="2:5" x14ac:dyDescent="0.25">
      <c r="B48" s="337" t="s">
        <v>219</v>
      </c>
      <c r="C48" s="279">
        <v>1</v>
      </c>
      <c r="D48" s="279">
        <v>1</v>
      </c>
      <c r="E48" s="279">
        <v>1</v>
      </c>
    </row>
    <row r="49" spans="2:5" x14ac:dyDescent="0.25">
      <c r="B49" s="337" t="s">
        <v>155</v>
      </c>
      <c r="C49" s="279">
        <v>1</v>
      </c>
      <c r="D49" s="279">
        <v>0.97236585085602667</v>
      </c>
      <c r="E49" s="279">
        <v>0.64615649775939332</v>
      </c>
    </row>
    <row r="50" spans="2:5" x14ac:dyDescent="0.25">
      <c r="B50" s="337" t="s">
        <v>750</v>
      </c>
      <c r="C50" s="279">
        <v>1</v>
      </c>
      <c r="D50" s="279">
        <v>0.20408163265306123</v>
      </c>
      <c r="E50" s="279">
        <v>0</v>
      </c>
    </row>
    <row r="51" spans="2:5" x14ac:dyDescent="0.25">
      <c r="B51" s="26" t="s">
        <v>73</v>
      </c>
      <c r="C51" s="279">
        <v>0.97770378791980228</v>
      </c>
      <c r="D51" s="279">
        <v>0.89636457149044446</v>
      </c>
      <c r="E51" s="279">
        <v>0.57862324725244974</v>
      </c>
    </row>
    <row r="52" spans="2:5" x14ac:dyDescent="0.25">
      <c r="B52"/>
      <c r="C52"/>
      <c r="D52"/>
      <c r="E52"/>
    </row>
    <row r="53" spans="2:5" x14ac:dyDescent="0.25">
      <c r="B53"/>
      <c r="C53"/>
      <c r="D53"/>
      <c r="E53"/>
    </row>
    <row r="54" spans="2:5" x14ac:dyDescent="0.25">
      <c r="B54"/>
      <c r="C54"/>
      <c r="D54"/>
      <c r="E54"/>
    </row>
    <row r="55" spans="2:5" x14ac:dyDescent="0.25">
      <c r="B55"/>
      <c r="C55"/>
      <c r="D55"/>
      <c r="E55"/>
    </row>
    <row r="56" spans="2:5" x14ac:dyDescent="0.25">
      <c r="B56" s="12"/>
      <c r="C56" s="15"/>
      <c r="D56" s="15"/>
      <c r="E56" s="15"/>
    </row>
    <row r="57" spans="2:5" x14ac:dyDescent="0.25">
      <c r="B57" s="12"/>
      <c r="C57" s="15"/>
      <c r="D57" s="15"/>
      <c r="E57" s="15"/>
    </row>
    <row r="58" spans="2:5" x14ac:dyDescent="0.25">
      <c r="B58" s="12"/>
      <c r="C58" s="15"/>
      <c r="D58" s="15"/>
      <c r="E58" s="15"/>
    </row>
    <row r="59" spans="2:5" x14ac:dyDescent="0.25">
      <c r="B59" s="29" t="s">
        <v>3</v>
      </c>
      <c r="C59" t="s">
        <v>449</v>
      </c>
      <c r="D59" s="15"/>
      <c r="E59" s="15"/>
    </row>
    <row r="60" spans="2:5" x14ac:dyDescent="0.25">
      <c r="B60" s="29" t="s">
        <v>4</v>
      </c>
      <c r="C60" t="s">
        <v>74</v>
      </c>
    </row>
    <row r="61" spans="2:5" x14ac:dyDescent="0.25">
      <c r="B61" s="29" t="s">
        <v>286</v>
      </c>
      <c r="C61" t="s">
        <v>74</v>
      </c>
    </row>
    <row r="63" spans="2:5" ht="45" x14ac:dyDescent="0.25">
      <c r="B63" s="284" t="s">
        <v>237</v>
      </c>
      <c r="C63" s="291" t="s">
        <v>655</v>
      </c>
      <c r="D63" s="291" t="s">
        <v>656</v>
      </c>
      <c r="E63" s="291" t="s">
        <v>657</v>
      </c>
    </row>
    <row r="64" spans="2:5" x14ac:dyDescent="0.25">
      <c r="B64" s="26" t="s">
        <v>257</v>
      </c>
      <c r="C64" s="279">
        <v>1</v>
      </c>
      <c r="D64" s="279">
        <v>0.79617486338797816</v>
      </c>
      <c r="E64" s="279">
        <v>0.72923497267759563</v>
      </c>
    </row>
    <row r="65" spans="2:27" x14ac:dyDescent="0.25">
      <c r="B65" s="26" t="s">
        <v>314</v>
      </c>
      <c r="C65" s="279">
        <v>0.99355572403335857</v>
      </c>
      <c r="D65" s="279">
        <v>0.83965125094768767</v>
      </c>
      <c r="E65" s="279">
        <v>0.62168309325246396</v>
      </c>
    </row>
    <row r="66" spans="2:27" x14ac:dyDescent="0.25">
      <c r="B66" s="26" t="s">
        <v>258</v>
      </c>
      <c r="C66" s="279">
        <v>1</v>
      </c>
      <c r="D66" s="279">
        <v>0.89573723556545248</v>
      </c>
      <c r="E66" s="279">
        <v>0.60084300938444413</v>
      </c>
    </row>
    <row r="67" spans="2:27" x14ac:dyDescent="0.25">
      <c r="B67" s="26" t="s">
        <v>259</v>
      </c>
      <c r="C67" s="279">
        <v>1</v>
      </c>
      <c r="D67" s="279">
        <v>1</v>
      </c>
      <c r="E67" s="279">
        <v>0.89789789789789787</v>
      </c>
    </row>
    <row r="68" spans="2:27" x14ac:dyDescent="0.25">
      <c r="B68" s="26" t="s">
        <v>260</v>
      </c>
      <c r="C68" s="279">
        <v>1</v>
      </c>
      <c r="D68" s="279">
        <v>0.81171037727629169</v>
      </c>
      <c r="E68" s="279">
        <v>0.54674566524353052</v>
      </c>
    </row>
    <row r="69" spans="2:27" x14ac:dyDescent="0.25">
      <c r="B69" s="26" t="s">
        <v>261</v>
      </c>
      <c r="C69" s="279">
        <v>1</v>
      </c>
      <c r="D69" s="279">
        <v>1</v>
      </c>
      <c r="E69" s="279">
        <v>0.62812803103782733</v>
      </c>
    </row>
    <row r="70" spans="2:27" x14ac:dyDescent="0.25">
      <c r="B70" s="26" t="s">
        <v>266</v>
      </c>
      <c r="C70" s="279">
        <v>1</v>
      </c>
      <c r="D70" s="279">
        <v>0.90890737301138658</v>
      </c>
      <c r="E70" s="279">
        <v>0.41088589194863928</v>
      </c>
    </row>
    <row r="71" spans="2:27" x14ac:dyDescent="0.25">
      <c r="B71" s="26" t="s">
        <v>267</v>
      </c>
      <c r="C71" s="279">
        <v>0.9893994893994893</v>
      </c>
      <c r="D71" s="279">
        <v>0.82317682317682317</v>
      </c>
      <c r="E71" s="279">
        <v>0.5977355977355977</v>
      </c>
    </row>
    <row r="72" spans="2:27" x14ac:dyDescent="0.25">
      <c r="B72" s="26" t="s">
        <v>268</v>
      </c>
      <c r="C72" s="279">
        <v>0.69358178053830222</v>
      </c>
      <c r="D72" s="279">
        <v>0.84906832298136647</v>
      </c>
      <c r="E72" s="279">
        <v>0.71118012422360244</v>
      </c>
    </row>
    <row r="73" spans="2:27" x14ac:dyDescent="0.25">
      <c r="B73" s="26" t="s">
        <v>269</v>
      </c>
      <c r="C73" s="279">
        <v>0.40390544707091469</v>
      </c>
      <c r="D73" s="279">
        <v>0.65056526207605347</v>
      </c>
      <c r="E73" s="279">
        <v>0.40390544707091469</v>
      </c>
    </row>
    <row r="74" spans="2:27" x14ac:dyDescent="0.25">
      <c r="B74" s="26" t="s">
        <v>73</v>
      </c>
      <c r="C74" s="279">
        <v>0.97770378791980206</v>
      </c>
      <c r="D74" s="279">
        <v>0.89636457149044446</v>
      </c>
      <c r="E74" s="279">
        <v>0.57862324725244974</v>
      </c>
    </row>
    <row r="75" spans="2:27" x14ac:dyDescent="0.25">
      <c r="B75" s="12"/>
      <c r="C75" s="15"/>
      <c r="D75" s="15"/>
      <c r="E75" s="15"/>
    </row>
    <row r="76" spans="2:27" x14ac:dyDescent="0.25">
      <c r="B76"/>
      <c r="C76"/>
      <c r="D76" s="15"/>
      <c r="E76" s="15"/>
    </row>
    <row r="77" spans="2:27" x14ac:dyDescent="0.25">
      <c r="B77"/>
      <c r="C77"/>
      <c r="D77" s="15"/>
      <c r="E77" s="15"/>
    </row>
    <row r="78" spans="2:27" x14ac:dyDescent="0.25">
      <c r="B78" s="295"/>
      <c r="C78" s="295"/>
      <c r="D78" s="15"/>
      <c r="E78" s="15"/>
      <c r="Z78" s="29" t="s">
        <v>0</v>
      </c>
      <c r="AA78" t="s">
        <v>74</v>
      </c>
    </row>
    <row r="79" spans="2:27" x14ac:dyDescent="0.25">
      <c r="B79" s="295"/>
      <c r="C79" s="295"/>
      <c r="D79" s="295"/>
      <c r="E79" s="15"/>
      <c r="Z79" s="29" t="s">
        <v>256</v>
      </c>
      <c r="AA79" t="s">
        <v>74</v>
      </c>
    </row>
    <row r="80" spans="2:27" x14ac:dyDescent="0.25">
      <c r="E80" s="15"/>
      <c r="Z80" s="29" t="s">
        <v>4</v>
      </c>
      <c r="AA80" t="s">
        <v>74</v>
      </c>
    </row>
    <row r="81" spans="5:29" x14ac:dyDescent="0.25">
      <c r="E81" s="15"/>
      <c r="Z81" s="29" t="s">
        <v>3</v>
      </c>
      <c r="AA81" t="s">
        <v>449</v>
      </c>
    </row>
    <row r="82" spans="5:29" x14ac:dyDescent="0.25">
      <c r="E82" s="15"/>
    </row>
    <row r="83" spans="5:29" x14ac:dyDescent="0.25">
      <c r="E83" s="15"/>
      <c r="Z83" s="29" t="s">
        <v>237</v>
      </c>
      <c r="AA83" t="s">
        <v>655</v>
      </c>
      <c r="AB83" t="s">
        <v>656</v>
      </c>
      <c r="AC83" t="s">
        <v>657</v>
      </c>
    </row>
    <row r="84" spans="5:29" x14ac:dyDescent="0.25">
      <c r="E84" s="15"/>
      <c r="Z84" s="26" t="s">
        <v>108</v>
      </c>
      <c r="AA84" s="27">
        <v>1</v>
      </c>
      <c r="AB84" s="27">
        <v>0.27777777777777779</v>
      </c>
      <c r="AC84" s="27">
        <v>0.55555555555555558</v>
      </c>
    </row>
    <row r="85" spans="5:29" x14ac:dyDescent="0.25">
      <c r="E85" s="15"/>
      <c r="Z85" s="26" t="s">
        <v>109</v>
      </c>
      <c r="AA85" s="27">
        <v>1</v>
      </c>
      <c r="AB85" s="27">
        <v>0.89411764705882357</v>
      </c>
      <c r="AC85" s="27">
        <v>0.47058823529411764</v>
      </c>
    </row>
    <row r="86" spans="5:29" x14ac:dyDescent="0.25">
      <c r="E86" s="15"/>
      <c r="Z86" s="26" t="s">
        <v>636</v>
      </c>
      <c r="AA86" s="27">
        <v>1</v>
      </c>
      <c r="AB86" s="27">
        <v>0.59907834101382484</v>
      </c>
      <c r="AC86" s="27">
        <v>0.2304147465437788</v>
      </c>
    </row>
    <row r="87" spans="5:29" x14ac:dyDescent="0.25">
      <c r="E87" s="15"/>
      <c r="Z87" s="26" t="s">
        <v>274</v>
      </c>
      <c r="AA87" s="27">
        <v>1</v>
      </c>
      <c r="AB87" s="27">
        <v>0.49740932642487046</v>
      </c>
      <c r="AC87" s="27">
        <v>0.31088082901554404</v>
      </c>
    </row>
    <row r="88" spans="5:29" x14ac:dyDescent="0.25">
      <c r="E88" s="15"/>
      <c r="Z88" s="26" t="s">
        <v>110</v>
      </c>
      <c r="AA88" s="27">
        <v>1</v>
      </c>
      <c r="AB88" s="27">
        <v>0.8875739644970414</v>
      </c>
      <c r="AC88" s="27">
        <v>0.59171597633136097</v>
      </c>
    </row>
    <row r="89" spans="5:29" x14ac:dyDescent="0.25">
      <c r="E89" s="15"/>
      <c r="Z89" s="26" t="s">
        <v>111</v>
      </c>
      <c r="AA89" s="27">
        <v>1</v>
      </c>
      <c r="AB89" s="27">
        <v>1</v>
      </c>
      <c r="AC89" s="27">
        <v>1</v>
      </c>
    </row>
    <row r="90" spans="5:29" x14ac:dyDescent="0.25">
      <c r="E90" s="15"/>
      <c r="Z90" s="26" t="s">
        <v>462</v>
      </c>
      <c r="AA90" s="27">
        <v>1</v>
      </c>
      <c r="AB90" s="27">
        <v>0.96</v>
      </c>
      <c r="AC90" s="27">
        <v>0.64</v>
      </c>
    </row>
    <row r="91" spans="5:29" x14ac:dyDescent="0.25">
      <c r="E91" s="15"/>
      <c r="Z91" s="26" t="s">
        <v>177</v>
      </c>
      <c r="AA91" s="27">
        <v>1</v>
      </c>
      <c r="AB91" s="27">
        <v>1</v>
      </c>
      <c r="AC91" s="27">
        <v>0</v>
      </c>
    </row>
    <row r="92" spans="5:29" x14ac:dyDescent="0.25">
      <c r="E92" s="15"/>
      <c r="Z92" s="26" t="s">
        <v>469</v>
      </c>
      <c r="AA92" s="27">
        <v>1</v>
      </c>
      <c r="AB92" s="27">
        <v>0.7931034482758621</v>
      </c>
      <c r="AC92" s="27">
        <v>1</v>
      </c>
    </row>
    <row r="93" spans="5:29" x14ac:dyDescent="0.25">
      <c r="E93" s="15"/>
      <c r="Z93" s="26" t="s">
        <v>112</v>
      </c>
      <c r="AA93" s="27">
        <v>1</v>
      </c>
      <c r="AB93" s="27">
        <v>0.91743119266055051</v>
      </c>
      <c r="AC93" s="27">
        <v>0.91743119266055051</v>
      </c>
    </row>
    <row r="94" spans="5:29" x14ac:dyDescent="0.25">
      <c r="E94" s="15"/>
      <c r="Z94" s="26" t="s">
        <v>113</v>
      </c>
      <c r="AA94" s="27">
        <v>1</v>
      </c>
      <c r="AB94" s="27">
        <v>1</v>
      </c>
      <c r="AC94" s="27">
        <v>1</v>
      </c>
    </row>
    <row r="95" spans="5:29" x14ac:dyDescent="0.25">
      <c r="E95" s="15"/>
      <c r="Z95" s="26" t="s">
        <v>672</v>
      </c>
      <c r="AA95" s="27">
        <v>1</v>
      </c>
      <c r="AB95" s="27">
        <v>1</v>
      </c>
      <c r="AC95" s="27">
        <v>1</v>
      </c>
    </row>
    <row r="96" spans="5:29" x14ac:dyDescent="0.25">
      <c r="E96" s="15"/>
      <c r="Z96" s="26" t="s">
        <v>223</v>
      </c>
      <c r="AA96" s="27">
        <v>1</v>
      </c>
      <c r="AB96" s="27">
        <v>1</v>
      </c>
      <c r="AC96" s="27">
        <v>0.15503875968992248</v>
      </c>
    </row>
    <row r="97" spans="2:29" x14ac:dyDescent="0.25">
      <c r="E97" s="15"/>
      <c r="Z97" s="26" t="s">
        <v>616</v>
      </c>
      <c r="AA97" s="27">
        <v>1</v>
      </c>
      <c r="AB97" s="27">
        <v>1</v>
      </c>
      <c r="AC97" s="27">
        <v>0.53908355795148244</v>
      </c>
    </row>
    <row r="98" spans="2:29" x14ac:dyDescent="0.25">
      <c r="B98"/>
      <c r="C98"/>
      <c r="D98"/>
      <c r="E98" s="15"/>
      <c r="Z98" s="26" t="s">
        <v>617</v>
      </c>
      <c r="AA98" s="27">
        <v>1</v>
      </c>
      <c r="AB98" s="27">
        <v>1</v>
      </c>
      <c r="AC98" s="27">
        <v>0.34168564920273348</v>
      </c>
    </row>
    <row r="99" spans="2:29" x14ac:dyDescent="0.25">
      <c r="B99"/>
      <c r="C99"/>
      <c r="D99"/>
      <c r="Z99" s="26" t="s">
        <v>114</v>
      </c>
      <c r="AA99" s="27">
        <v>1</v>
      </c>
      <c r="AB99" s="27">
        <v>1</v>
      </c>
      <c r="AC99" s="27">
        <v>1</v>
      </c>
    </row>
    <row r="100" spans="2:29" x14ac:dyDescent="0.25">
      <c r="B100"/>
      <c r="C100"/>
      <c r="D100"/>
      <c r="Z100" s="26" t="s">
        <v>105</v>
      </c>
      <c r="AA100" s="27">
        <v>1</v>
      </c>
      <c r="AB100" s="27">
        <v>0.55762081784386619</v>
      </c>
      <c r="AC100" s="27">
        <v>0.74349442379182151</v>
      </c>
    </row>
    <row r="101" spans="2:29" x14ac:dyDescent="0.25">
      <c r="B101"/>
      <c r="C101"/>
      <c r="D101"/>
      <c r="Z101" s="26" t="s">
        <v>676</v>
      </c>
      <c r="AA101" s="27">
        <v>1</v>
      </c>
      <c r="AB101" s="27">
        <v>0.41152263374485598</v>
      </c>
      <c r="AC101" s="27">
        <v>1</v>
      </c>
    </row>
    <row r="102" spans="2:29" x14ac:dyDescent="0.25">
      <c r="B102"/>
      <c r="C102"/>
      <c r="D102"/>
      <c r="Z102" s="26" t="s">
        <v>115</v>
      </c>
      <c r="AA102" s="27">
        <v>1</v>
      </c>
      <c r="AB102" s="27">
        <v>1</v>
      </c>
      <c r="AC102" s="27">
        <v>0.89552238805970152</v>
      </c>
    </row>
    <row r="103" spans="2:29" x14ac:dyDescent="0.25">
      <c r="B103"/>
      <c r="C103"/>
      <c r="D103"/>
      <c r="Z103" s="26" t="s">
        <v>133</v>
      </c>
      <c r="AA103" s="27">
        <v>1</v>
      </c>
      <c r="AB103" s="27">
        <v>0.7407407407407407</v>
      </c>
      <c r="AC103" s="27">
        <v>1</v>
      </c>
    </row>
    <row r="104" spans="2:29" x14ac:dyDescent="0.25">
      <c r="B104"/>
      <c r="C104"/>
      <c r="D104"/>
      <c r="Z104" s="26" t="s">
        <v>134</v>
      </c>
      <c r="AA104" s="27">
        <v>1</v>
      </c>
      <c r="AB104" s="27">
        <v>1</v>
      </c>
      <c r="AC104" s="27">
        <v>1</v>
      </c>
    </row>
    <row r="105" spans="2:29" x14ac:dyDescent="0.25">
      <c r="B105"/>
      <c r="C105"/>
      <c r="D105"/>
      <c r="Z105" s="26" t="s">
        <v>135</v>
      </c>
      <c r="AA105" s="27">
        <v>1</v>
      </c>
      <c r="AB105" s="27">
        <v>0.76923076923076927</v>
      </c>
      <c r="AC105" s="27">
        <v>1</v>
      </c>
    </row>
    <row r="106" spans="2:29" x14ac:dyDescent="0.25">
      <c r="B106"/>
      <c r="C106"/>
      <c r="D106"/>
      <c r="Z106" s="26" t="s">
        <v>185</v>
      </c>
      <c r="AA106" s="27">
        <v>1</v>
      </c>
      <c r="AB106" s="27">
        <v>1</v>
      </c>
      <c r="AC106" s="27">
        <v>0.64516129032258063</v>
      </c>
    </row>
    <row r="107" spans="2:29" x14ac:dyDescent="0.25">
      <c r="Z107" s="26" t="s">
        <v>156</v>
      </c>
      <c r="AA107" s="27">
        <v>1</v>
      </c>
      <c r="AB107" s="27">
        <v>1</v>
      </c>
      <c r="AC107" s="27">
        <v>0.79051383399209485</v>
      </c>
    </row>
    <row r="108" spans="2:29" s="12" customFormat="1" x14ac:dyDescent="0.25">
      <c r="C108" s="15"/>
      <c r="D108" s="15"/>
      <c r="E108" s="15"/>
      <c r="Z108" s="26" t="s">
        <v>157</v>
      </c>
      <c r="AA108" s="27">
        <v>1</v>
      </c>
      <c r="AB108" s="27">
        <v>1</v>
      </c>
      <c r="AC108" s="27">
        <v>0.25951557093425603</v>
      </c>
    </row>
    <row r="109" spans="2:29" s="12" customFormat="1" x14ac:dyDescent="0.25">
      <c r="C109" s="15"/>
      <c r="D109" s="15"/>
      <c r="E109" s="15"/>
      <c r="Z109" s="26" t="s">
        <v>224</v>
      </c>
      <c r="AA109" s="27">
        <v>1</v>
      </c>
      <c r="AB109" s="27">
        <v>1</v>
      </c>
      <c r="AC109" s="27">
        <v>1</v>
      </c>
    </row>
    <row r="110" spans="2:29" s="12" customFormat="1" x14ac:dyDescent="0.25">
      <c r="C110" s="15"/>
      <c r="D110" s="15"/>
      <c r="E110" s="15"/>
      <c r="Z110" s="26" t="s">
        <v>116</v>
      </c>
      <c r="AA110" s="27">
        <v>1</v>
      </c>
      <c r="AB110" s="27">
        <v>1</v>
      </c>
      <c r="AC110" s="27">
        <v>1</v>
      </c>
    </row>
    <row r="111" spans="2:29" s="12" customFormat="1" x14ac:dyDescent="0.25">
      <c r="C111" s="15"/>
      <c r="D111" s="15"/>
      <c r="E111" s="15"/>
      <c r="Z111" s="26" t="s">
        <v>250</v>
      </c>
      <c r="AA111" s="27">
        <v>1</v>
      </c>
      <c r="AB111" s="27">
        <v>0.61657032755298646</v>
      </c>
      <c r="AC111" s="27">
        <v>0.5780346820809249</v>
      </c>
    </row>
    <row r="112" spans="2:29" s="12" customFormat="1" x14ac:dyDescent="0.25">
      <c r="B112" s="11"/>
      <c r="C112" s="14"/>
      <c r="D112" s="14"/>
      <c r="E112" s="14"/>
      <c r="F112" s="11"/>
      <c r="G112" s="11"/>
      <c r="H112" s="11"/>
      <c r="Z112" s="26" t="s">
        <v>217</v>
      </c>
      <c r="AA112" s="27">
        <v>1</v>
      </c>
      <c r="AB112" s="27">
        <v>1</v>
      </c>
      <c r="AC112" s="27">
        <v>0.45819014891179838</v>
      </c>
    </row>
    <row r="113" spans="2:29" s="12" customFormat="1" x14ac:dyDescent="0.25">
      <c r="B113" s="11"/>
      <c r="C113" s="14"/>
      <c r="D113" s="14"/>
      <c r="E113" s="14"/>
      <c r="F113" s="11"/>
      <c r="G113" s="11"/>
      <c r="H113" s="11"/>
      <c r="Z113" s="26" t="s">
        <v>186</v>
      </c>
      <c r="AA113" s="27">
        <v>1</v>
      </c>
      <c r="AB113" s="27">
        <v>1</v>
      </c>
      <c r="AC113" s="27">
        <v>0.26223776223776224</v>
      </c>
    </row>
    <row r="114" spans="2:29" s="12" customFormat="1" x14ac:dyDescent="0.25">
      <c r="B114" s="29" t="s">
        <v>3</v>
      </c>
      <c r="C114" t="s">
        <v>449</v>
      </c>
      <c r="D114" s="14"/>
      <c r="E114" s="14"/>
      <c r="F114" s="11"/>
      <c r="G114" s="11"/>
      <c r="H114" s="11"/>
      <c r="Z114" s="26" t="s">
        <v>275</v>
      </c>
      <c r="AA114" s="27">
        <v>1</v>
      </c>
      <c r="AB114" s="27">
        <v>0.58091286307053946</v>
      </c>
      <c r="AC114" s="27">
        <v>0.82987551867219922</v>
      </c>
    </row>
    <row r="115" spans="2:29" s="12" customFormat="1" x14ac:dyDescent="0.25">
      <c r="B115" s="29" t="s">
        <v>4</v>
      </c>
      <c r="C115" t="s">
        <v>74</v>
      </c>
      <c r="D115" s="14"/>
      <c r="E115" s="14"/>
      <c r="F115" s="11"/>
      <c r="G115" s="11"/>
      <c r="H115" s="11"/>
      <c r="Z115" s="26" t="s">
        <v>136</v>
      </c>
      <c r="AA115" s="27">
        <v>1</v>
      </c>
      <c r="AB115" s="27">
        <v>1</v>
      </c>
      <c r="AC115" s="27">
        <v>0.41067761806981518</v>
      </c>
    </row>
    <row r="116" spans="2:29" s="12" customFormat="1" x14ac:dyDescent="0.25">
      <c r="B116" s="29" t="s">
        <v>286</v>
      </c>
      <c r="C116" t="s">
        <v>74</v>
      </c>
      <c r="D116" s="14"/>
      <c r="E116" s="14"/>
      <c r="F116" s="11"/>
      <c r="G116" s="11"/>
      <c r="H116" s="11"/>
      <c r="Z116" s="26" t="s">
        <v>137</v>
      </c>
      <c r="AA116" s="27">
        <v>1</v>
      </c>
      <c r="AB116" s="27">
        <v>0.85470085470085466</v>
      </c>
      <c r="AC116" s="27">
        <v>0.21367521367521367</v>
      </c>
    </row>
    <row r="117" spans="2:29" s="12" customFormat="1" x14ac:dyDescent="0.25">
      <c r="B117" s="11"/>
      <c r="C117" s="14"/>
      <c r="D117" s="14"/>
      <c r="E117" s="14"/>
      <c r="F117" s="11"/>
      <c r="G117" s="11"/>
      <c r="H117" s="11"/>
      <c r="Z117" s="26" t="s">
        <v>470</v>
      </c>
      <c r="AA117" s="27">
        <v>1</v>
      </c>
      <c r="AB117" s="27">
        <v>0.55045871559633031</v>
      </c>
      <c r="AC117" s="27">
        <v>1</v>
      </c>
    </row>
    <row r="118" spans="2:29" s="12" customFormat="1" ht="45" x14ac:dyDescent="0.25">
      <c r="B118" s="284" t="s">
        <v>237</v>
      </c>
      <c r="C118" s="289" t="s">
        <v>655</v>
      </c>
      <c r="D118" s="289" t="s">
        <v>656</v>
      </c>
      <c r="E118" s="289" t="s">
        <v>657</v>
      </c>
      <c r="F118" s="11"/>
      <c r="G118" s="11"/>
      <c r="H118" s="11"/>
      <c r="Z118" s="26" t="s">
        <v>199</v>
      </c>
      <c r="AA118" s="27">
        <v>1</v>
      </c>
      <c r="AB118" s="27">
        <v>1</v>
      </c>
      <c r="AC118" s="27">
        <v>0.68994066510280116</v>
      </c>
    </row>
    <row r="119" spans="2:29" s="12" customFormat="1" x14ac:dyDescent="0.25">
      <c r="B119" s="26" t="s">
        <v>79</v>
      </c>
      <c r="C119" s="290">
        <v>0.99166987056260414</v>
      </c>
      <c r="D119" s="290">
        <v>0.91977444572600286</v>
      </c>
      <c r="E119" s="290">
        <v>0.90080738177623987</v>
      </c>
      <c r="F119" s="11"/>
      <c r="G119" s="11"/>
      <c r="H119" s="11"/>
      <c r="Z119" s="26" t="s">
        <v>463</v>
      </c>
      <c r="AA119" s="27">
        <v>1</v>
      </c>
      <c r="AB119" s="27">
        <v>1</v>
      </c>
      <c r="AC119" s="27">
        <v>1</v>
      </c>
    </row>
    <row r="120" spans="2:29" s="12" customFormat="1" x14ac:dyDescent="0.25">
      <c r="B120" s="26" t="s">
        <v>78</v>
      </c>
      <c r="C120" s="290">
        <v>0.95344024324456866</v>
      </c>
      <c r="D120" s="290">
        <v>0.83798734735912905</v>
      </c>
      <c r="E120" s="290">
        <v>0.59108430189789618</v>
      </c>
      <c r="F120" s="11"/>
      <c r="G120" s="11"/>
      <c r="H120" s="11"/>
      <c r="Z120" s="26" t="s">
        <v>464</v>
      </c>
      <c r="AA120" s="27">
        <v>1</v>
      </c>
      <c r="AB120" s="27">
        <v>1</v>
      </c>
      <c r="AC120" s="27">
        <v>1</v>
      </c>
    </row>
    <row r="121" spans="2:29" s="12" customFormat="1" x14ac:dyDescent="0.25">
      <c r="B121" s="26" t="s">
        <v>80</v>
      </c>
      <c r="C121" s="290">
        <v>1</v>
      </c>
      <c r="D121" s="290">
        <v>0.99435281462889924</v>
      </c>
      <c r="E121" s="290">
        <v>0.44227321620652565</v>
      </c>
      <c r="F121" s="11"/>
      <c r="G121" s="11"/>
      <c r="H121" s="11"/>
      <c r="Z121" s="26" t="s">
        <v>202</v>
      </c>
      <c r="AA121" s="27">
        <v>1</v>
      </c>
      <c r="AB121" s="27">
        <v>1</v>
      </c>
      <c r="AC121" s="27">
        <v>0.30769230769230771</v>
      </c>
    </row>
    <row r="122" spans="2:29" s="12" customFormat="1" x14ac:dyDescent="0.25">
      <c r="B122" s="26" t="s">
        <v>81</v>
      </c>
      <c r="C122" s="290">
        <v>1</v>
      </c>
      <c r="D122" s="290">
        <v>0.89323011757832471</v>
      </c>
      <c r="E122" s="290">
        <v>0.41627108741692836</v>
      </c>
      <c r="F122" s="11"/>
      <c r="G122" s="11"/>
      <c r="H122" s="11"/>
      <c r="Z122" s="26" t="s">
        <v>203</v>
      </c>
      <c r="AA122" s="27">
        <v>0.45351473922902497</v>
      </c>
      <c r="AB122" s="27">
        <v>0.40816326530612246</v>
      </c>
      <c r="AC122" s="27">
        <v>0.68027210884353739</v>
      </c>
    </row>
    <row r="123" spans="2:29" s="12" customFormat="1" x14ac:dyDescent="0.25">
      <c r="B123" s="26" t="s">
        <v>82</v>
      </c>
      <c r="C123" s="290">
        <v>1</v>
      </c>
      <c r="D123" s="290">
        <v>1</v>
      </c>
      <c r="E123" s="290">
        <v>0.68994066510280116</v>
      </c>
      <c r="F123" s="11"/>
      <c r="G123" s="11"/>
      <c r="H123" s="11"/>
      <c r="Z123" s="26" t="s">
        <v>204</v>
      </c>
      <c r="AA123" s="27">
        <v>1</v>
      </c>
      <c r="AB123" s="27">
        <v>1</v>
      </c>
      <c r="AC123" s="27">
        <v>1</v>
      </c>
    </row>
    <row r="124" spans="2:29" s="12" customFormat="1" x14ac:dyDescent="0.25">
      <c r="B124" s="26" t="s">
        <v>73</v>
      </c>
      <c r="C124" s="290">
        <v>0.97770378791980228</v>
      </c>
      <c r="D124" s="290">
        <v>0.89636457149044446</v>
      </c>
      <c r="E124" s="290">
        <v>0.57862324725244974</v>
      </c>
      <c r="F124" s="11"/>
      <c r="G124" s="11"/>
      <c r="H124" s="11"/>
      <c r="Z124" s="26" t="s">
        <v>138</v>
      </c>
      <c r="AA124" s="27">
        <v>1</v>
      </c>
      <c r="AB124" s="27">
        <v>0.88888888888888884</v>
      </c>
      <c r="AC124" s="27">
        <v>1</v>
      </c>
    </row>
    <row r="125" spans="2:29" s="12" customFormat="1" x14ac:dyDescent="0.25">
      <c r="B125"/>
      <c r="C125"/>
      <c r="D125"/>
      <c r="E125"/>
      <c r="F125" s="11"/>
      <c r="G125" s="11"/>
      <c r="H125" s="11"/>
      <c r="Z125" s="26" t="s">
        <v>127</v>
      </c>
      <c r="AA125" s="27">
        <v>1</v>
      </c>
      <c r="AB125" s="27">
        <v>1</v>
      </c>
      <c r="AC125" s="27">
        <v>1</v>
      </c>
    </row>
    <row r="126" spans="2:29" s="12" customFormat="1" x14ac:dyDescent="0.25">
      <c r="B126"/>
      <c r="C126"/>
      <c r="D126"/>
      <c r="E126"/>
      <c r="F126" s="11"/>
      <c r="G126" s="11"/>
      <c r="H126" s="11"/>
      <c r="Z126" s="26" t="s">
        <v>126</v>
      </c>
      <c r="AA126" s="27">
        <v>0</v>
      </c>
      <c r="AB126" s="27">
        <v>0</v>
      </c>
      <c r="AC126" s="27">
        <v>0</v>
      </c>
    </row>
    <row r="127" spans="2:29" s="12" customFormat="1" x14ac:dyDescent="0.25">
      <c r="B127"/>
      <c r="C127"/>
      <c r="D127"/>
      <c r="E127"/>
      <c r="F127" s="11"/>
      <c r="G127" s="11"/>
      <c r="H127" s="11"/>
      <c r="Z127" s="26" t="s">
        <v>867</v>
      </c>
      <c r="AA127" s="27">
        <v>1</v>
      </c>
      <c r="AB127" s="27">
        <v>0.71846934791097228</v>
      </c>
      <c r="AC127" s="27">
        <v>3.9047247169074581E-2</v>
      </c>
    </row>
    <row r="128" spans="2:29" s="12" customFormat="1" x14ac:dyDescent="0.25">
      <c r="B128" s="11"/>
      <c r="C128" s="14"/>
      <c r="D128" s="14"/>
      <c r="E128" s="14"/>
      <c r="F128" s="11"/>
      <c r="G128" s="11"/>
      <c r="H128" s="11"/>
      <c r="Z128" s="26" t="s">
        <v>196</v>
      </c>
      <c r="AA128" s="27">
        <v>1</v>
      </c>
      <c r="AB128" s="27">
        <v>0.88235294117647056</v>
      </c>
      <c r="AC128" s="27">
        <v>0</v>
      </c>
    </row>
    <row r="129" spans="2:29" s="12" customFormat="1" x14ac:dyDescent="0.25">
      <c r="B129" s="11"/>
      <c r="C129" s="14"/>
      <c r="D129" s="14"/>
      <c r="E129" s="14"/>
      <c r="F129" s="11"/>
      <c r="G129" s="11"/>
      <c r="H129" s="11"/>
      <c r="Z129" s="26" t="s">
        <v>139</v>
      </c>
      <c r="AA129" s="27">
        <v>1</v>
      </c>
      <c r="AB129" s="27">
        <v>0.6097560975609756</v>
      </c>
      <c r="AC129" s="27">
        <v>0.3048780487804878</v>
      </c>
    </row>
    <row r="130" spans="2:29" s="12" customFormat="1" x14ac:dyDescent="0.25">
      <c r="B130" s="11"/>
      <c r="C130" s="14"/>
      <c r="D130" s="14"/>
      <c r="E130" s="14"/>
      <c r="F130" s="11"/>
      <c r="G130" s="11"/>
      <c r="H130" s="11"/>
      <c r="Z130" s="26" t="s">
        <v>140</v>
      </c>
      <c r="AA130" s="27">
        <v>1</v>
      </c>
      <c r="AB130" s="27">
        <v>1</v>
      </c>
      <c r="AC130" s="27">
        <v>0.64935064935064934</v>
      </c>
    </row>
    <row r="131" spans="2:29" s="12" customFormat="1" x14ac:dyDescent="0.25">
      <c r="B131" s="11"/>
      <c r="C131" s="14"/>
      <c r="D131" s="14"/>
      <c r="E131" s="14"/>
      <c r="F131" s="11"/>
      <c r="G131" s="11"/>
      <c r="H131" s="11"/>
      <c r="Z131" s="26" t="s">
        <v>106</v>
      </c>
      <c r="AA131" s="27">
        <v>1</v>
      </c>
      <c r="AB131" s="27">
        <v>0.875</v>
      </c>
      <c r="AC131" s="27">
        <v>1</v>
      </c>
    </row>
    <row r="132" spans="2:29" s="12" customFormat="1" x14ac:dyDescent="0.25">
      <c r="B132" s="11"/>
      <c r="C132" s="14"/>
      <c r="D132" s="14"/>
      <c r="E132" s="14"/>
      <c r="F132" s="11"/>
      <c r="G132" s="11"/>
      <c r="H132" s="11"/>
      <c r="Z132" s="26" t="s">
        <v>117</v>
      </c>
      <c r="AA132" s="27">
        <v>1</v>
      </c>
      <c r="AB132" s="27">
        <v>1</v>
      </c>
      <c r="AC132" s="27">
        <v>1</v>
      </c>
    </row>
    <row r="133" spans="2:29" s="12" customFormat="1" x14ac:dyDescent="0.25">
      <c r="B133" s="29" t="s">
        <v>4</v>
      </c>
      <c r="C133" t="s">
        <v>74</v>
      </c>
      <c r="D133" s="14"/>
      <c r="E133" s="14"/>
      <c r="F133" s="11"/>
      <c r="G133" s="11"/>
      <c r="H133" s="11"/>
      <c r="Z133" s="26" t="s">
        <v>118</v>
      </c>
      <c r="AA133" s="27">
        <v>1</v>
      </c>
      <c r="AB133" s="27">
        <v>1</v>
      </c>
      <c r="AC133" s="27">
        <v>1</v>
      </c>
    </row>
    <row r="134" spans="2:29" s="12" customFormat="1" x14ac:dyDescent="0.25">
      <c r="B134" s="29" t="s">
        <v>0</v>
      </c>
      <c r="C134" t="s">
        <v>74</v>
      </c>
      <c r="D134" s="14"/>
      <c r="E134" s="14"/>
      <c r="F134" s="11"/>
      <c r="G134" s="11"/>
      <c r="H134" s="11"/>
      <c r="Z134" s="26" t="s">
        <v>178</v>
      </c>
      <c r="AA134" s="27">
        <v>1</v>
      </c>
      <c r="AB134" s="27">
        <v>0.65522620904836193</v>
      </c>
      <c r="AC134" s="27">
        <v>0.78003120124804992</v>
      </c>
    </row>
    <row r="135" spans="2:29" s="12" customFormat="1" x14ac:dyDescent="0.25">
      <c r="B135" s="29" t="s">
        <v>286</v>
      </c>
      <c r="C135" t="s">
        <v>74</v>
      </c>
      <c r="D135" s="14"/>
      <c r="E135" s="14"/>
      <c r="F135" s="11"/>
      <c r="G135" s="11"/>
      <c r="H135" s="11"/>
      <c r="Z135" s="26" t="s">
        <v>188</v>
      </c>
      <c r="AA135" s="27">
        <v>1</v>
      </c>
      <c r="AB135" s="27">
        <v>1</v>
      </c>
      <c r="AC135" s="27">
        <v>0.78125</v>
      </c>
    </row>
    <row r="136" spans="2:29" s="12" customFormat="1" x14ac:dyDescent="0.25">
      <c r="B136" s="11"/>
      <c r="C136" s="14"/>
      <c r="D136" s="14"/>
      <c r="E136" s="14"/>
      <c r="F136" s="11"/>
      <c r="G136" s="11"/>
      <c r="H136" s="11"/>
      <c r="Z136" s="26" t="s">
        <v>189</v>
      </c>
      <c r="AA136" s="27">
        <v>1</v>
      </c>
      <c r="AB136" s="27">
        <v>1</v>
      </c>
      <c r="AC136" s="27">
        <v>1</v>
      </c>
    </row>
    <row r="137" spans="2:29" s="12" customFormat="1" ht="45" x14ac:dyDescent="0.25">
      <c r="B137" s="284" t="s">
        <v>237</v>
      </c>
      <c r="C137" s="289" t="s">
        <v>655</v>
      </c>
      <c r="D137" s="289" t="s">
        <v>656</v>
      </c>
      <c r="E137" s="289" t="s">
        <v>657</v>
      </c>
      <c r="F137" s="11"/>
      <c r="G137" s="11"/>
      <c r="H137" s="11"/>
      <c r="Z137" s="26" t="s">
        <v>637</v>
      </c>
      <c r="AA137" s="27">
        <v>1</v>
      </c>
      <c r="AB137" s="27">
        <v>0.58252427184466016</v>
      </c>
      <c r="AC137" s="27">
        <v>0.24271844660194175</v>
      </c>
    </row>
    <row r="138" spans="2:29" s="12" customFormat="1" x14ac:dyDescent="0.25">
      <c r="B138" s="26" t="s">
        <v>449</v>
      </c>
      <c r="C138" s="290">
        <v>0.97770378791980228</v>
      </c>
      <c r="D138" s="290">
        <v>0.89636457149044446</v>
      </c>
      <c r="E138" s="290">
        <v>0.57862324725244974</v>
      </c>
      <c r="F138" s="11"/>
      <c r="G138" s="11"/>
      <c r="H138" s="11"/>
      <c r="Z138" s="26" t="s">
        <v>638</v>
      </c>
      <c r="AA138" s="27">
        <v>1</v>
      </c>
      <c r="AB138" s="27">
        <v>0.90909090909090906</v>
      </c>
      <c r="AC138" s="27">
        <v>0.45454545454545453</v>
      </c>
    </row>
    <row r="139" spans="2:29" s="12" customFormat="1" x14ac:dyDescent="0.25">
      <c r="B139" s="26" t="s">
        <v>450</v>
      </c>
      <c r="C139" s="290">
        <v>1</v>
      </c>
      <c r="D139" s="290">
        <v>0.88604651162790693</v>
      </c>
      <c r="E139" s="290">
        <v>0.72976744186046516</v>
      </c>
      <c r="F139" s="11"/>
      <c r="G139" s="11"/>
      <c r="H139" s="11"/>
      <c r="Z139" s="26" t="s">
        <v>639</v>
      </c>
      <c r="AA139" s="27">
        <v>1</v>
      </c>
      <c r="AB139" s="27">
        <v>1</v>
      </c>
      <c r="AC139" s="27">
        <v>0.86956521739130432</v>
      </c>
    </row>
    <row r="140" spans="2:29" s="12" customFormat="1" x14ac:dyDescent="0.25">
      <c r="B140" s="26" t="s">
        <v>460</v>
      </c>
      <c r="C140" s="290">
        <v>0.8414292980671414</v>
      </c>
      <c r="D140" s="290">
        <v>0.8414292980671414</v>
      </c>
      <c r="E140" s="290">
        <v>0.31396236012207529</v>
      </c>
      <c r="F140" s="11"/>
      <c r="G140" s="11"/>
      <c r="H140" s="11"/>
      <c r="Z140" s="26" t="s">
        <v>316</v>
      </c>
      <c r="AA140" s="27">
        <v>1</v>
      </c>
      <c r="AB140" s="27">
        <v>1</v>
      </c>
      <c r="AC140" s="27">
        <v>1</v>
      </c>
    </row>
    <row r="141" spans="2:29" s="12" customFormat="1" x14ac:dyDescent="0.25">
      <c r="B141" s="26" t="s">
        <v>73</v>
      </c>
      <c r="C141" s="290">
        <v>0.96550176007374044</v>
      </c>
      <c r="D141" s="290">
        <v>0.89095091658919168</v>
      </c>
      <c r="E141" s="290">
        <v>0.55768909866742955</v>
      </c>
      <c r="F141" s="11"/>
      <c r="G141" s="11"/>
      <c r="H141" s="11"/>
      <c r="Z141" s="26" t="s">
        <v>317</v>
      </c>
      <c r="AA141" s="27">
        <v>1</v>
      </c>
      <c r="AB141" s="27">
        <v>1</v>
      </c>
      <c r="AC141" s="27">
        <v>1</v>
      </c>
    </row>
    <row r="142" spans="2:29" s="12" customFormat="1" x14ac:dyDescent="0.25">
      <c r="B142"/>
      <c r="C142"/>
      <c r="D142"/>
      <c r="E142"/>
      <c r="F142" s="11"/>
      <c r="G142" s="11"/>
      <c r="H142" s="11"/>
      <c r="Z142" s="26" t="s">
        <v>158</v>
      </c>
      <c r="AA142" s="27">
        <v>1</v>
      </c>
      <c r="AB142" s="27">
        <v>1</v>
      </c>
      <c r="AC142" s="27">
        <v>0.91743119266055051</v>
      </c>
    </row>
    <row r="143" spans="2:29" s="12" customFormat="1" x14ac:dyDescent="0.25">
      <c r="B143"/>
      <c r="C143"/>
      <c r="D143"/>
      <c r="E143"/>
      <c r="F143" s="11"/>
      <c r="G143" s="11"/>
      <c r="H143" s="11"/>
      <c r="Z143" s="26" t="s">
        <v>159</v>
      </c>
      <c r="AA143" s="27">
        <v>1</v>
      </c>
      <c r="AB143" s="27">
        <v>1</v>
      </c>
      <c r="AC143" s="27">
        <v>0.92526690391459077</v>
      </c>
    </row>
    <row r="144" spans="2:29" s="12" customFormat="1" x14ac:dyDescent="0.25">
      <c r="B144" s="11"/>
      <c r="C144" s="14"/>
      <c r="D144" s="14"/>
      <c r="E144" s="14"/>
      <c r="F144" s="11"/>
      <c r="G144" s="11"/>
      <c r="H144" s="11"/>
      <c r="Z144" s="26" t="s">
        <v>160</v>
      </c>
      <c r="AA144" s="27">
        <v>1</v>
      </c>
      <c r="AB144" s="27">
        <v>0.97560975609756095</v>
      </c>
      <c r="AC144" s="27">
        <v>1</v>
      </c>
    </row>
    <row r="145" spans="1:29" s="12" customFormat="1" x14ac:dyDescent="0.25">
      <c r="B145" s="11"/>
      <c r="C145" s="14"/>
      <c r="D145" s="14"/>
      <c r="E145" s="14"/>
      <c r="F145" s="11"/>
      <c r="G145" s="11"/>
      <c r="H145" s="11"/>
      <c r="Z145" s="26" t="s">
        <v>161</v>
      </c>
      <c r="AA145" s="27">
        <v>1</v>
      </c>
      <c r="AB145" s="27">
        <v>0.77795786061588335</v>
      </c>
      <c r="AC145" s="27">
        <v>0.32414910858995138</v>
      </c>
    </row>
    <row r="146" spans="1:29" s="12" customFormat="1" x14ac:dyDescent="0.25">
      <c r="B146" s="11"/>
      <c r="C146" s="14"/>
      <c r="D146" s="14"/>
      <c r="E146" s="14"/>
      <c r="F146" s="11"/>
      <c r="G146" s="11"/>
      <c r="H146" s="11"/>
      <c r="Z146" s="26" t="s">
        <v>162</v>
      </c>
      <c r="AA146" s="27">
        <v>1</v>
      </c>
      <c r="AB146" s="27">
        <v>1</v>
      </c>
      <c r="AC146" s="27">
        <v>0.28887818969667789</v>
      </c>
    </row>
    <row r="147" spans="1:29" s="12" customFormat="1" x14ac:dyDescent="0.25">
      <c r="B147" s="11"/>
      <c r="C147" s="14"/>
      <c r="D147" s="14"/>
      <c r="E147" s="14"/>
      <c r="F147" s="11"/>
      <c r="G147" s="11"/>
      <c r="H147" s="11"/>
      <c r="Z147" s="26" t="s">
        <v>163</v>
      </c>
      <c r="AA147" s="27">
        <v>1</v>
      </c>
      <c r="AB147" s="27">
        <v>1</v>
      </c>
      <c r="AC147" s="27">
        <v>1</v>
      </c>
    </row>
    <row r="148" spans="1:29" s="12" customFormat="1" x14ac:dyDescent="0.25">
      <c r="C148" s="16"/>
      <c r="D148" s="28"/>
      <c r="E148" s="28"/>
      <c r="F148" s="11"/>
      <c r="G148" s="11"/>
      <c r="H148" s="11"/>
      <c r="Z148" s="26" t="s">
        <v>312</v>
      </c>
      <c r="AA148" s="27">
        <v>1</v>
      </c>
      <c r="AB148" s="27">
        <v>0.94763092269326688</v>
      </c>
      <c r="AC148" s="27">
        <v>0.49875311720698257</v>
      </c>
    </row>
    <row r="149" spans="1:29" s="12" customFormat="1" x14ac:dyDescent="0.25">
      <c r="C149" s="15"/>
      <c r="D149" s="14"/>
      <c r="E149" s="14"/>
      <c r="F149" s="11"/>
      <c r="G149" s="11"/>
      <c r="H149" s="11"/>
      <c r="Z149" s="26" t="s">
        <v>313</v>
      </c>
      <c r="AA149" s="27">
        <v>1</v>
      </c>
      <c r="AB149" s="27">
        <v>0.82781456953642385</v>
      </c>
      <c r="AC149" s="27">
        <v>0.66225165562913912</v>
      </c>
    </row>
    <row r="150" spans="1:29" s="12" customFormat="1" x14ac:dyDescent="0.25">
      <c r="B150" s="11"/>
      <c r="C150" s="14"/>
      <c r="D150" s="14"/>
      <c r="E150" s="14"/>
      <c r="F150" s="11"/>
      <c r="G150" s="11"/>
      <c r="H150" s="11"/>
      <c r="Z150" s="26" t="s">
        <v>141</v>
      </c>
      <c r="AA150" s="27">
        <v>1</v>
      </c>
      <c r="AB150" s="27">
        <v>0.75235109717868343</v>
      </c>
      <c r="AC150" s="27">
        <v>0.62695924764890287</v>
      </c>
    </row>
    <row r="151" spans="1:29" s="12" customFormat="1" ht="31.5" customHeight="1" x14ac:dyDescent="0.25">
      <c r="B151" s="278" t="s">
        <v>93</v>
      </c>
      <c r="C151" s="36"/>
      <c r="D151" s="36"/>
      <c r="E151" s="36"/>
      <c r="F151" s="36"/>
      <c r="G151" s="36"/>
      <c r="H151" s="36"/>
      <c r="I151" s="36"/>
      <c r="J151" s="36"/>
      <c r="K151" s="36"/>
      <c r="L151" s="36"/>
      <c r="M151" s="36"/>
      <c r="N151" s="37"/>
      <c r="Z151" s="26" t="s">
        <v>218</v>
      </c>
      <c r="AA151" s="27">
        <v>1</v>
      </c>
      <c r="AB151" s="27">
        <v>1</v>
      </c>
      <c r="AC151" s="27">
        <v>0.64874884151992585</v>
      </c>
    </row>
    <row r="152" spans="1:29" s="12" customFormat="1" x14ac:dyDescent="0.25">
      <c r="B152" s="11"/>
      <c r="C152" s="14"/>
      <c r="D152" s="14"/>
      <c r="E152" s="14"/>
      <c r="F152" s="11"/>
      <c r="G152" s="11"/>
      <c r="H152" s="11"/>
      <c r="Z152" s="26" t="s">
        <v>465</v>
      </c>
      <c r="AA152" s="27">
        <v>1</v>
      </c>
      <c r="AB152" s="27">
        <v>0.73891625615763545</v>
      </c>
      <c r="AC152" s="27">
        <v>0.73891625615763545</v>
      </c>
    </row>
    <row r="153" spans="1:29" s="12" customFormat="1" x14ac:dyDescent="0.25">
      <c r="B153" s="11"/>
      <c r="C153" s="14"/>
      <c r="D153" s="14"/>
      <c r="E153" s="14"/>
      <c r="F153" s="11"/>
      <c r="G153" s="11"/>
      <c r="H153" s="11"/>
      <c r="Z153" s="26" t="s">
        <v>142</v>
      </c>
      <c r="AA153" s="27">
        <v>1</v>
      </c>
      <c r="AB153" s="27">
        <v>1</v>
      </c>
      <c r="AC153" s="27">
        <v>0.22123893805309736</v>
      </c>
    </row>
    <row r="154" spans="1:29" s="12" customFormat="1" x14ac:dyDescent="0.25">
      <c r="B154" s="11"/>
      <c r="C154" s="14"/>
      <c r="D154" s="14"/>
      <c r="E154" s="14"/>
      <c r="F154" s="11"/>
      <c r="G154" s="11"/>
      <c r="H154" s="11"/>
      <c r="Z154" s="26" t="s">
        <v>279</v>
      </c>
      <c r="AA154" s="27">
        <v>1</v>
      </c>
      <c r="AB154" s="27">
        <v>0.47058823529411764</v>
      </c>
      <c r="AC154" s="27">
        <v>0.29411764705882354</v>
      </c>
    </row>
    <row r="155" spans="1:29" s="12" customFormat="1" x14ac:dyDescent="0.25">
      <c r="B155" s="11"/>
      <c r="C155" s="14"/>
      <c r="D155" s="14"/>
      <c r="E155" s="14"/>
      <c r="F155" s="11"/>
      <c r="G155" s="11"/>
      <c r="H155" s="11"/>
      <c r="Z155" s="26" t="s">
        <v>280</v>
      </c>
      <c r="AA155" s="27">
        <v>1</v>
      </c>
      <c r="AB155" s="27">
        <v>1</v>
      </c>
      <c r="AC155" s="27">
        <v>0.38077106139933364</v>
      </c>
    </row>
    <row r="156" spans="1:29" s="12" customFormat="1" x14ac:dyDescent="0.25">
      <c r="A156" s="11"/>
      <c r="B156" s="29" t="s">
        <v>4</v>
      </c>
      <c r="C156" t="s">
        <v>74</v>
      </c>
      <c r="D156" s="14"/>
      <c r="E156" s="14"/>
      <c r="F156" s="11"/>
      <c r="G156" s="11"/>
      <c r="H156" s="11"/>
      <c r="I156" s="11"/>
      <c r="J156" s="11"/>
      <c r="K156" s="11"/>
      <c r="L156" s="11"/>
      <c r="M156" s="11"/>
      <c r="N156" s="11"/>
      <c r="O156" s="11"/>
      <c r="Z156" s="26" t="s">
        <v>192</v>
      </c>
      <c r="AA156" s="27">
        <v>1</v>
      </c>
      <c r="AB156" s="27">
        <v>1</v>
      </c>
      <c r="AC156" s="27">
        <v>1</v>
      </c>
    </row>
    <row r="157" spans="1:29" x14ac:dyDescent="0.25">
      <c r="B157" s="29" t="s">
        <v>0</v>
      </c>
      <c r="C157" t="s">
        <v>74</v>
      </c>
      <c r="Z157" s="26" t="s">
        <v>626</v>
      </c>
      <c r="AA157" s="27">
        <v>1</v>
      </c>
      <c r="AB157" s="27">
        <v>1</v>
      </c>
      <c r="AC157" s="27">
        <v>1</v>
      </c>
    </row>
    <row r="158" spans="1:29" x14ac:dyDescent="0.25">
      <c r="B158" s="284" t="s">
        <v>3</v>
      </c>
      <c r="C158" t="s">
        <v>74</v>
      </c>
      <c r="Z158" s="26" t="s">
        <v>627</v>
      </c>
      <c r="AA158" s="27">
        <v>1</v>
      </c>
      <c r="AB158" s="27">
        <v>1</v>
      </c>
      <c r="AC158" s="27">
        <v>1</v>
      </c>
    </row>
    <row r="159" spans="1:29" x14ac:dyDescent="0.25">
      <c r="B159" s="29" t="s">
        <v>286</v>
      </c>
      <c r="C159" t="s">
        <v>74</v>
      </c>
      <c r="Z159" s="26" t="s">
        <v>128</v>
      </c>
      <c r="AA159" s="27">
        <v>1</v>
      </c>
      <c r="AB159" s="27">
        <v>1</v>
      </c>
      <c r="AC159" s="27">
        <v>1</v>
      </c>
    </row>
    <row r="160" spans="1:29" x14ac:dyDescent="0.25">
      <c r="Z160" s="26" t="s">
        <v>281</v>
      </c>
      <c r="AA160" s="27">
        <v>1</v>
      </c>
      <c r="AB160" s="27">
        <v>0.97701149425287359</v>
      </c>
      <c r="AC160" s="27">
        <v>0.86206896551724133</v>
      </c>
    </row>
    <row r="161" spans="1:29" x14ac:dyDescent="0.25">
      <c r="B161" s="29" t="s">
        <v>237</v>
      </c>
      <c r="C161" t="s">
        <v>659</v>
      </c>
      <c r="D161"/>
      <c r="E161"/>
      <c r="Z161" s="26" t="s">
        <v>143</v>
      </c>
      <c r="AA161" s="27">
        <v>1</v>
      </c>
      <c r="AB161" s="27">
        <v>1</v>
      </c>
      <c r="AC161" s="27">
        <v>1</v>
      </c>
    </row>
    <row r="162" spans="1:29" x14ac:dyDescent="0.25">
      <c r="B162" s="26" t="s">
        <v>240</v>
      </c>
      <c r="C162" s="292">
        <v>12</v>
      </c>
      <c r="D162"/>
      <c r="E162"/>
      <c r="Z162" s="26" t="s">
        <v>144</v>
      </c>
      <c r="AA162" s="27">
        <v>1</v>
      </c>
      <c r="AB162" s="27">
        <v>1</v>
      </c>
      <c r="AC162" s="27">
        <v>1</v>
      </c>
    </row>
    <row r="163" spans="1:29" x14ac:dyDescent="0.25">
      <c r="B163" s="26" t="s">
        <v>754</v>
      </c>
      <c r="C163" s="292">
        <v>1</v>
      </c>
      <c r="D163"/>
      <c r="E163"/>
      <c r="Z163" s="26" t="s">
        <v>119</v>
      </c>
      <c r="AA163" s="27">
        <v>1</v>
      </c>
      <c r="AB163" s="27">
        <v>1</v>
      </c>
      <c r="AC163" s="27">
        <v>1</v>
      </c>
    </row>
    <row r="164" spans="1:29" x14ac:dyDescent="0.25">
      <c r="A164" s="12"/>
      <c r="B164" s="26" t="s">
        <v>239</v>
      </c>
      <c r="C164" s="292">
        <v>162</v>
      </c>
      <c r="D164"/>
      <c r="E164"/>
      <c r="F164"/>
      <c r="G164"/>
      <c r="H164"/>
      <c r="M164" s="12"/>
      <c r="N164" s="12"/>
      <c r="O164" s="12"/>
      <c r="Z164" s="26" t="s">
        <v>205</v>
      </c>
      <c r="AA164" s="27">
        <v>1</v>
      </c>
      <c r="AB164" s="27">
        <v>1</v>
      </c>
      <c r="AC164" s="27">
        <v>1</v>
      </c>
    </row>
    <row r="165" spans="1:29" s="12" customFormat="1" x14ac:dyDescent="0.25">
      <c r="A165" s="11"/>
      <c r="B165" s="26" t="s">
        <v>73</v>
      </c>
      <c r="C165" s="292">
        <v>175</v>
      </c>
      <c r="D165"/>
      <c r="E165"/>
      <c r="F165" s="13"/>
      <c r="G165" s="11"/>
      <c r="H165" s="11"/>
      <c r="I165" s="11"/>
      <c r="J165" s="11"/>
      <c r="K165" s="11"/>
      <c r="L165" s="11"/>
      <c r="M165" s="11"/>
      <c r="N165" s="11"/>
      <c r="O165" s="11"/>
      <c r="Z165" s="26" t="s">
        <v>193</v>
      </c>
      <c r="AA165" s="27">
        <v>1</v>
      </c>
      <c r="AB165" s="27">
        <v>0.6327372764786795</v>
      </c>
      <c r="AC165" s="27">
        <v>0.55020632737276476</v>
      </c>
    </row>
    <row r="166" spans="1:29" x14ac:dyDescent="0.25">
      <c r="A166" s="12"/>
      <c r="B166"/>
      <c r="C166"/>
      <c r="I166" s="12"/>
      <c r="J166" s="12"/>
      <c r="K166" s="12"/>
      <c r="L166" s="12"/>
      <c r="M166" s="12"/>
      <c r="N166" s="12"/>
      <c r="O166" s="12"/>
      <c r="Z166" s="26" t="s">
        <v>206</v>
      </c>
      <c r="AA166" s="27">
        <v>1</v>
      </c>
      <c r="AB166" s="27">
        <v>1</v>
      </c>
      <c r="AC166" s="27">
        <v>1</v>
      </c>
    </row>
    <row r="167" spans="1:29" s="12" customFormat="1" x14ac:dyDescent="0.25">
      <c r="B167"/>
      <c r="C167"/>
      <c r="D167" s="14"/>
      <c r="E167" s="14"/>
      <c r="F167" s="11"/>
      <c r="G167" s="11"/>
      <c r="H167" s="11"/>
      <c r="Z167" s="26" t="s">
        <v>207</v>
      </c>
      <c r="AA167" s="27">
        <v>1</v>
      </c>
      <c r="AB167" s="27">
        <v>1</v>
      </c>
      <c r="AC167" s="27">
        <v>0.5714285714285714</v>
      </c>
    </row>
    <row r="168" spans="1:29" s="12" customFormat="1" x14ac:dyDescent="0.25">
      <c r="B168" s="26"/>
      <c r="C168" s="292"/>
      <c r="D168" s="14"/>
      <c r="E168" s="14"/>
      <c r="F168" s="11"/>
      <c r="G168" s="11"/>
      <c r="H168" s="11"/>
      <c r="Z168" s="26" t="s">
        <v>480</v>
      </c>
      <c r="AA168" s="27">
        <v>1</v>
      </c>
      <c r="AB168" s="27">
        <v>1</v>
      </c>
      <c r="AC168" s="27">
        <v>1</v>
      </c>
    </row>
    <row r="169" spans="1:29" s="12" customFormat="1" x14ac:dyDescent="0.25">
      <c r="B169" s="26"/>
      <c r="C169" s="292"/>
      <c r="D169" s="14"/>
      <c r="E169" s="14"/>
      <c r="F169" s="11"/>
      <c r="G169" s="11"/>
      <c r="H169" s="11"/>
      <c r="Z169" s="26" t="s">
        <v>481</v>
      </c>
      <c r="AA169" s="27">
        <v>1</v>
      </c>
      <c r="AB169" s="27">
        <v>1</v>
      </c>
      <c r="AC169" s="27">
        <v>1</v>
      </c>
    </row>
    <row r="170" spans="1:29" s="12" customFormat="1" x14ac:dyDescent="0.25">
      <c r="B170" s="26"/>
      <c r="C170" s="292"/>
      <c r="D170" s="14"/>
      <c r="E170" s="14"/>
      <c r="F170" s="11"/>
      <c r="G170" s="11"/>
      <c r="H170" s="11"/>
      <c r="Z170" s="26" t="s">
        <v>461</v>
      </c>
      <c r="AA170" s="27">
        <v>1</v>
      </c>
      <c r="AB170" s="27">
        <v>0.86021505376344087</v>
      </c>
      <c r="AC170" s="27">
        <v>1</v>
      </c>
    </row>
    <row r="171" spans="1:29" s="12" customFormat="1" x14ac:dyDescent="0.25">
      <c r="B171" s="26"/>
      <c r="C171" s="292"/>
      <c r="D171" s="14"/>
      <c r="E171" s="14"/>
      <c r="F171" s="11"/>
      <c r="G171" s="11"/>
      <c r="H171" s="11"/>
      <c r="Z171" s="26" t="s">
        <v>624</v>
      </c>
      <c r="AA171" s="27">
        <v>0.97146326654523385</v>
      </c>
      <c r="AB171" s="27">
        <v>0.87431693989071035</v>
      </c>
      <c r="AC171" s="27">
        <v>0.36429872495446264</v>
      </c>
    </row>
    <row r="172" spans="1:29" s="12" customFormat="1" x14ac:dyDescent="0.25">
      <c r="B172" s="11"/>
      <c r="C172" s="14"/>
      <c r="D172" s="14"/>
      <c r="E172" s="14"/>
      <c r="F172" s="11"/>
      <c r="G172" s="11"/>
      <c r="H172" s="11"/>
      <c r="Z172" s="26" t="s">
        <v>211</v>
      </c>
      <c r="AA172" s="27">
        <v>1</v>
      </c>
      <c r="AB172" s="27">
        <v>0.89947089947089942</v>
      </c>
      <c r="AC172" s="27">
        <v>0.52910052910052907</v>
      </c>
    </row>
    <row r="173" spans="1:29" s="12" customFormat="1" x14ac:dyDescent="0.25">
      <c r="B173" s="11"/>
      <c r="C173" s="14"/>
      <c r="D173" s="14"/>
      <c r="E173" s="14"/>
      <c r="F173" s="11"/>
      <c r="G173" s="11"/>
      <c r="H173" s="11"/>
      <c r="Z173" s="26" t="s">
        <v>212</v>
      </c>
      <c r="AA173" s="27">
        <v>1</v>
      </c>
      <c r="AB173" s="27">
        <v>0.6872852233676976</v>
      </c>
      <c r="AC173" s="27">
        <v>0.6872852233676976</v>
      </c>
    </row>
    <row r="174" spans="1:29" s="12" customFormat="1" x14ac:dyDescent="0.25">
      <c r="B174"/>
      <c r="C174"/>
      <c r="D174" s="14"/>
      <c r="E174" s="14"/>
      <c r="F174" s="11"/>
      <c r="G174" s="11"/>
      <c r="H174" s="11"/>
      <c r="Z174" s="26" t="s">
        <v>213</v>
      </c>
      <c r="AA174" s="27">
        <v>1</v>
      </c>
      <c r="AB174" s="27">
        <v>1</v>
      </c>
      <c r="AC174" s="27">
        <v>0.92165898617511521</v>
      </c>
    </row>
    <row r="175" spans="1:29" s="12" customFormat="1" x14ac:dyDescent="0.25">
      <c r="B175" s="29" t="s">
        <v>3</v>
      </c>
      <c r="C175" t="s">
        <v>449</v>
      </c>
      <c r="D175" s="14"/>
      <c r="E175" s="14"/>
      <c r="F175" s="11"/>
      <c r="G175" s="11"/>
      <c r="H175" s="11"/>
      <c r="Z175" s="26" t="s">
        <v>625</v>
      </c>
      <c r="AA175" s="27">
        <v>0</v>
      </c>
      <c r="AB175" s="27">
        <v>1</v>
      </c>
      <c r="AC175" s="27">
        <v>1</v>
      </c>
    </row>
    <row r="176" spans="1:29" s="12" customFormat="1" x14ac:dyDescent="0.25">
      <c r="B176" s="29" t="s">
        <v>286</v>
      </c>
      <c r="C176" t="s">
        <v>74</v>
      </c>
      <c r="D176" s="14"/>
      <c r="E176" s="14"/>
      <c r="F176" s="11"/>
      <c r="G176" s="11"/>
      <c r="H176" s="11"/>
      <c r="Z176" s="26" t="s">
        <v>208</v>
      </c>
      <c r="AA176" s="27">
        <v>1</v>
      </c>
      <c r="AB176" s="27">
        <v>1</v>
      </c>
      <c r="AC176" s="27">
        <v>0.74349442379182151</v>
      </c>
    </row>
    <row r="177" spans="1:29" s="12" customFormat="1" ht="16.5" customHeight="1" x14ac:dyDescent="0.25">
      <c r="A177" s="11"/>
      <c r="B177" s="11"/>
      <c r="C177" s="14"/>
      <c r="D177" s="14"/>
      <c r="E177" s="14"/>
      <c r="F177" s="11"/>
      <c r="G177" s="11"/>
      <c r="H177" s="11"/>
      <c r="O177" s="11"/>
      <c r="Z177" s="26" t="s">
        <v>225</v>
      </c>
      <c r="AA177" s="27">
        <v>1</v>
      </c>
      <c r="AB177" s="27">
        <v>1</v>
      </c>
      <c r="AC177" s="27">
        <v>1</v>
      </c>
    </row>
    <row r="178" spans="1:29" ht="45" x14ac:dyDescent="0.25">
      <c r="B178" s="284" t="s">
        <v>237</v>
      </c>
      <c r="C178" s="289" t="s">
        <v>655</v>
      </c>
      <c r="D178" s="289" t="s">
        <v>666</v>
      </c>
      <c r="F178" s="297"/>
      <c r="I178" s="12"/>
      <c r="J178" s="12"/>
      <c r="K178" s="12"/>
      <c r="L178" s="12"/>
      <c r="M178" s="12"/>
      <c r="N178" s="12"/>
      <c r="Z178" s="26" t="s">
        <v>458</v>
      </c>
      <c r="AA178" s="27">
        <v>1</v>
      </c>
      <c r="AB178" s="27">
        <v>1</v>
      </c>
      <c r="AC178" s="27">
        <v>1</v>
      </c>
    </row>
    <row r="179" spans="1:29" x14ac:dyDescent="0.25">
      <c r="B179" s="26" t="s">
        <v>214</v>
      </c>
      <c r="C179" s="290">
        <v>0.96217982566904681</v>
      </c>
      <c r="D179" s="290">
        <v>3.7429881151900463E-2</v>
      </c>
      <c r="I179" s="12"/>
      <c r="J179" s="12"/>
      <c r="K179" s="12"/>
      <c r="L179" s="12"/>
      <c r="M179" s="12"/>
      <c r="N179" s="12"/>
      <c r="Z179" s="26" t="s">
        <v>216</v>
      </c>
      <c r="AA179" s="27">
        <v>1</v>
      </c>
      <c r="AB179" s="27">
        <v>1</v>
      </c>
      <c r="AC179" s="27">
        <v>0.97402597402597402</v>
      </c>
    </row>
    <row r="180" spans="1:29" x14ac:dyDescent="0.25">
      <c r="B180" s="26" t="s">
        <v>222</v>
      </c>
      <c r="C180" s="290">
        <v>1</v>
      </c>
      <c r="D180" s="290">
        <v>0</v>
      </c>
      <c r="I180" s="12"/>
      <c r="J180" s="12"/>
      <c r="K180" s="12"/>
      <c r="L180" s="12"/>
      <c r="M180" s="12"/>
      <c r="N180" s="12"/>
      <c r="Z180" s="26" t="s">
        <v>179</v>
      </c>
      <c r="AA180" s="27">
        <v>1</v>
      </c>
      <c r="AB180" s="27">
        <v>1</v>
      </c>
      <c r="AC180" s="27">
        <v>1</v>
      </c>
    </row>
    <row r="181" spans="1:29" x14ac:dyDescent="0.25">
      <c r="B181" s="26" t="s">
        <v>73</v>
      </c>
      <c r="C181" s="290">
        <v>0.97770378791980228</v>
      </c>
      <c r="D181" s="290">
        <v>2.2066121668200538E-2</v>
      </c>
      <c r="I181" s="12"/>
      <c r="J181" s="12"/>
      <c r="K181" s="12"/>
      <c r="L181" s="12"/>
      <c r="M181" s="12"/>
      <c r="N181" s="12"/>
      <c r="Z181" s="26" t="s">
        <v>120</v>
      </c>
      <c r="AA181" s="27">
        <v>1</v>
      </c>
      <c r="AB181" s="27">
        <v>0.73529411764705888</v>
      </c>
      <c r="AC181" s="27">
        <v>0.73529411764705888</v>
      </c>
    </row>
    <row r="182" spans="1:29" x14ac:dyDescent="0.25">
      <c r="B182"/>
      <c r="C182"/>
      <c r="I182" s="12"/>
      <c r="J182" s="12"/>
      <c r="K182" s="12"/>
      <c r="L182" s="12"/>
      <c r="M182" s="12"/>
      <c r="N182" s="12"/>
      <c r="Z182" s="26" t="s">
        <v>227</v>
      </c>
      <c r="AA182" s="27">
        <v>1</v>
      </c>
      <c r="AB182" s="27">
        <v>0.20408163265306123</v>
      </c>
      <c r="AC182" s="27">
        <v>0</v>
      </c>
    </row>
    <row r="183" spans="1:29" x14ac:dyDescent="0.25">
      <c r="B183"/>
      <c r="C183"/>
      <c r="I183" s="12"/>
      <c r="J183" s="12"/>
      <c r="K183" s="12"/>
      <c r="L183" s="12"/>
      <c r="M183" s="12"/>
      <c r="N183" s="12"/>
      <c r="Z183" s="26" t="s">
        <v>129</v>
      </c>
      <c r="AA183" s="27">
        <v>1</v>
      </c>
      <c r="AB183" s="27">
        <v>1</v>
      </c>
      <c r="AC183" s="27">
        <v>1</v>
      </c>
    </row>
    <row r="184" spans="1:29" x14ac:dyDescent="0.25">
      <c r="B184"/>
      <c r="C184"/>
      <c r="I184" s="12"/>
      <c r="J184" s="12"/>
      <c r="K184" s="12"/>
      <c r="L184" s="12"/>
      <c r="M184" s="12"/>
      <c r="N184" s="12"/>
      <c r="Z184" s="26" t="s">
        <v>164</v>
      </c>
      <c r="AA184" s="27">
        <v>1</v>
      </c>
      <c r="AB184" s="27">
        <v>1</v>
      </c>
      <c r="AC184" s="27">
        <v>1</v>
      </c>
    </row>
    <row r="185" spans="1:29" x14ac:dyDescent="0.25">
      <c r="B185"/>
      <c r="C185"/>
      <c r="I185" s="12"/>
      <c r="J185" s="12"/>
      <c r="K185" s="12"/>
      <c r="L185" s="12"/>
      <c r="M185" s="12"/>
      <c r="N185" s="12"/>
      <c r="Z185" s="26" t="s">
        <v>315</v>
      </c>
      <c r="AA185" s="27">
        <v>1</v>
      </c>
      <c r="AB185" s="27">
        <v>1</v>
      </c>
      <c r="AC185" s="27">
        <v>1</v>
      </c>
    </row>
    <row r="186" spans="1:29" x14ac:dyDescent="0.25">
      <c r="B186"/>
      <c r="C186"/>
      <c r="D186"/>
      <c r="I186" s="12"/>
      <c r="J186" s="12"/>
      <c r="K186" s="12"/>
      <c r="L186" s="12"/>
      <c r="M186" s="12"/>
      <c r="N186" s="12"/>
      <c r="Z186" s="26" t="s">
        <v>187</v>
      </c>
      <c r="AA186" s="27">
        <v>1</v>
      </c>
      <c r="AB186" s="27">
        <v>1</v>
      </c>
      <c r="AC186" s="27">
        <v>0.42865890998162892</v>
      </c>
    </row>
    <row r="187" spans="1:29" x14ac:dyDescent="0.25">
      <c r="B187"/>
      <c r="C187"/>
      <c r="D187"/>
      <c r="I187" s="12"/>
      <c r="J187" s="12"/>
      <c r="K187" s="12"/>
      <c r="L187" s="12"/>
      <c r="M187" s="12"/>
      <c r="N187" s="12"/>
      <c r="Z187" s="26" t="s">
        <v>195</v>
      </c>
      <c r="AA187" s="27">
        <v>1</v>
      </c>
      <c r="AB187" s="27">
        <v>0.86956521739130432</v>
      </c>
      <c r="AC187" s="27">
        <v>1</v>
      </c>
    </row>
    <row r="188" spans="1:29" ht="21" x14ac:dyDescent="0.25">
      <c r="B188" s="278" t="s">
        <v>94</v>
      </c>
      <c r="C188" s="296"/>
      <c r="D188" s="36"/>
      <c r="E188" s="36"/>
      <c r="F188" s="36"/>
      <c r="G188" s="36"/>
      <c r="H188" s="36"/>
      <c r="I188" s="36"/>
      <c r="J188" s="36"/>
      <c r="K188" s="36"/>
      <c r="L188" s="36"/>
      <c r="M188" s="36"/>
      <c r="N188" s="37"/>
      <c r="Z188" s="26" t="s">
        <v>215</v>
      </c>
      <c r="AA188" s="27">
        <v>1</v>
      </c>
      <c r="AB188" s="27">
        <v>0.69868995633187769</v>
      </c>
      <c r="AC188" s="27">
        <v>0.8733624454148472</v>
      </c>
    </row>
    <row r="189" spans="1:29" ht="21" x14ac:dyDescent="0.25">
      <c r="B189" s="298"/>
      <c r="C189" s="298"/>
      <c r="D189" s="299"/>
      <c r="E189" s="299"/>
      <c r="F189" s="299"/>
      <c r="G189" s="299"/>
      <c r="H189" s="299"/>
      <c r="I189" s="299"/>
      <c r="J189" s="299"/>
      <c r="K189" s="299"/>
      <c r="L189" s="299"/>
      <c r="M189" s="299"/>
      <c r="N189" s="299"/>
      <c r="Z189" s="26" t="s">
        <v>145</v>
      </c>
      <c r="AA189" s="27">
        <v>1</v>
      </c>
      <c r="AB189" s="27">
        <v>1</v>
      </c>
      <c r="AC189" s="27">
        <v>1</v>
      </c>
    </row>
    <row r="190" spans="1:29" ht="15.75" customHeight="1" x14ac:dyDescent="0.25">
      <c r="B190" s="298"/>
      <c r="C190" s="298"/>
      <c r="D190" s="299"/>
      <c r="E190" s="299"/>
      <c r="F190" s="299"/>
      <c r="G190" s="299"/>
      <c r="H190" s="299"/>
      <c r="I190" s="299"/>
      <c r="J190" s="299"/>
      <c r="K190" s="299"/>
      <c r="L190" s="299"/>
      <c r="M190" s="299"/>
      <c r="N190" s="299"/>
      <c r="Z190" s="26" t="s">
        <v>622</v>
      </c>
      <c r="AA190" s="27">
        <v>1</v>
      </c>
      <c r="AB190" s="27">
        <v>1</v>
      </c>
      <c r="AC190" s="27">
        <v>0.14903129657228018</v>
      </c>
    </row>
    <row r="191" spans="1:29" ht="15.75" customHeight="1" x14ac:dyDescent="0.25">
      <c r="B191" s="29" t="s">
        <v>3</v>
      </c>
      <c r="C191" t="s">
        <v>74</v>
      </c>
      <c r="F191"/>
      <c r="Z191" s="26" t="s">
        <v>621</v>
      </c>
      <c r="AA191" s="27">
        <v>1</v>
      </c>
      <c r="AB191" s="27">
        <v>1</v>
      </c>
      <c r="AC191" s="27">
        <v>0.39840637450199201</v>
      </c>
    </row>
    <row r="192" spans="1:29" ht="15.75" customHeight="1" x14ac:dyDescent="0.25">
      <c r="B192" s="29" t="s">
        <v>286</v>
      </c>
      <c r="C192" t="s">
        <v>74</v>
      </c>
      <c r="F192"/>
      <c r="Z192" s="26" t="s">
        <v>620</v>
      </c>
      <c r="AA192" s="27">
        <v>1</v>
      </c>
      <c r="AB192" s="27">
        <v>1</v>
      </c>
      <c r="AC192" s="27">
        <v>0.74349442379182151</v>
      </c>
    </row>
    <row r="193" spans="2:29" x14ac:dyDescent="0.25">
      <c r="F193"/>
      <c r="Z193" s="26" t="s">
        <v>200</v>
      </c>
      <c r="AA193" s="27">
        <v>1</v>
      </c>
      <c r="AB193" s="27">
        <v>1</v>
      </c>
      <c r="AC193" s="27">
        <v>0.77922077922077926</v>
      </c>
    </row>
    <row r="194" spans="2:29" x14ac:dyDescent="0.25">
      <c r="B194" s="29" t="s">
        <v>646</v>
      </c>
      <c r="C194" s="29" t="s">
        <v>249</v>
      </c>
      <c r="D194"/>
      <c r="E194"/>
      <c r="F194"/>
      <c r="Z194" s="26" t="s">
        <v>283</v>
      </c>
      <c r="AA194" s="27">
        <v>1</v>
      </c>
      <c r="AB194" s="27">
        <v>0.99071207430340558</v>
      </c>
      <c r="AC194" s="27">
        <v>0.61919504643962853</v>
      </c>
    </row>
    <row r="195" spans="2:29" x14ac:dyDescent="0.25">
      <c r="B195" s="29" t="s">
        <v>237</v>
      </c>
      <c r="C195" s="293" t="s">
        <v>214</v>
      </c>
      <c r="D195" s="293" t="s">
        <v>222</v>
      </c>
      <c r="E195" s="293" t="s">
        <v>73</v>
      </c>
      <c r="F195"/>
      <c r="Z195" s="26" t="s">
        <v>674</v>
      </c>
      <c r="AA195" s="27">
        <v>1</v>
      </c>
      <c r="AB195" s="27">
        <v>1</v>
      </c>
      <c r="AC195" s="27">
        <v>0.93457943925233644</v>
      </c>
    </row>
    <row r="196" spans="2:29" x14ac:dyDescent="0.25">
      <c r="B196" s="26" t="s">
        <v>176</v>
      </c>
      <c r="C196" s="283">
        <v>207.35000000000002</v>
      </c>
      <c r="D196" s="283"/>
      <c r="E196" s="283">
        <v>207.35000000000002</v>
      </c>
      <c r="F196"/>
      <c r="Z196" s="26" t="s">
        <v>165</v>
      </c>
      <c r="AA196" s="27">
        <v>1</v>
      </c>
      <c r="AB196" s="27">
        <v>1</v>
      </c>
      <c r="AC196" s="27">
        <v>0.3125</v>
      </c>
    </row>
    <row r="197" spans="2:29" x14ac:dyDescent="0.25">
      <c r="B197" s="26" t="s">
        <v>104</v>
      </c>
      <c r="C197" s="283">
        <v>36.549999999999997</v>
      </c>
      <c r="D197" s="283">
        <v>43.65</v>
      </c>
      <c r="E197" s="283">
        <v>80.199999999999989</v>
      </c>
      <c r="F197"/>
      <c r="Z197" s="26" t="s">
        <v>166</v>
      </c>
      <c r="AA197" s="27">
        <v>1</v>
      </c>
      <c r="AB197" s="27">
        <v>0.7857142857142857</v>
      </c>
      <c r="AC197" s="27">
        <v>1</v>
      </c>
    </row>
    <row r="198" spans="2:29" x14ac:dyDescent="0.25">
      <c r="B198" s="26" t="s">
        <v>107</v>
      </c>
      <c r="C198" s="283">
        <v>48.7</v>
      </c>
      <c r="D198" s="283"/>
      <c r="E198" s="283">
        <v>48.7</v>
      </c>
      <c r="F198"/>
      <c r="Z198" s="26" t="s">
        <v>167</v>
      </c>
      <c r="AA198" s="27">
        <v>1</v>
      </c>
      <c r="AB198" s="27">
        <v>1</v>
      </c>
      <c r="AC198" s="27">
        <v>1</v>
      </c>
    </row>
    <row r="199" spans="2:29" x14ac:dyDescent="0.25">
      <c r="B199" s="26" t="s">
        <v>125</v>
      </c>
      <c r="C199" s="283">
        <v>0.85</v>
      </c>
      <c r="D199" s="283"/>
      <c r="E199" s="283">
        <v>0.85</v>
      </c>
      <c r="F199"/>
      <c r="Z199" s="26" t="s">
        <v>168</v>
      </c>
      <c r="AA199" s="27">
        <v>1</v>
      </c>
      <c r="AB199" s="27">
        <v>0.82840236686390534</v>
      </c>
      <c r="AC199" s="27">
        <v>1</v>
      </c>
    </row>
    <row r="200" spans="2:29" x14ac:dyDescent="0.25">
      <c r="B200" s="26" t="s">
        <v>201</v>
      </c>
      <c r="C200" s="283">
        <v>143.25</v>
      </c>
      <c r="D200" s="283"/>
      <c r="E200" s="283">
        <v>143.25</v>
      </c>
      <c r="F200"/>
      <c r="Z200" s="26" t="s">
        <v>169</v>
      </c>
      <c r="AA200" s="27">
        <v>1</v>
      </c>
      <c r="AB200" s="27">
        <v>1</v>
      </c>
      <c r="AC200" s="27">
        <v>1</v>
      </c>
    </row>
    <row r="201" spans="2:29" x14ac:dyDescent="0.25">
      <c r="B201" s="26" t="s">
        <v>182</v>
      </c>
      <c r="C201" s="283">
        <v>210.89999999999998</v>
      </c>
      <c r="D201" s="283">
        <v>93.050000000000011</v>
      </c>
      <c r="E201" s="283">
        <v>303.95</v>
      </c>
      <c r="F201"/>
      <c r="Z201" s="26" t="s">
        <v>121</v>
      </c>
      <c r="AA201" s="27">
        <v>1</v>
      </c>
      <c r="AB201" s="27">
        <v>1</v>
      </c>
      <c r="AC201" s="27">
        <v>1</v>
      </c>
    </row>
    <row r="202" spans="2:29" x14ac:dyDescent="0.25">
      <c r="B202" s="26" t="s">
        <v>183</v>
      </c>
      <c r="C202" s="283">
        <v>15.299999999999999</v>
      </c>
      <c r="D202" s="283">
        <v>22.3</v>
      </c>
      <c r="E202" s="283">
        <v>37.6</v>
      </c>
      <c r="F202"/>
      <c r="Z202" s="26" t="s">
        <v>866</v>
      </c>
      <c r="AA202" s="27">
        <v>1</v>
      </c>
      <c r="AB202" s="27">
        <v>0.8040201005025126</v>
      </c>
      <c r="AC202" s="27">
        <v>0.26448029621793179</v>
      </c>
    </row>
    <row r="203" spans="2:29" x14ac:dyDescent="0.25">
      <c r="B203" s="26" t="s">
        <v>221</v>
      </c>
      <c r="C203" s="283">
        <v>9.9499999999999993</v>
      </c>
      <c r="D203" s="283"/>
      <c r="E203" s="283">
        <v>9.9499999999999993</v>
      </c>
      <c r="F203"/>
      <c r="Z203" s="26" t="s">
        <v>122</v>
      </c>
      <c r="AA203" s="27">
        <v>1</v>
      </c>
      <c r="AB203" s="27">
        <v>1</v>
      </c>
      <c r="AC203" s="27">
        <v>1</v>
      </c>
    </row>
    <row r="204" spans="2:29" x14ac:dyDescent="0.25">
      <c r="B204" s="26" t="s">
        <v>130</v>
      </c>
      <c r="C204" s="283">
        <v>0</v>
      </c>
      <c r="D204" s="283"/>
      <c r="E204" s="283">
        <v>0</v>
      </c>
      <c r="F204"/>
      <c r="Z204" s="26" t="s">
        <v>146</v>
      </c>
      <c r="AA204" s="27">
        <v>1</v>
      </c>
      <c r="AB204" s="27">
        <v>0.75</v>
      </c>
      <c r="AC204" s="27">
        <v>0.5</v>
      </c>
    </row>
    <row r="205" spans="2:29" x14ac:dyDescent="0.25">
      <c r="B205" s="26" t="s">
        <v>184</v>
      </c>
      <c r="C205" s="283">
        <v>158.00000000000003</v>
      </c>
      <c r="D205" s="283">
        <v>81.8</v>
      </c>
      <c r="E205" s="283">
        <v>239.8</v>
      </c>
      <c r="F205"/>
      <c r="Z205" s="26" t="s">
        <v>147</v>
      </c>
      <c r="AA205" s="27">
        <v>1</v>
      </c>
      <c r="AB205" s="27">
        <v>0.3546099290780142</v>
      </c>
      <c r="AC205" s="27">
        <v>0.70921985815602839</v>
      </c>
    </row>
    <row r="206" spans="2:29" x14ac:dyDescent="0.25">
      <c r="B206" s="26" t="s">
        <v>210</v>
      </c>
      <c r="C206" s="283">
        <v>27.299999999999997</v>
      </c>
      <c r="D206" s="283"/>
      <c r="E206" s="283">
        <v>27.299999999999997</v>
      </c>
      <c r="F206"/>
      <c r="Z206" s="26" t="s">
        <v>170</v>
      </c>
      <c r="AA206" s="27">
        <v>1</v>
      </c>
      <c r="AB206" s="27">
        <v>1</v>
      </c>
      <c r="AC206" s="27">
        <v>0.68807339449541283</v>
      </c>
    </row>
    <row r="207" spans="2:29" x14ac:dyDescent="0.25">
      <c r="B207" s="26" t="s">
        <v>132</v>
      </c>
      <c r="C207" s="283">
        <v>53.949999999999989</v>
      </c>
      <c r="D207" s="283">
        <v>0.39999999999999991</v>
      </c>
      <c r="E207" s="283">
        <v>54.349999999999987</v>
      </c>
      <c r="F207"/>
      <c r="Z207" s="26" t="s">
        <v>197</v>
      </c>
      <c r="AA207" s="27">
        <v>1</v>
      </c>
      <c r="AB207" s="27">
        <v>1</v>
      </c>
      <c r="AC207" s="27">
        <v>1</v>
      </c>
    </row>
    <row r="208" spans="2:29" x14ac:dyDescent="0.25">
      <c r="B208" s="26" t="s">
        <v>468</v>
      </c>
      <c r="C208" s="283">
        <v>63.35</v>
      </c>
      <c r="D208" s="283"/>
      <c r="E208" s="283">
        <v>63.35</v>
      </c>
      <c r="F208"/>
      <c r="Z208" s="26" t="s">
        <v>198</v>
      </c>
      <c r="AA208" s="27">
        <v>1</v>
      </c>
      <c r="AB208" s="27">
        <v>1</v>
      </c>
      <c r="AC208" s="27">
        <v>1</v>
      </c>
    </row>
    <row r="209" spans="2:29" x14ac:dyDescent="0.25">
      <c r="B209" s="26" t="s">
        <v>228</v>
      </c>
      <c r="C209" s="283">
        <v>2.35</v>
      </c>
      <c r="D209" s="283"/>
      <c r="E209" s="283">
        <v>2.35</v>
      </c>
      <c r="F209"/>
      <c r="Z209" s="26" t="s">
        <v>148</v>
      </c>
      <c r="AA209" s="27">
        <v>1</v>
      </c>
      <c r="AB209" s="27">
        <v>0.75294117647058822</v>
      </c>
      <c r="AC209" s="27">
        <v>0.23529411764705882</v>
      </c>
    </row>
    <row r="210" spans="2:29" x14ac:dyDescent="0.25">
      <c r="B210" s="26" t="s">
        <v>220</v>
      </c>
      <c r="C210" s="283">
        <v>9.9</v>
      </c>
      <c r="D210" s="283"/>
      <c r="E210" s="283">
        <v>9.9</v>
      </c>
      <c r="F210"/>
      <c r="Z210" s="26" t="s">
        <v>131</v>
      </c>
      <c r="AA210" s="27">
        <v>1</v>
      </c>
      <c r="AB210" s="27">
        <v>1</v>
      </c>
      <c r="AC210" s="27">
        <v>1</v>
      </c>
    </row>
    <row r="211" spans="2:29" x14ac:dyDescent="0.25">
      <c r="B211" s="26" t="s">
        <v>219</v>
      </c>
      <c r="C211" s="283">
        <v>2.9000000000000004</v>
      </c>
      <c r="D211" s="283"/>
      <c r="E211" s="283">
        <v>2.9000000000000004</v>
      </c>
      <c r="F211"/>
      <c r="Z211" s="26" t="s">
        <v>180</v>
      </c>
      <c r="AA211" s="27">
        <v>1</v>
      </c>
      <c r="AB211" s="27">
        <v>1</v>
      </c>
      <c r="AC211" s="27">
        <v>1</v>
      </c>
    </row>
    <row r="212" spans="2:29" x14ac:dyDescent="0.25">
      <c r="B212" s="26" t="s">
        <v>155</v>
      </c>
      <c r="C212" s="283">
        <v>64.400000000000006</v>
      </c>
      <c r="D212" s="283">
        <v>479.75</v>
      </c>
      <c r="E212" s="283">
        <v>544.15</v>
      </c>
      <c r="F212"/>
      <c r="Z212" s="26" t="s">
        <v>613</v>
      </c>
      <c r="AA212" s="27">
        <v>1</v>
      </c>
      <c r="AB212" s="27">
        <v>1</v>
      </c>
      <c r="AC212" s="27">
        <v>1</v>
      </c>
    </row>
    <row r="213" spans="2:29" x14ac:dyDescent="0.25">
      <c r="B213" s="26" t="s">
        <v>750</v>
      </c>
      <c r="C213" s="283">
        <v>19.600000000000001</v>
      </c>
      <c r="D213" s="283"/>
      <c r="E213" s="283">
        <v>19.600000000000001</v>
      </c>
      <c r="F213"/>
      <c r="Z213" s="26" t="s">
        <v>149</v>
      </c>
      <c r="AA213" s="27">
        <v>1</v>
      </c>
      <c r="AB213" s="27">
        <v>0.77519379844961245</v>
      </c>
      <c r="AC213" s="27">
        <v>0.77519379844961245</v>
      </c>
    </row>
    <row r="214" spans="2:29" x14ac:dyDescent="0.25">
      <c r="B214" s="26" t="s">
        <v>73</v>
      </c>
      <c r="C214" s="283">
        <v>1074.5999999999999</v>
      </c>
      <c r="D214" s="283">
        <v>720.95</v>
      </c>
      <c r="E214" s="283">
        <v>1795.5499999999997</v>
      </c>
      <c r="F214"/>
      <c r="Z214" s="26" t="s">
        <v>150</v>
      </c>
      <c r="AA214" s="27">
        <v>1</v>
      </c>
      <c r="AB214" s="27">
        <v>1</v>
      </c>
      <c r="AC214" s="27">
        <v>1</v>
      </c>
    </row>
    <row r="215" spans="2:29" x14ac:dyDescent="0.25">
      <c r="B215"/>
      <c r="C215"/>
      <c r="D215"/>
      <c r="E215"/>
      <c r="F215"/>
      <c r="Z215" s="26" t="s">
        <v>151</v>
      </c>
      <c r="AA215" s="27">
        <v>1</v>
      </c>
      <c r="AB215" s="27">
        <v>1</v>
      </c>
      <c r="AC215" s="27">
        <v>1</v>
      </c>
    </row>
    <row r="216" spans="2:29" x14ac:dyDescent="0.25">
      <c r="B216"/>
      <c r="C216"/>
      <c r="D216"/>
      <c r="E216"/>
      <c r="F216"/>
      <c r="Z216" s="26" t="s">
        <v>152</v>
      </c>
      <c r="AA216" s="27">
        <v>1</v>
      </c>
      <c r="AB216" s="27">
        <v>1</v>
      </c>
      <c r="AC216" s="27">
        <v>1</v>
      </c>
    </row>
    <row r="217" spans="2:29" x14ac:dyDescent="0.25">
      <c r="B217"/>
      <c r="C217"/>
      <c r="D217"/>
      <c r="E217"/>
      <c r="F217"/>
      <c r="Z217" s="26" t="s">
        <v>153</v>
      </c>
      <c r="AA217" s="27">
        <v>1</v>
      </c>
      <c r="AB217" s="27">
        <v>1</v>
      </c>
      <c r="AC217" s="27">
        <v>0.83333333333333337</v>
      </c>
    </row>
    <row r="218" spans="2:29" x14ac:dyDescent="0.25">
      <c r="B218" s="29" t="s">
        <v>3</v>
      </c>
      <c r="C218" t="s">
        <v>74</v>
      </c>
      <c r="E218" s="16"/>
      <c r="F218" s="13"/>
      <c r="Z218" s="26" t="s">
        <v>171</v>
      </c>
      <c r="AA218" s="27">
        <v>1</v>
      </c>
      <c r="AB218" s="27">
        <v>0.84690553745928343</v>
      </c>
      <c r="AC218" s="27">
        <v>1</v>
      </c>
    </row>
    <row r="219" spans="2:29" x14ac:dyDescent="0.25">
      <c r="B219" s="29" t="s">
        <v>286</v>
      </c>
      <c r="C219" t="s">
        <v>74</v>
      </c>
      <c r="F219" s="13"/>
      <c r="Z219" s="26" t="s">
        <v>172</v>
      </c>
      <c r="AA219" s="27">
        <v>1</v>
      </c>
      <c r="AB219" s="27">
        <v>0.67039106145251393</v>
      </c>
      <c r="AC219" s="27">
        <v>1</v>
      </c>
    </row>
    <row r="220" spans="2:29" x14ac:dyDescent="0.25">
      <c r="F220" s="13"/>
      <c r="Z220" s="26" t="s">
        <v>173</v>
      </c>
      <c r="AA220" s="27">
        <v>1</v>
      </c>
      <c r="AB220" s="27">
        <v>1</v>
      </c>
      <c r="AC220" s="27">
        <v>1</v>
      </c>
    </row>
    <row r="221" spans="2:29" x14ac:dyDescent="0.25">
      <c r="B221" s="29" t="s">
        <v>646</v>
      </c>
      <c r="C221" s="29" t="s">
        <v>249</v>
      </c>
      <c r="D221"/>
      <c r="E221"/>
      <c r="F221"/>
      <c r="G221"/>
      <c r="H221"/>
      <c r="I221"/>
      <c r="J221"/>
      <c r="K221"/>
      <c r="L221"/>
      <c r="M221"/>
      <c r="Z221" s="26" t="s">
        <v>123</v>
      </c>
      <c r="AA221" s="27">
        <v>1</v>
      </c>
      <c r="AB221" s="27">
        <v>0.94736842105263153</v>
      </c>
      <c r="AC221" s="27">
        <v>1</v>
      </c>
    </row>
    <row r="222" spans="2:29" x14ac:dyDescent="0.25">
      <c r="B222" s="29" t="s">
        <v>237</v>
      </c>
      <c r="C222" s="293" t="s">
        <v>257</v>
      </c>
      <c r="D222" s="293" t="s">
        <v>314</v>
      </c>
      <c r="E222" s="293" t="s">
        <v>258</v>
      </c>
      <c r="F222" s="293" t="s">
        <v>259</v>
      </c>
      <c r="G222" s="293" t="s">
        <v>260</v>
      </c>
      <c r="H222" s="293" t="s">
        <v>261</v>
      </c>
      <c r="I222" s="293" t="s">
        <v>266</v>
      </c>
      <c r="J222" s="293" t="s">
        <v>267</v>
      </c>
      <c r="K222" s="293" t="s">
        <v>268</v>
      </c>
      <c r="L222" s="293" t="s">
        <v>269</v>
      </c>
      <c r="M222" s="293" t="s">
        <v>73</v>
      </c>
      <c r="Z222" s="26" t="s">
        <v>174</v>
      </c>
      <c r="AA222" s="27">
        <v>1</v>
      </c>
      <c r="AB222" s="27">
        <v>1</v>
      </c>
      <c r="AC222" s="27">
        <v>1</v>
      </c>
    </row>
    <row r="223" spans="2:29" x14ac:dyDescent="0.25">
      <c r="B223" s="26" t="s">
        <v>214</v>
      </c>
      <c r="C223" s="283">
        <v>48.7</v>
      </c>
      <c r="D223" s="283">
        <v>47.300000000000004</v>
      </c>
      <c r="E223" s="283">
        <v>118.35000000000001</v>
      </c>
      <c r="F223" s="283">
        <v>9.9499999999999993</v>
      </c>
      <c r="G223" s="283">
        <v>378.7</v>
      </c>
      <c r="H223" s="283"/>
      <c r="I223" s="283">
        <v>67.649999999999991</v>
      </c>
      <c r="J223" s="283">
        <v>223.45000000000002</v>
      </c>
      <c r="K223" s="283">
        <v>133.85000000000002</v>
      </c>
      <c r="L223" s="283">
        <v>46.65</v>
      </c>
      <c r="M223" s="283">
        <v>1074.6000000000001</v>
      </c>
      <c r="Z223" s="26" t="s">
        <v>154</v>
      </c>
      <c r="AA223" s="27">
        <v>1</v>
      </c>
      <c r="AB223" s="27">
        <v>1</v>
      </c>
      <c r="AC223" s="27">
        <v>1</v>
      </c>
    </row>
    <row r="224" spans="2:29" x14ac:dyDescent="0.25">
      <c r="B224" s="26" t="s">
        <v>222</v>
      </c>
      <c r="C224" s="283"/>
      <c r="D224" s="283">
        <v>43.65</v>
      </c>
      <c r="E224" s="283">
        <v>0.39999999999999991</v>
      </c>
      <c r="F224" s="283"/>
      <c r="G224" s="283"/>
      <c r="H224" s="283">
        <v>479.75</v>
      </c>
      <c r="I224" s="283">
        <v>174.85000000000005</v>
      </c>
      <c r="J224" s="283"/>
      <c r="K224" s="283"/>
      <c r="L224" s="283">
        <v>22.3</v>
      </c>
      <c r="M224" s="283">
        <v>720.94999999999993</v>
      </c>
      <c r="Z224" s="26" t="s">
        <v>181</v>
      </c>
      <c r="AA224" s="27">
        <v>1</v>
      </c>
      <c r="AB224" s="27">
        <v>1</v>
      </c>
      <c r="AC224" s="27">
        <v>1</v>
      </c>
    </row>
    <row r="225" spans="1:29" x14ac:dyDescent="0.25">
      <c r="B225" s="26" t="s">
        <v>73</v>
      </c>
      <c r="C225" s="283">
        <v>48.7</v>
      </c>
      <c r="D225" s="283">
        <v>90.95</v>
      </c>
      <c r="E225" s="283">
        <v>118.75000000000001</v>
      </c>
      <c r="F225" s="283">
        <v>9.9499999999999993</v>
      </c>
      <c r="G225" s="283">
        <v>378.7</v>
      </c>
      <c r="H225" s="283">
        <v>479.75</v>
      </c>
      <c r="I225" s="283">
        <v>242.50000000000006</v>
      </c>
      <c r="J225" s="283">
        <v>223.45000000000002</v>
      </c>
      <c r="K225" s="283">
        <v>133.85000000000002</v>
      </c>
      <c r="L225" s="283">
        <v>68.95</v>
      </c>
      <c r="M225" s="283">
        <v>1795.5500000000002</v>
      </c>
      <c r="Z225" s="26" t="s">
        <v>124</v>
      </c>
      <c r="AA225" s="27">
        <v>1</v>
      </c>
      <c r="AB225" s="27">
        <v>1</v>
      </c>
      <c r="AC225" s="27">
        <v>1</v>
      </c>
    </row>
    <row r="226" spans="1:29" x14ac:dyDescent="0.25">
      <c r="B226"/>
      <c r="C226"/>
      <c r="D226"/>
      <c r="E226"/>
      <c r="F226" s="13"/>
      <c r="Z226" s="26" t="s">
        <v>175</v>
      </c>
      <c r="AA226" s="27">
        <v>1</v>
      </c>
      <c r="AB226" s="27">
        <v>1</v>
      </c>
      <c r="AC226" s="27">
        <v>0.49180327868852458</v>
      </c>
    </row>
    <row r="227" spans="1:29" x14ac:dyDescent="0.25">
      <c r="B227"/>
      <c r="C227"/>
      <c r="D227"/>
      <c r="E227"/>
      <c r="F227" s="13"/>
      <c r="Z227" s="26" t="s">
        <v>209</v>
      </c>
      <c r="AA227" s="27">
        <v>0</v>
      </c>
      <c r="AB227" s="27">
        <v>1</v>
      </c>
      <c r="AC227" s="27">
        <v>1</v>
      </c>
    </row>
    <row r="228" spans="1:29" x14ac:dyDescent="0.25">
      <c r="B228"/>
      <c r="C228"/>
      <c r="D228"/>
      <c r="E228"/>
      <c r="F228" s="13"/>
      <c r="Z228" s="26" t="s">
        <v>694</v>
      </c>
      <c r="AA228" s="27">
        <v>1</v>
      </c>
      <c r="AB228" s="27">
        <v>1</v>
      </c>
      <c r="AC228" s="27">
        <v>1</v>
      </c>
    </row>
    <row r="229" spans="1:29" x14ac:dyDescent="0.25">
      <c r="B229"/>
      <c r="C229"/>
      <c r="D229"/>
      <c r="E229"/>
      <c r="F229" s="13"/>
      <c r="Z229" s="26" t="s">
        <v>726</v>
      </c>
      <c r="AA229" s="27">
        <v>1</v>
      </c>
      <c r="AB229" s="27">
        <v>1</v>
      </c>
      <c r="AC229" s="27">
        <v>1</v>
      </c>
    </row>
    <row r="230" spans="1:29" x14ac:dyDescent="0.25">
      <c r="B230"/>
      <c r="C230"/>
      <c r="D230"/>
      <c r="E230"/>
      <c r="F230" s="13"/>
      <c r="Z230" s="26" t="s">
        <v>752</v>
      </c>
      <c r="AA230" s="27">
        <v>1</v>
      </c>
      <c r="AB230" s="27">
        <v>0.5357142857142857</v>
      </c>
      <c r="AC230" s="27">
        <v>0.44642857142857145</v>
      </c>
    </row>
    <row r="231" spans="1:29" x14ac:dyDescent="0.25">
      <c r="B231"/>
      <c r="C231"/>
      <c r="D231"/>
      <c r="E231"/>
      <c r="F231" s="13"/>
      <c r="Z231" s="26" t="s">
        <v>753</v>
      </c>
      <c r="AA231" s="27">
        <v>1</v>
      </c>
      <c r="AB231" s="27">
        <v>0.80645161290322576</v>
      </c>
      <c r="AC231" s="27">
        <v>0.80645161290322576</v>
      </c>
    </row>
    <row r="232" spans="1:29" x14ac:dyDescent="0.25">
      <c r="B232"/>
      <c r="C232"/>
      <c r="D232"/>
      <c r="E232"/>
      <c r="F232" s="13"/>
      <c r="Z232" s="26" t="s">
        <v>756</v>
      </c>
      <c r="AA232" s="27">
        <v>1</v>
      </c>
      <c r="AB232" s="27">
        <v>0.48484848484848486</v>
      </c>
      <c r="AC232" s="27">
        <v>0</v>
      </c>
    </row>
    <row r="233" spans="1:29" x14ac:dyDescent="0.25">
      <c r="B233"/>
      <c r="C233"/>
      <c r="D233"/>
      <c r="E233"/>
      <c r="F233" s="13"/>
      <c r="Z233" s="26" t="s">
        <v>823</v>
      </c>
      <c r="AA233" s="27">
        <v>1</v>
      </c>
      <c r="AB233" s="27">
        <v>1</v>
      </c>
      <c r="AC233" s="27">
        <v>0</v>
      </c>
    </row>
    <row r="234" spans="1:29" x14ac:dyDescent="0.25">
      <c r="B234"/>
      <c r="C234"/>
      <c r="D234"/>
      <c r="E234"/>
      <c r="F234" s="13"/>
      <c r="Z234" s="26" t="s">
        <v>831</v>
      </c>
      <c r="AA234" s="27">
        <v>1</v>
      </c>
      <c r="AB234" s="27">
        <v>1</v>
      </c>
      <c r="AC234" s="27">
        <v>0</v>
      </c>
    </row>
    <row r="235" spans="1:29" x14ac:dyDescent="0.25">
      <c r="B235"/>
      <c r="C235"/>
      <c r="D235"/>
      <c r="E235"/>
      <c r="F235" s="13"/>
      <c r="Z235" s="26" t="s">
        <v>765</v>
      </c>
      <c r="AA235" s="27">
        <v>0</v>
      </c>
      <c r="AB235" s="27">
        <v>0.41379310344827586</v>
      </c>
      <c r="AC235" s="27">
        <v>0</v>
      </c>
    </row>
    <row r="236" spans="1:29" x14ac:dyDescent="0.25">
      <c r="B236"/>
      <c r="C236"/>
      <c r="D236"/>
      <c r="E236"/>
      <c r="F236" s="13"/>
      <c r="Z236" s="26" t="s">
        <v>73</v>
      </c>
      <c r="AA236" s="27">
        <v>0.97770378791980206</v>
      </c>
      <c r="AB236" s="27">
        <v>0.89636457149044446</v>
      </c>
      <c r="AC236" s="27">
        <v>0.57862324725244974</v>
      </c>
    </row>
    <row r="237" spans="1:29" x14ac:dyDescent="0.25">
      <c r="B237"/>
      <c r="C237"/>
      <c r="D237"/>
      <c r="E237"/>
      <c r="F237" s="13"/>
      <c r="Z237"/>
      <c r="AA237"/>
      <c r="AB237"/>
      <c r="AC237"/>
    </row>
    <row r="238" spans="1:29" x14ac:dyDescent="0.25">
      <c r="A238" s="12"/>
      <c r="B238"/>
      <c r="C238"/>
      <c r="D238"/>
      <c r="E238"/>
      <c r="F238" s="13"/>
      <c r="O238" s="12"/>
      <c r="Z238"/>
      <c r="AA238"/>
      <c r="AB238"/>
      <c r="AC238"/>
    </row>
    <row r="239" spans="1:29" s="12" customFormat="1" x14ac:dyDescent="0.25">
      <c r="B239"/>
      <c r="C239"/>
      <c r="D239"/>
      <c r="E239"/>
      <c r="F239" s="13"/>
      <c r="G239" s="11"/>
      <c r="H239" s="11"/>
      <c r="I239" s="11"/>
      <c r="J239" s="11"/>
      <c r="K239" s="11"/>
      <c r="L239" s="11"/>
      <c r="M239" s="11"/>
      <c r="N239" s="11"/>
      <c r="Z239"/>
      <c r="AA239"/>
      <c r="AB239"/>
      <c r="AC239"/>
    </row>
    <row r="240" spans="1:29" s="12" customFormat="1" x14ac:dyDescent="0.25">
      <c r="B240"/>
      <c r="C240"/>
      <c r="D240"/>
      <c r="E240"/>
      <c r="F240" s="13"/>
      <c r="G240" s="11"/>
      <c r="H240" s="11"/>
      <c r="I240" s="11"/>
      <c r="J240" s="11"/>
      <c r="K240" s="11"/>
      <c r="L240" s="11"/>
      <c r="M240" s="11"/>
      <c r="N240" s="11"/>
      <c r="Z240"/>
      <c r="AA240"/>
      <c r="AB240"/>
      <c r="AC240"/>
    </row>
    <row r="241" spans="2:29" s="12" customFormat="1" x14ac:dyDescent="0.25">
      <c r="B241"/>
      <c r="C241"/>
      <c r="D241"/>
      <c r="E241"/>
      <c r="F241" s="13"/>
      <c r="G241" s="11"/>
      <c r="H241" s="11"/>
      <c r="I241" s="11"/>
      <c r="J241" s="11"/>
      <c r="K241" s="11"/>
      <c r="L241" s="11"/>
      <c r="M241" s="11"/>
      <c r="N241" s="11"/>
      <c r="Z241"/>
      <c r="AA241"/>
      <c r="AB241"/>
      <c r="AC241"/>
    </row>
    <row r="242" spans="2:29" s="12" customFormat="1" x14ac:dyDescent="0.25">
      <c r="B242"/>
      <c r="C242"/>
      <c r="D242"/>
      <c r="E242"/>
      <c r="F242" s="13"/>
      <c r="G242" s="11"/>
      <c r="H242" s="11"/>
      <c r="I242" s="11"/>
      <c r="J242" s="11"/>
      <c r="K242" s="11"/>
      <c r="L242" s="11"/>
      <c r="M242" s="11"/>
      <c r="N242" s="11"/>
      <c r="Z242"/>
      <c r="AA242"/>
      <c r="AB242"/>
      <c r="AC242"/>
    </row>
    <row r="243" spans="2:29" s="12" customFormat="1" x14ac:dyDescent="0.25">
      <c r="B243" s="11"/>
      <c r="C243" s="14"/>
      <c r="D243" s="14"/>
      <c r="E243" s="16"/>
      <c r="F243" s="13"/>
      <c r="G243" s="11"/>
      <c r="H243" s="11"/>
      <c r="I243" s="11"/>
      <c r="J243" s="11"/>
      <c r="K243" s="11"/>
      <c r="L243" s="11"/>
      <c r="M243" s="11"/>
      <c r="N243" s="11"/>
      <c r="Z243"/>
      <c r="AA243"/>
      <c r="AB243"/>
      <c r="AC243"/>
    </row>
    <row r="244" spans="2:29" s="12" customFormat="1" x14ac:dyDescent="0.25">
      <c r="B244" s="11"/>
      <c r="C244" s="14"/>
      <c r="D244" s="14"/>
      <c r="E244" s="16"/>
      <c r="F244" s="13"/>
      <c r="G244" s="11"/>
      <c r="H244" s="11"/>
      <c r="I244" s="11"/>
      <c r="J244" s="11"/>
      <c r="K244" s="11"/>
      <c r="L244" s="11"/>
      <c r="M244" s="11"/>
      <c r="N244" s="11"/>
      <c r="Z244"/>
      <c r="AA244"/>
      <c r="AB244"/>
      <c r="AC244"/>
    </row>
    <row r="245" spans="2:29" s="12" customFormat="1" x14ac:dyDescent="0.25">
      <c r="B245" s="11"/>
      <c r="C245" s="14"/>
      <c r="D245" s="14"/>
      <c r="E245" s="14"/>
      <c r="F245" s="11"/>
      <c r="G245" s="11"/>
      <c r="H245" s="11"/>
      <c r="I245" s="11"/>
      <c r="J245" s="11"/>
      <c r="K245" s="11"/>
      <c r="L245" s="11"/>
      <c r="M245" s="11"/>
      <c r="N245" s="11"/>
      <c r="Z245"/>
      <c r="AA245"/>
      <c r="AB245"/>
      <c r="AC245"/>
    </row>
    <row r="246" spans="2:29" s="12" customFormat="1" x14ac:dyDescent="0.25">
      <c r="B246" s="11"/>
      <c r="C246" s="14"/>
      <c r="D246" s="14"/>
      <c r="E246" s="14"/>
      <c r="F246" s="11"/>
      <c r="G246" s="11"/>
      <c r="H246" s="11"/>
      <c r="I246" s="11"/>
      <c r="J246" s="11"/>
      <c r="K246" s="11"/>
      <c r="L246" s="11"/>
      <c r="M246" s="11"/>
      <c r="N246" s="11"/>
      <c r="Z246"/>
      <c r="AA246"/>
      <c r="AB246"/>
      <c r="AC246"/>
    </row>
    <row r="247" spans="2:29" s="12" customFormat="1" x14ac:dyDescent="0.25">
      <c r="C247" s="16"/>
      <c r="D247" s="30"/>
      <c r="E247" s="15"/>
      <c r="Z247"/>
      <c r="AA247"/>
      <c r="AB247"/>
      <c r="AC247"/>
    </row>
    <row r="248" spans="2:29" s="12" customFormat="1" x14ac:dyDescent="0.25">
      <c r="C248" s="16"/>
      <c r="D248" s="30"/>
      <c r="E248" s="15"/>
      <c r="Z248"/>
      <c r="AA248"/>
      <c r="AB248"/>
      <c r="AC248"/>
    </row>
    <row r="249" spans="2:29" s="12" customFormat="1" x14ac:dyDescent="0.25">
      <c r="B249" s="29" t="s">
        <v>3</v>
      </c>
      <c r="C249" t="s">
        <v>449</v>
      </c>
      <c r="D249" s="30"/>
      <c r="E249" s="15"/>
      <c r="Z249"/>
      <c r="AA249"/>
      <c r="AB249"/>
      <c r="AC249"/>
    </row>
    <row r="250" spans="2:29" s="12" customFormat="1" x14ac:dyDescent="0.25">
      <c r="B250" s="29" t="s">
        <v>286</v>
      </c>
      <c r="C250" t="s">
        <v>74</v>
      </c>
      <c r="D250" s="14"/>
      <c r="E250" s="14"/>
      <c r="Z250"/>
      <c r="AA250"/>
      <c r="AB250"/>
      <c r="AC250"/>
    </row>
    <row r="251" spans="2:29" s="12" customFormat="1" x14ac:dyDescent="0.25">
      <c r="B251" s="11"/>
      <c r="C251" s="14"/>
      <c r="D251" s="14"/>
      <c r="E251" s="14"/>
      <c r="Z251"/>
      <c r="AA251"/>
      <c r="AB251"/>
      <c r="AC251"/>
    </row>
    <row r="252" spans="2:29" s="12" customFormat="1" ht="45" x14ac:dyDescent="0.25">
      <c r="B252" s="284" t="s">
        <v>237</v>
      </c>
      <c r="C252" s="291" t="s">
        <v>660</v>
      </c>
      <c r="D252" s="291" t="s">
        <v>661</v>
      </c>
      <c r="E252" s="294"/>
    </row>
    <row r="253" spans="2:29" s="12" customFormat="1" x14ac:dyDescent="0.25">
      <c r="B253" s="26" t="s">
        <v>176</v>
      </c>
      <c r="C253" s="279">
        <v>0.5403658368862605</v>
      </c>
      <c r="D253" s="279">
        <v>0.22101499106037689</v>
      </c>
      <c r="E253"/>
    </row>
    <row r="254" spans="2:29" s="12" customFormat="1" x14ac:dyDescent="0.25">
      <c r="B254" s="26" t="s">
        <v>104</v>
      </c>
      <c r="C254" s="279">
        <v>0.37022449783379285</v>
      </c>
      <c r="D254" s="279">
        <v>0.46987002756990942</v>
      </c>
      <c r="E254"/>
    </row>
    <row r="255" spans="2:29" s="12" customFormat="1" x14ac:dyDescent="0.25">
      <c r="B255" s="26" t="s">
        <v>107</v>
      </c>
      <c r="C255" s="279">
        <v>0.73387978142076504</v>
      </c>
      <c r="D255" s="279">
        <v>6.2295081967213117E-2</v>
      </c>
      <c r="E255"/>
    </row>
    <row r="256" spans="2:29" s="12" customFormat="1" x14ac:dyDescent="0.25">
      <c r="B256" s="26" t="s">
        <v>125</v>
      </c>
      <c r="C256" s="279">
        <v>0</v>
      </c>
      <c r="D256" s="279">
        <v>0</v>
      </c>
      <c r="E256"/>
    </row>
    <row r="257" spans="1:15" s="12" customFormat="1" x14ac:dyDescent="0.25">
      <c r="B257" s="26" t="s">
        <v>201</v>
      </c>
      <c r="C257" s="279">
        <v>0.14377934272300469</v>
      </c>
      <c r="D257" s="279">
        <v>0.70539906103286387</v>
      </c>
      <c r="E257"/>
    </row>
    <row r="258" spans="1:15" s="12" customFormat="1" x14ac:dyDescent="0.25">
      <c r="B258" s="26" t="s">
        <v>182</v>
      </c>
      <c r="C258" s="279">
        <v>0.53836090085038779</v>
      </c>
      <c r="D258" s="279">
        <v>0.31034482758620691</v>
      </c>
      <c r="E258"/>
    </row>
    <row r="259" spans="1:15" s="12" customFormat="1" x14ac:dyDescent="0.25">
      <c r="B259" s="26" t="s">
        <v>183</v>
      </c>
      <c r="C259" s="279">
        <v>0.34682080924855491</v>
      </c>
      <c r="D259" s="279">
        <v>0.65317919075144504</v>
      </c>
      <c r="E259"/>
    </row>
    <row r="260" spans="1:15" s="12" customFormat="1" x14ac:dyDescent="0.25">
      <c r="B260" s="26" t="s">
        <v>221</v>
      </c>
      <c r="C260" s="279">
        <v>0.82828282828282829</v>
      </c>
      <c r="D260" s="279">
        <v>0.17171717171717171</v>
      </c>
      <c r="E260"/>
    </row>
    <row r="261" spans="1:15" s="12" customFormat="1" x14ac:dyDescent="0.25">
      <c r="B261" s="26" t="s">
        <v>130</v>
      </c>
      <c r="C261" s="279">
        <v>1</v>
      </c>
      <c r="D261" s="279">
        <v>0</v>
      </c>
      <c r="E261"/>
    </row>
    <row r="262" spans="1:15" s="12" customFormat="1" x14ac:dyDescent="0.25">
      <c r="B262" s="26" t="s">
        <v>184</v>
      </c>
      <c r="C262" s="279">
        <v>0.89637223136984123</v>
      </c>
      <c r="D262" s="279">
        <v>6.910288415573379E-2</v>
      </c>
      <c r="E262"/>
    </row>
    <row r="263" spans="1:15" s="12" customFormat="1" x14ac:dyDescent="0.25">
      <c r="B263" s="26" t="s">
        <v>210</v>
      </c>
      <c r="C263" s="279">
        <v>0.11857707509881422</v>
      </c>
      <c r="D263" s="279">
        <v>0.88142292490118579</v>
      </c>
      <c r="E263"/>
    </row>
    <row r="264" spans="1:15" s="12" customFormat="1" x14ac:dyDescent="0.25">
      <c r="B264" s="26" t="s">
        <v>132</v>
      </c>
      <c r="C264" s="279">
        <v>0.82616344154805699</v>
      </c>
      <c r="D264" s="279">
        <v>4.1100271869502637E-2</v>
      </c>
      <c r="E264"/>
    </row>
    <row r="265" spans="1:15" s="12" customFormat="1" x14ac:dyDescent="0.25">
      <c r="B265" s="26" t="s">
        <v>468</v>
      </c>
      <c r="C265" s="279">
        <v>0.40201900237529692</v>
      </c>
      <c r="D265" s="279">
        <v>0.39192399049881232</v>
      </c>
      <c r="E265"/>
    </row>
    <row r="266" spans="1:15" s="12" customFormat="1" x14ac:dyDescent="0.25">
      <c r="B266" s="26" t="s">
        <v>228</v>
      </c>
      <c r="C266" s="279">
        <v>0.85106382978723405</v>
      </c>
      <c r="D266" s="279">
        <v>0.14893617021276595</v>
      </c>
      <c r="E266"/>
    </row>
    <row r="267" spans="1:15" s="12" customFormat="1" x14ac:dyDescent="0.25">
      <c r="B267" s="26" t="s">
        <v>220</v>
      </c>
      <c r="C267" s="279">
        <v>0</v>
      </c>
      <c r="D267" s="279">
        <v>1</v>
      </c>
      <c r="E267"/>
    </row>
    <row r="268" spans="1:15" s="12" customFormat="1" x14ac:dyDescent="0.25">
      <c r="B268" s="26" t="s">
        <v>219</v>
      </c>
      <c r="C268" s="279">
        <v>0.9563106796116505</v>
      </c>
      <c r="D268" s="279">
        <v>4.3689320388349488E-2</v>
      </c>
      <c r="E268"/>
    </row>
    <row r="269" spans="1:15" s="12" customFormat="1" x14ac:dyDescent="0.25">
      <c r="B269" s="26" t="s">
        <v>155</v>
      </c>
      <c r="C269" s="279">
        <v>0.38785476272549696</v>
      </c>
      <c r="D269" s="279">
        <v>0.58451108813052965</v>
      </c>
      <c r="E269"/>
    </row>
    <row r="270" spans="1:15" s="12" customFormat="1" x14ac:dyDescent="0.25">
      <c r="A270" s="11"/>
      <c r="B270" s="26" t="s">
        <v>750</v>
      </c>
      <c r="C270" s="279">
        <v>0</v>
      </c>
      <c r="D270" s="279">
        <v>0.20408163265306123</v>
      </c>
      <c r="E270"/>
      <c r="O270" s="11"/>
    </row>
    <row r="271" spans="1:15" x14ac:dyDescent="0.25">
      <c r="B271" s="26" t="s">
        <v>73</v>
      </c>
      <c r="C271" s="279">
        <v>0.59808618916138812</v>
      </c>
      <c r="D271" s="279">
        <v>0.29827838232905635</v>
      </c>
      <c r="E271"/>
      <c r="F271" s="12"/>
      <c r="G271" s="12"/>
      <c r="H271" s="12"/>
      <c r="I271" s="12"/>
      <c r="J271" s="12"/>
      <c r="K271" s="12"/>
      <c r="L271" s="12"/>
      <c r="M271" s="12"/>
      <c r="N271" s="12"/>
    </row>
    <row r="272" spans="1:15" x14ac:dyDescent="0.25">
      <c r="B272"/>
      <c r="C272"/>
      <c r="D272"/>
      <c r="E272"/>
      <c r="F272" s="12"/>
      <c r="G272" s="12"/>
      <c r="H272" s="12"/>
      <c r="I272" s="12"/>
      <c r="J272" s="12"/>
      <c r="K272" s="12"/>
      <c r="L272" s="12"/>
      <c r="M272" s="12"/>
      <c r="N272" s="12"/>
    </row>
    <row r="273" spans="2:14" x14ac:dyDescent="0.25">
      <c r="B273"/>
      <c r="C273"/>
      <c r="D273"/>
      <c r="E273"/>
      <c r="F273" s="12"/>
      <c r="G273" s="12"/>
      <c r="H273" s="12"/>
      <c r="I273" s="12"/>
      <c r="J273" s="12"/>
      <c r="K273" s="12"/>
      <c r="L273" s="12"/>
      <c r="M273" s="12"/>
      <c r="N273" s="12"/>
    </row>
    <row r="274" spans="2:14" x14ac:dyDescent="0.25">
      <c r="B274" s="12"/>
      <c r="C274" s="12"/>
      <c r="D274" s="12"/>
      <c r="E274" s="15"/>
      <c r="F274" s="12"/>
      <c r="G274" s="12"/>
      <c r="H274" s="12"/>
      <c r="I274" s="12"/>
      <c r="J274" s="12"/>
      <c r="K274" s="12"/>
      <c r="L274" s="12"/>
      <c r="M274" s="12"/>
      <c r="N274" s="12"/>
    </row>
    <row r="275" spans="2:14" x14ac:dyDescent="0.25">
      <c r="B275" s="12"/>
      <c r="C275" s="16"/>
      <c r="D275" s="15"/>
      <c r="E275" s="15"/>
      <c r="F275" s="12"/>
      <c r="G275" s="12"/>
      <c r="H275" s="12"/>
      <c r="I275" s="12"/>
      <c r="J275" s="12"/>
      <c r="K275" s="12"/>
      <c r="L275" s="12"/>
      <c r="M275" s="12"/>
      <c r="N275" s="12"/>
    </row>
    <row r="276" spans="2:14" x14ac:dyDescent="0.25">
      <c r="B276" s="12"/>
      <c r="C276" s="16"/>
      <c r="D276" s="15"/>
      <c r="E276" s="15"/>
      <c r="F276" s="12"/>
      <c r="G276" s="12"/>
      <c r="H276" s="12"/>
      <c r="I276" s="12"/>
      <c r="J276" s="12"/>
      <c r="K276" s="12"/>
      <c r="L276" s="12"/>
      <c r="M276" s="12"/>
      <c r="N276" s="12"/>
    </row>
    <row r="277" spans="2:14" x14ac:dyDescent="0.25">
      <c r="B277" s="12"/>
      <c r="C277" s="16"/>
      <c r="D277" s="15"/>
      <c r="E277" s="15"/>
      <c r="F277" s="12"/>
      <c r="G277" s="12"/>
      <c r="H277" s="12"/>
      <c r="I277" s="12"/>
      <c r="J277" s="12"/>
      <c r="K277" s="12"/>
      <c r="L277" s="12"/>
      <c r="M277" s="12"/>
      <c r="N277" s="12"/>
    </row>
    <row r="278" spans="2:14" x14ac:dyDescent="0.25">
      <c r="B278" s="12"/>
      <c r="C278" s="16"/>
      <c r="D278" s="15"/>
      <c r="E278" s="15"/>
      <c r="F278" s="12"/>
      <c r="G278" s="12"/>
      <c r="H278" s="12"/>
      <c r="I278" s="12"/>
      <c r="J278" s="12"/>
      <c r="K278" s="12"/>
      <c r="L278" s="12"/>
      <c r="M278" s="12"/>
      <c r="N278" s="12"/>
    </row>
    <row r="279" spans="2:14" x14ac:dyDescent="0.25">
      <c r="B279" s="29" t="s">
        <v>3</v>
      </c>
      <c r="C279" t="s">
        <v>449</v>
      </c>
    </row>
    <row r="280" spans="2:14" x14ac:dyDescent="0.25">
      <c r="B280" s="29" t="s">
        <v>286</v>
      </c>
      <c r="C280" t="s">
        <v>74</v>
      </c>
    </row>
    <row r="282" spans="2:14" ht="45" x14ac:dyDescent="0.25">
      <c r="B282" s="284" t="s">
        <v>237</v>
      </c>
      <c r="C282" s="291" t="s">
        <v>660</v>
      </c>
      <c r="D282" s="291" t="s">
        <v>669</v>
      </c>
    </row>
    <row r="283" spans="2:14" x14ac:dyDescent="0.25">
      <c r="B283" s="26" t="s">
        <v>257</v>
      </c>
      <c r="C283" s="279">
        <v>0.73387978142076504</v>
      </c>
      <c r="D283" s="279">
        <v>6.2295081967213117E-2</v>
      </c>
    </row>
    <row r="284" spans="2:14" x14ac:dyDescent="0.25">
      <c r="B284" s="26" t="s">
        <v>258</v>
      </c>
      <c r="C284" s="279">
        <v>0.81111818037219663</v>
      </c>
      <c r="D284" s="279">
        <v>8.4619055193255924E-2</v>
      </c>
    </row>
    <row r="285" spans="2:14" x14ac:dyDescent="0.25">
      <c r="B285" s="26" t="s">
        <v>259</v>
      </c>
      <c r="C285" s="279">
        <v>0.89789789789789787</v>
      </c>
      <c r="D285" s="279">
        <v>0.1021021021021021</v>
      </c>
    </row>
    <row r="286" spans="2:14" x14ac:dyDescent="0.25">
      <c r="B286" s="26" t="s">
        <v>260</v>
      </c>
      <c r="C286" s="279">
        <v>0.59884987366036424</v>
      </c>
      <c r="D286" s="279">
        <v>0.21286050361592754</v>
      </c>
    </row>
    <row r="287" spans="2:14" x14ac:dyDescent="0.25">
      <c r="B287" s="26" t="s">
        <v>261</v>
      </c>
      <c r="C287" s="279">
        <v>0.54573229873908824</v>
      </c>
      <c r="D287" s="279">
        <v>0.45426770126091176</v>
      </c>
    </row>
    <row r="288" spans="2:14" x14ac:dyDescent="0.25">
      <c r="B288" s="26" t="s">
        <v>266</v>
      </c>
      <c r="C288" s="279">
        <v>0.7180812404102398</v>
      </c>
      <c r="D288" s="279">
        <v>0.19082613260114673</v>
      </c>
    </row>
    <row r="289" spans="2:6" x14ac:dyDescent="0.25">
      <c r="B289" s="26" t="s">
        <v>267</v>
      </c>
      <c r="C289" s="279">
        <v>0.39910089910089908</v>
      </c>
      <c r="D289" s="279">
        <v>0.42407592407592409</v>
      </c>
    </row>
    <row r="290" spans="2:6" x14ac:dyDescent="0.25">
      <c r="B290" s="26" t="s">
        <v>268</v>
      </c>
      <c r="C290" s="279">
        <v>0.15217391304347827</v>
      </c>
      <c r="D290" s="279">
        <v>0.6968944099378882</v>
      </c>
    </row>
    <row r="291" spans="2:6" x14ac:dyDescent="0.25">
      <c r="B291" s="26" t="s">
        <v>269</v>
      </c>
      <c r="C291" s="279">
        <v>0.16443987667009249</v>
      </c>
      <c r="D291" s="279">
        <v>0.48612538540596095</v>
      </c>
    </row>
    <row r="292" spans="2:6" x14ac:dyDescent="0.25">
      <c r="B292" s="26" t="s">
        <v>314</v>
      </c>
      <c r="C292" s="279">
        <v>0.35633055344958303</v>
      </c>
      <c r="D292" s="279">
        <v>0.48332069749810463</v>
      </c>
    </row>
    <row r="293" spans="2:6" x14ac:dyDescent="0.25">
      <c r="B293" s="26" t="s">
        <v>73</v>
      </c>
      <c r="C293" s="279">
        <v>0.59808618916138812</v>
      </c>
      <c r="D293" s="279">
        <v>0.29827838232905635</v>
      </c>
    </row>
    <row r="294" spans="2:6" x14ac:dyDescent="0.25">
      <c r="B294"/>
      <c r="C294"/>
      <c r="D294"/>
    </row>
    <row r="295" spans="2:6" x14ac:dyDescent="0.25">
      <c r="B295"/>
      <c r="C295"/>
      <c r="D295"/>
    </row>
    <row r="296" spans="2:6" x14ac:dyDescent="0.25">
      <c r="E296" s="16"/>
      <c r="F296" s="13"/>
    </row>
    <row r="297" spans="2:6" x14ac:dyDescent="0.25">
      <c r="E297" s="16"/>
      <c r="F297" s="13"/>
    </row>
    <row r="298" spans="2:6" x14ac:dyDescent="0.25">
      <c r="E298" s="16"/>
      <c r="F298" s="13"/>
    </row>
    <row r="299" spans="2:6" x14ac:dyDescent="0.25">
      <c r="E299" s="16"/>
      <c r="F299" s="13"/>
    </row>
    <row r="300" spans="2:6" x14ac:dyDescent="0.25">
      <c r="E300" s="16"/>
      <c r="F300" s="13"/>
    </row>
    <row r="301" spans="2:6" x14ac:dyDescent="0.25">
      <c r="B301" s="29" t="s">
        <v>3</v>
      </c>
      <c r="C301" t="s">
        <v>74</v>
      </c>
      <c r="E301" s="16"/>
      <c r="F301" s="13"/>
    </row>
    <row r="302" spans="2:6" x14ac:dyDescent="0.25">
      <c r="B302" s="29" t="s">
        <v>286</v>
      </c>
      <c r="C302" t="s">
        <v>74</v>
      </c>
      <c r="E302" s="16"/>
      <c r="F302" s="13"/>
    </row>
    <row r="303" spans="2:6" x14ac:dyDescent="0.25">
      <c r="E303" s="16"/>
      <c r="F303" s="13"/>
    </row>
    <row r="304" spans="2:6" ht="45" x14ac:dyDescent="0.25">
      <c r="B304" s="284" t="s">
        <v>237</v>
      </c>
      <c r="C304" s="291" t="s">
        <v>662</v>
      </c>
      <c r="D304" s="291" t="s">
        <v>661</v>
      </c>
      <c r="E304" s="16"/>
      <c r="F304" s="13"/>
    </row>
    <row r="305" spans="1:15" x14ac:dyDescent="0.25">
      <c r="B305" s="26" t="s">
        <v>214</v>
      </c>
      <c r="C305" s="279">
        <v>0.57019602867474461</v>
      </c>
      <c r="D305" s="279">
        <v>0.26636215610395653</v>
      </c>
      <c r="E305" s="16"/>
      <c r="F305" s="13"/>
    </row>
    <row r="306" spans="1:15" x14ac:dyDescent="0.25">
      <c r="B306" s="26" t="s">
        <v>222</v>
      </c>
      <c r="C306" s="279">
        <v>0.61651506460160066</v>
      </c>
      <c r="D306" s="279">
        <v>0.34469665929143106</v>
      </c>
      <c r="E306" s="16"/>
      <c r="F306" s="13"/>
    </row>
    <row r="307" spans="1:15" x14ac:dyDescent="0.25">
      <c r="A307" s="12"/>
      <c r="B307" s="26" t="s">
        <v>73</v>
      </c>
      <c r="C307" s="279">
        <v>0.59040739946125054</v>
      </c>
      <c r="D307" s="279">
        <v>0.30054351712794108</v>
      </c>
      <c r="E307" s="16"/>
      <c r="F307" s="13"/>
      <c r="O307" s="12"/>
    </row>
    <row r="308" spans="1:15" s="12" customFormat="1" ht="24" customHeight="1" x14ac:dyDescent="0.25">
      <c r="A308" s="11"/>
      <c r="B308"/>
      <c r="C308"/>
      <c r="D308"/>
      <c r="E308" s="16"/>
      <c r="F308" s="13"/>
      <c r="G308" s="11"/>
      <c r="H308" s="11"/>
      <c r="I308" s="11"/>
      <c r="J308" s="11"/>
      <c r="K308" s="11"/>
      <c r="L308" s="11"/>
      <c r="M308" s="11"/>
      <c r="N308" s="11"/>
      <c r="O308" s="11"/>
    </row>
    <row r="309" spans="1:15" x14ac:dyDescent="0.25">
      <c r="B309"/>
      <c r="C309"/>
      <c r="D309"/>
      <c r="E309" s="16"/>
      <c r="F309" s="13"/>
    </row>
    <row r="310" spans="1:15" x14ac:dyDescent="0.25">
      <c r="B310"/>
      <c r="C310"/>
      <c r="D310"/>
      <c r="E310" s="16"/>
      <c r="F310" s="13"/>
    </row>
    <row r="311" spans="1:15" x14ac:dyDescent="0.25">
      <c r="B311"/>
      <c r="C311"/>
      <c r="D311"/>
      <c r="E311" s="16"/>
      <c r="F311" s="13"/>
    </row>
    <row r="312" spans="1:15" x14ac:dyDescent="0.25">
      <c r="B312"/>
      <c r="C312"/>
      <c r="D312"/>
      <c r="E312" s="16"/>
      <c r="F312" s="13"/>
    </row>
    <row r="313" spans="1:15" x14ac:dyDescent="0.25">
      <c r="B313"/>
      <c r="C313"/>
      <c r="D313"/>
      <c r="E313" s="16"/>
      <c r="F313" s="13"/>
    </row>
    <row r="314" spans="1:15" x14ac:dyDescent="0.25">
      <c r="B314"/>
      <c r="C314"/>
      <c r="D314"/>
      <c r="E314" s="16"/>
      <c r="F314" s="13"/>
    </row>
    <row r="315" spans="1:15" x14ac:dyDescent="0.25">
      <c r="B315"/>
      <c r="C315"/>
      <c r="D315"/>
      <c r="I315" s="12"/>
      <c r="J315" s="12"/>
      <c r="K315" s="12"/>
      <c r="L315" s="12"/>
      <c r="M315" s="12"/>
      <c r="N315" s="12"/>
    </row>
    <row r="316" spans="1:15" x14ac:dyDescent="0.25">
      <c r="A316" s="12"/>
      <c r="B316"/>
      <c r="C316"/>
      <c r="D316"/>
      <c r="I316" s="12"/>
      <c r="J316" s="12"/>
      <c r="K316" s="12"/>
      <c r="L316" s="12"/>
      <c r="M316" s="12"/>
      <c r="N316" s="12"/>
      <c r="O316" s="12"/>
    </row>
    <row r="317" spans="1:15" s="12" customFormat="1" x14ac:dyDescent="0.25">
      <c r="B317"/>
      <c r="C317"/>
      <c r="D317"/>
      <c r="E317" s="14"/>
      <c r="F317" s="11"/>
      <c r="G317" s="11"/>
      <c r="H317" s="11"/>
    </row>
    <row r="318" spans="1:15" s="12" customFormat="1" x14ac:dyDescent="0.25">
      <c r="B318" s="11"/>
      <c r="C318" s="14"/>
      <c r="D318" s="14"/>
      <c r="E318" s="14"/>
      <c r="F318" s="11"/>
      <c r="G318" s="11"/>
      <c r="H318" s="11"/>
    </row>
    <row r="319" spans="1:15" s="12" customFormat="1" x14ac:dyDescent="0.25">
      <c r="B319" s="29" t="s">
        <v>3</v>
      </c>
      <c r="C319" t="s">
        <v>449</v>
      </c>
      <c r="D319" s="14"/>
      <c r="E319" s="14"/>
      <c r="F319" s="11"/>
      <c r="G319" s="11"/>
      <c r="H319" s="11"/>
    </row>
    <row r="320" spans="1:15" s="12" customFormat="1" x14ac:dyDescent="0.25">
      <c r="B320" s="29" t="s">
        <v>286</v>
      </c>
      <c r="C320" t="s">
        <v>74</v>
      </c>
      <c r="D320" s="14"/>
      <c r="E320" s="14"/>
      <c r="F320" s="11"/>
      <c r="G320" s="11"/>
      <c r="H320" s="11"/>
    </row>
    <row r="321" spans="1:158" s="12" customFormat="1" x14ac:dyDescent="0.25">
      <c r="B321" s="11"/>
      <c r="C321" s="14"/>
      <c r="D321" s="14"/>
      <c r="E321" s="14"/>
      <c r="F321" s="11"/>
      <c r="G321" s="11"/>
      <c r="H321" s="11"/>
    </row>
    <row r="322" spans="1:158" s="12" customFormat="1" ht="45" x14ac:dyDescent="0.25">
      <c r="B322" s="284" t="s">
        <v>237</v>
      </c>
      <c r="C322" s="294" t="s">
        <v>656</v>
      </c>
      <c r="D322" s="294" t="s">
        <v>667</v>
      </c>
      <c r="E322" s="14"/>
      <c r="F322" s="11"/>
      <c r="G322" s="11"/>
      <c r="H322" s="11"/>
    </row>
    <row r="323" spans="1:158" s="12" customFormat="1" x14ac:dyDescent="0.25">
      <c r="B323" s="26" t="s">
        <v>214</v>
      </c>
      <c r="C323" s="279">
        <v>0.84094405032486164</v>
      </c>
      <c r="D323" s="279">
        <v>2.9228597010813262E-2</v>
      </c>
      <c r="E323" s="14"/>
      <c r="F323" s="11"/>
      <c r="G323" s="11"/>
      <c r="H323" s="11"/>
    </row>
    <row r="324" spans="1:158" s="12" customFormat="1" x14ac:dyDescent="0.25">
      <c r="B324" s="26" t="s">
        <v>222</v>
      </c>
      <c r="C324" s="279">
        <v>0.97596201404688887</v>
      </c>
      <c r="D324" s="279">
        <v>1.4640419428227949E-4</v>
      </c>
      <c r="E324" s="14"/>
      <c r="F324" s="11"/>
      <c r="G324" s="11"/>
      <c r="H324" s="11"/>
    </row>
    <row r="325" spans="1:158" s="12" customFormat="1" x14ac:dyDescent="0.25">
      <c r="B325" s="26" t="s">
        <v>73</v>
      </c>
      <c r="C325" s="279">
        <v>0.89636457149044446</v>
      </c>
      <c r="D325" s="279">
        <v>1.7291294461588277E-2</v>
      </c>
      <c r="E325" s="14"/>
      <c r="F325" s="11"/>
      <c r="G325" s="11"/>
      <c r="H325" s="11"/>
    </row>
    <row r="326" spans="1:158" s="12" customFormat="1" x14ac:dyDescent="0.25">
      <c r="B326" s="11"/>
      <c r="C326" s="14"/>
      <c r="D326" s="14"/>
      <c r="E326" s="14"/>
      <c r="F326" s="11"/>
      <c r="G326" s="11"/>
      <c r="H326" s="11"/>
    </row>
    <row r="327" spans="1:158" s="12" customFormat="1" x14ac:dyDescent="0.25">
      <c r="A327" s="11"/>
      <c r="B327" s="11"/>
      <c r="C327" s="14"/>
      <c r="D327" s="14"/>
      <c r="E327" s="14"/>
      <c r="F327" s="11"/>
      <c r="G327" s="11"/>
      <c r="H327" s="11"/>
      <c r="O327" s="11"/>
    </row>
    <row r="328" spans="1:158" x14ac:dyDescent="0.25">
      <c r="I328" s="12"/>
      <c r="J328" s="12"/>
      <c r="K328" s="12"/>
      <c r="L328" s="12"/>
      <c r="M328" s="12"/>
      <c r="N328" s="12"/>
      <c r="O328"/>
    </row>
    <row r="329" spans="1:158" x14ac:dyDescent="0.25">
      <c r="B329" s="12"/>
      <c r="I329" s="12"/>
      <c r="J329" s="12"/>
      <c r="K329" s="12"/>
      <c r="L329" s="12"/>
      <c r="M329" s="12"/>
      <c r="N329" s="1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row>
    <row r="330" spans="1:158" x14ac:dyDescent="0.25">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row>
    <row r="331" spans="1:158" x14ac:dyDescent="0.25">
      <c r="B331" s="29" t="s">
        <v>3</v>
      </c>
      <c r="C331" t="s">
        <v>74</v>
      </c>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row>
    <row r="332" spans="1:158" x14ac:dyDescent="0.25">
      <c r="B332" s="29" t="s">
        <v>286</v>
      </c>
      <c r="C332" t="s">
        <v>74</v>
      </c>
      <c r="E332"/>
      <c r="F332"/>
      <c r="G332"/>
      <c r="H332"/>
      <c r="I332"/>
      <c r="J332"/>
      <c r="K332"/>
      <c r="L332"/>
      <c r="M332"/>
      <c r="N332"/>
      <c r="O332"/>
      <c r="P332" s="294"/>
      <c r="Q332" s="294"/>
      <c r="R332" s="294"/>
      <c r="S332" s="294"/>
      <c r="T332" s="294"/>
      <c r="U332" s="294"/>
      <c r="V332" s="294"/>
      <c r="W332" s="294"/>
      <c r="X332" s="294"/>
      <c r="Y332" s="294"/>
      <c r="Z332" s="294"/>
      <c r="AA332" s="294"/>
      <c r="AB332" s="294"/>
      <c r="AC332" s="294"/>
      <c r="AD332" s="294"/>
      <c r="AE332" s="294"/>
      <c r="AF332" s="294"/>
      <c r="AG332" s="294"/>
      <c r="AH332" s="294"/>
      <c r="AI332" s="294"/>
      <c r="AJ332" s="294"/>
      <c r="AK332" s="294"/>
      <c r="AL332" s="294"/>
      <c r="AM332" s="294"/>
      <c r="AN332" s="294"/>
      <c r="AO332" s="294"/>
      <c r="AP332" s="294"/>
      <c r="AQ332" s="294"/>
      <c r="AR332" s="294"/>
      <c r="AS332" s="294"/>
      <c r="AT332" s="294"/>
      <c r="AU332" s="294"/>
      <c r="AV332" s="294"/>
      <c r="AW332" s="294"/>
      <c r="AX332" s="294"/>
      <c r="AY332" s="294"/>
      <c r="AZ332" s="294"/>
      <c r="BA332" s="294"/>
      <c r="BB332" s="294"/>
      <c r="BC332" s="294"/>
      <c r="BD332" s="294"/>
      <c r="BE332" s="294"/>
      <c r="BF332" s="294"/>
      <c r="BG332" s="294"/>
      <c r="BH332" s="294"/>
      <c r="BI332" s="294"/>
      <c r="BJ332" s="294"/>
      <c r="BK332" s="294"/>
      <c r="BL332" s="294"/>
      <c r="BM332" s="294"/>
      <c r="BN332" s="294"/>
      <c r="BO332" s="294"/>
      <c r="BP332" s="294"/>
      <c r="BQ332" s="294"/>
      <c r="BR332" s="294"/>
      <c r="BS332" s="294"/>
      <c r="BT332" s="294"/>
      <c r="BU332" s="294"/>
      <c r="BV332" s="294"/>
      <c r="BW332" s="294"/>
      <c r="BX332" s="294"/>
      <c r="BY332" s="294"/>
      <c r="BZ332" s="294"/>
      <c r="CA332" s="294"/>
      <c r="CB332" s="294"/>
      <c r="CC332" s="294"/>
      <c r="CD332" s="294"/>
      <c r="CE332" s="294"/>
      <c r="CF332" s="294"/>
      <c r="CG332" s="294"/>
      <c r="CH332" s="294"/>
      <c r="CI332" s="294"/>
      <c r="CJ332" s="294"/>
      <c r="CK332" s="294"/>
      <c r="CL332" s="294"/>
      <c r="CM332" s="294"/>
      <c r="CN332" s="294"/>
      <c r="CO332" s="294"/>
      <c r="CP332" s="294"/>
      <c r="CQ332" s="294"/>
      <c r="CR332" s="294"/>
      <c r="CS332" s="294"/>
      <c r="CT332" s="294"/>
      <c r="CU332" s="294"/>
      <c r="CV332" s="294"/>
      <c r="CW332" s="294"/>
      <c r="CX332" s="294"/>
      <c r="CY332" s="294"/>
      <c r="CZ332" s="294"/>
      <c r="DA332" s="294"/>
      <c r="DB332" s="294"/>
      <c r="DC332" s="294"/>
      <c r="DD332" s="294"/>
      <c r="DE332" s="294"/>
      <c r="DF332" s="294"/>
      <c r="DG332" s="294"/>
      <c r="DH332" s="294"/>
      <c r="DI332" s="294"/>
      <c r="DJ332" s="294"/>
      <c r="DK332" s="294"/>
      <c r="DL332" s="294"/>
      <c r="DM332" s="294"/>
      <c r="DN332" s="294"/>
      <c r="DO332" s="294"/>
      <c r="DP332" s="294"/>
      <c r="DQ332" s="294"/>
      <c r="DR332" s="294"/>
      <c r="DS332" s="294"/>
      <c r="DT332" s="294"/>
      <c r="DU332" s="294"/>
      <c r="DV332" s="294"/>
      <c r="DW332" s="294"/>
      <c r="DX332" s="294"/>
      <c r="DY332" s="294"/>
      <c r="DZ332" s="294"/>
      <c r="EA332" s="294"/>
      <c r="EB332" s="294"/>
      <c r="EC332" s="294"/>
      <c r="ED332" s="294"/>
      <c r="EE332" s="294"/>
      <c r="EF332" s="294"/>
      <c r="EG332" s="294"/>
      <c r="EH332" s="294"/>
      <c r="EI332" s="294"/>
      <c r="EJ332" s="294"/>
      <c r="EK332" s="294"/>
      <c r="EL332" s="294"/>
      <c r="EM332" s="294"/>
      <c r="EN332" s="294"/>
      <c r="EO332" s="294"/>
      <c r="EP332" s="294"/>
      <c r="EQ332" s="294"/>
      <c r="ER332" s="294"/>
      <c r="ES332" s="294"/>
      <c r="ET332" s="294"/>
      <c r="EU332" s="294"/>
      <c r="EV332" s="294"/>
      <c r="EW332" s="294"/>
      <c r="EX332" s="294"/>
      <c r="EY332" s="294"/>
      <c r="EZ332" s="294"/>
      <c r="FA332" s="294"/>
      <c r="FB332" s="294"/>
    </row>
    <row r="333" spans="1:158" x14ac:dyDescent="0.25">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row>
    <row r="334" spans="1:158" ht="45" x14ac:dyDescent="0.25">
      <c r="B334" s="284" t="s">
        <v>237</v>
      </c>
      <c r="C334" s="289" t="s">
        <v>657</v>
      </c>
      <c r="D334" s="289" t="s">
        <v>668</v>
      </c>
      <c r="E334" s="294"/>
      <c r="F334" s="294"/>
      <c r="G334" s="294"/>
      <c r="H334" s="294"/>
      <c r="I334" s="294"/>
      <c r="J334" s="294"/>
      <c r="K334" s="294"/>
      <c r="L334" s="294"/>
      <c r="M334" s="294"/>
      <c r="N334" s="29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row>
    <row r="335" spans="1:158" x14ac:dyDescent="0.25">
      <c r="B335" s="26" t="s">
        <v>214</v>
      </c>
      <c r="C335" s="290">
        <v>0.61773351096449491</v>
      </c>
      <c r="D335" s="290">
        <v>9.4193152741652453E-3</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row>
    <row r="336" spans="1:158" x14ac:dyDescent="0.25">
      <c r="B336" s="26" t="s">
        <v>222</v>
      </c>
      <c r="C336" s="290">
        <v>0.48012783741702858</v>
      </c>
      <c r="D336" s="290">
        <v>2.9083012374007703E-3</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row>
    <row r="337" spans="2:158" x14ac:dyDescent="0.25">
      <c r="B337" s="26" t="s">
        <v>73</v>
      </c>
      <c r="C337" s="290">
        <v>0.55768909866742955</v>
      </c>
      <c r="D337" s="290">
        <v>6.5782259410237277E-3</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row>
    <row r="338" spans="2:158" x14ac:dyDescent="0.25">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row>
    <row r="339" spans="2:158" x14ac:dyDescent="0.25">
      <c r="C339"/>
      <c r="D339"/>
      <c r="E339"/>
      <c r="F339"/>
      <c r="G339"/>
      <c r="H339"/>
      <c r="I339"/>
      <c r="J339"/>
      <c r="K339"/>
      <c r="L339"/>
      <c r="M339"/>
      <c r="N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row>
    <row r="340" spans="2:158" x14ac:dyDescent="0.25">
      <c r="C340"/>
      <c r="D340"/>
      <c r="E340"/>
      <c r="F340"/>
      <c r="G340"/>
      <c r="H340"/>
      <c r="I340"/>
      <c r="J340"/>
      <c r="K340"/>
      <c r="L340"/>
      <c r="M340"/>
      <c r="N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row>
    <row r="341" spans="2:158" x14ac:dyDescent="0.25">
      <c r="E341" s="16"/>
      <c r="F341" s="13"/>
    </row>
    <row r="342" spans="2:158" x14ac:dyDescent="0.25">
      <c r="E342" s="16"/>
      <c r="F342" s="13"/>
    </row>
    <row r="343" spans="2:158" ht="21" x14ac:dyDescent="0.25">
      <c r="B343" s="278" t="s">
        <v>95</v>
      </c>
      <c r="C343" s="36"/>
      <c r="D343" s="36"/>
      <c r="E343" s="36"/>
      <c r="F343" s="36"/>
      <c r="G343" s="36"/>
      <c r="H343" s="36"/>
      <c r="I343" s="36"/>
      <c r="J343" s="36"/>
      <c r="K343" s="36"/>
      <c r="L343" s="36"/>
      <c r="M343" s="36"/>
      <c r="N343" s="37"/>
    </row>
    <row r="344" spans="2:158" x14ac:dyDescent="0.25">
      <c r="E344" s="16"/>
      <c r="F344" s="13"/>
    </row>
    <row r="345" spans="2:158" x14ac:dyDescent="0.25">
      <c r="E345" s="16"/>
      <c r="F345" s="13"/>
    </row>
    <row r="346" spans="2:158" x14ac:dyDescent="0.25">
      <c r="B346" s="29" t="s">
        <v>3</v>
      </c>
      <c r="C346" t="s">
        <v>449</v>
      </c>
    </row>
    <row r="347" spans="2:158" x14ac:dyDescent="0.25">
      <c r="B347" s="29" t="s">
        <v>0</v>
      </c>
      <c r="C347" t="s">
        <v>74</v>
      </c>
    </row>
    <row r="348" spans="2:158" x14ac:dyDescent="0.25">
      <c r="B348" s="29" t="s">
        <v>4</v>
      </c>
      <c r="C348" t="s">
        <v>74</v>
      </c>
    </row>
    <row r="349" spans="2:158" x14ac:dyDescent="0.25">
      <c r="B349" s="29" t="s">
        <v>286</v>
      </c>
      <c r="C349" t="s">
        <v>74</v>
      </c>
    </row>
    <row r="351" spans="2:158" x14ac:dyDescent="0.25">
      <c r="B351" s="29" t="s">
        <v>237</v>
      </c>
      <c r="C351" s="293" t="s">
        <v>663</v>
      </c>
      <c r="D351"/>
    </row>
    <row r="352" spans="2:158" x14ac:dyDescent="0.25">
      <c r="B352" s="281">
        <v>0</v>
      </c>
      <c r="C352" s="280">
        <v>6679</v>
      </c>
      <c r="D352"/>
    </row>
    <row r="353" spans="2:4" x14ac:dyDescent="0.25">
      <c r="B353" s="281">
        <v>1</v>
      </c>
      <c r="C353" s="280">
        <v>613</v>
      </c>
      <c r="D353"/>
    </row>
    <row r="354" spans="2:4" x14ac:dyDescent="0.25">
      <c r="B354" s="281">
        <v>2</v>
      </c>
      <c r="C354" s="280">
        <v>808</v>
      </c>
      <c r="D354"/>
    </row>
    <row r="355" spans="2:4" x14ac:dyDescent="0.25">
      <c r="B355" s="281">
        <v>3</v>
      </c>
      <c r="C355" s="280">
        <v>454</v>
      </c>
    </row>
    <row r="356" spans="2:4" x14ac:dyDescent="0.25">
      <c r="B356" s="281">
        <v>4</v>
      </c>
      <c r="C356" s="280">
        <v>98</v>
      </c>
    </row>
    <row r="357" spans="2:4" x14ac:dyDescent="0.25">
      <c r="B357" s="281">
        <v>5</v>
      </c>
      <c r="C357" s="280">
        <v>31</v>
      </c>
    </row>
    <row r="358" spans="2:4" x14ac:dyDescent="0.25">
      <c r="B358" s="281">
        <v>6</v>
      </c>
      <c r="C358" s="280">
        <v>2064</v>
      </c>
    </row>
    <row r="359" spans="2:4" x14ac:dyDescent="0.25">
      <c r="B359" s="281">
        <v>7</v>
      </c>
      <c r="C359" s="280">
        <v>886</v>
      </c>
    </row>
    <row r="360" spans="2:4" x14ac:dyDescent="0.25">
      <c r="B360" s="281">
        <v>8</v>
      </c>
      <c r="C360" s="280">
        <v>1515</v>
      </c>
    </row>
    <row r="361" spans="2:4" x14ac:dyDescent="0.25">
      <c r="B361" s="281">
        <v>9</v>
      </c>
      <c r="C361" s="280">
        <v>75</v>
      </c>
    </row>
    <row r="362" spans="2:4" x14ac:dyDescent="0.25">
      <c r="B362" s="281">
        <v>10</v>
      </c>
      <c r="C362" s="280">
        <v>150</v>
      </c>
    </row>
    <row r="363" spans="2:4" x14ac:dyDescent="0.25">
      <c r="B363" s="281">
        <v>11</v>
      </c>
      <c r="C363" s="280">
        <v>444</v>
      </c>
    </row>
    <row r="364" spans="2:4" x14ac:dyDescent="0.25">
      <c r="B364" s="281">
        <v>12</v>
      </c>
      <c r="C364" s="280">
        <v>283</v>
      </c>
    </row>
    <row r="365" spans="2:4" x14ac:dyDescent="0.25">
      <c r="B365" s="281">
        <v>15</v>
      </c>
      <c r="C365" s="280">
        <v>1548</v>
      </c>
    </row>
    <row r="366" spans="2:4" x14ac:dyDescent="0.25">
      <c r="B366" s="26" t="s">
        <v>73</v>
      </c>
      <c r="C366" s="280">
        <v>15648</v>
      </c>
    </row>
    <row r="367" spans="2:4" x14ac:dyDescent="0.25">
      <c r="B367"/>
      <c r="C367"/>
    </row>
    <row r="368" spans="2:4" x14ac:dyDescent="0.25">
      <c r="B368" s="12"/>
      <c r="C368" s="16"/>
    </row>
    <row r="369" spans="2:3" x14ac:dyDescent="0.25">
      <c r="B369" s="12"/>
      <c r="C369" s="16"/>
    </row>
    <row r="370" spans="2:3" x14ac:dyDescent="0.25">
      <c r="B370" s="29" t="s">
        <v>3</v>
      </c>
      <c r="C370" t="s">
        <v>449</v>
      </c>
    </row>
    <row r="371" spans="2:3" x14ac:dyDescent="0.25">
      <c r="B371" s="29" t="s">
        <v>4</v>
      </c>
      <c r="C371" t="s">
        <v>74</v>
      </c>
    </row>
    <row r="372" spans="2:3" x14ac:dyDescent="0.25">
      <c r="B372" s="29" t="s">
        <v>286</v>
      </c>
      <c r="C372" t="s">
        <v>74</v>
      </c>
    </row>
    <row r="374" spans="2:3" x14ac:dyDescent="0.25">
      <c r="B374" s="29" t="s">
        <v>237</v>
      </c>
      <c r="C374" t="s">
        <v>647</v>
      </c>
    </row>
    <row r="375" spans="2:3" x14ac:dyDescent="0.25">
      <c r="B375" s="26" t="s">
        <v>176</v>
      </c>
      <c r="C375" s="279">
        <v>0</v>
      </c>
    </row>
    <row r="376" spans="2:3" x14ac:dyDescent="0.25">
      <c r="B376" s="26" t="s">
        <v>104</v>
      </c>
      <c r="C376" s="279">
        <v>0.80779834580543519</v>
      </c>
    </row>
    <row r="377" spans="2:3" x14ac:dyDescent="0.25">
      <c r="B377" s="26" t="s">
        <v>107</v>
      </c>
      <c r="C377" s="279">
        <v>3.7431693989071035E-2</v>
      </c>
    </row>
    <row r="378" spans="2:3" x14ac:dyDescent="0.25">
      <c r="B378" s="26" t="s">
        <v>125</v>
      </c>
      <c r="C378" s="279">
        <v>0</v>
      </c>
    </row>
    <row r="379" spans="2:3" x14ac:dyDescent="0.25">
      <c r="B379" s="26" t="s">
        <v>201</v>
      </c>
      <c r="C379" s="279">
        <v>0.70611577147566884</v>
      </c>
    </row>
    <row r="380" spans="2:3" x14ac:dyDescent="0.25">
      <c r="B380" s="26" t="s">
        <v>182</v>
      </c>
      <c r="C380" s="279">
        <v>0.80642843600101743</v>
      </c>
    </row>
    <row r="381" spans="2:3" x14ac:dyDescent="0.25">
      <c r="B381" s="26" t="s">
        <v>183</v>
      </c>
      <c r="C381" s="279">
        <v>0.47398843930635837</v>
      </c>
    </row>
    <row r="382" spans="2:3" x14ac:dyDescent="0.25">
      <c r="B382" s="26" t="s">
        <v>221</v>
      </c>
      <c r="C382" s="279">
        <v>0.82828282828282829</v>
      </c>
    </row>
    <row r="383" spans="2:3" x14ac:dyDescent="0.25">
      <c r="B383" s="26" t="s">
        <v>130</v>
      </c>
      <c r="C383" s="279">
        <v>0.62222222222222223</v>
      </c>
    </row>
    <row r="384" spans="2:3" x14ac:dyDescent="0.25">
      <c r="B384" s="26" t="s">
        <v>184</v>
      </c>
      <c r="C384" s="279">
        <v>0.23285706697827588</v>
      </c>
    </row>
    <row r="385" spans="2:3" x14ac:dyDescent="0.25">
      <c r="B385" s="26" t="s">
        <v>210</v>
      </c>
      <c r="C385" s="279">
        <v>0.74103441627301647</v>
      </c>
    </row>
    <row r="386" spans="2:3" x14ac:dyDescent="0.25">
      <c r="B386" s="26" t="s">
        <v>132</v>
      </c>
      <c r="C386" s="279">
        <v>0.83687829841675998</v>
      </c>
    </row>
    <row r="387" spans="2:3" x14ac:dyDescent="0.25">
      <c r="B387" s="26" t="s">
        <v>468</v>
      </c>
      <c r="C387" s="279">
        <v>0.99712223643340037</v>
      </c>
    </row>
    <row r="388" spans="2:3" x14ac:dyDescent="0.25">
      <c r="B388" s="26" t="s">
        <v>228</v>
      </c>
      <c r="C388" s="279">
        <v>1</v>
      </c>
    </row>
    <row r="389" spans="2:3" x14ac:dyDescent="0.25">
      <c r="B389" s="26" t="s">
        <v>220</v>
      </c>
      <c r="C389" s="279">
        <v>1</v>
      </c>
    </row>
    <row r="390" spans="2:3" x14ac:dyDescent="0.25">
      <c r="B390" s="26" t="s">
        <v>219</v>
      </c>
      <c r="C390" s="279">
        <v>0</v>
      </c>
    </row>
    <row r="391" spans="2:3" x14ac:dyDescent="0.25">
      <c r="B391" s="26" t="s">
        <v>155</v>
      </c>
      <c r="C391" s="279">
        <v>0.8284499597839825</v>
      </c>
    </row>
    <row r="392" spans="2:3" x14ac:dyDescent="0.25">
      <c r="B392" s="26" t="s">
        <v>750</v>
      </c>
      <c r="C392" s="279">
        <v>0</v>
      </c>
    </row>
    <row r="393" spans="2:3" x14ac:dyDescent="0.25">
      <c r="B393" s="26" t="s">
        <v>73</v>
      </c>
      <c r="C393" s="279">
        <v>0.53944224058827295</v>
      </c>
    </row>
    <row r="394" spans="2:3" x14ac:dyDescent="0.25">
      <c r="B394"/>
      <c r="C394"/>
    </row>
    <row r="395" spans="2:3" x14ac:dyDescent="0.25">
      <c r="B395"/>
      <c r="C395"/>
    </row>
    <row r="396" spans="2:3" x14ac:dyDescent="0.25">
      <c r="B396" s="12"/>
      <c r="C396" s="16"/>
    </row>
    <row r="397" spans="2:3" x14ac:dyDescent="0.25">
      <c r="B397" s="12"/>
      <c r="C397" s="16"/>
    </row>
    <row r="398" spans="2:3" x14ac:dyDescent="0.25">
      <c r="B398" s="29" t="s">
        <v>3</v>
      </c>
      <c r="C398" t="s">
        <v>449</v>
      </c>
    </row>
    <row r="399" spans="2:3" x14ac:dyDescent="0.25">
      <c r="B399" s="29" t="s">
        <v>4</v>
      </c>
      <c r="C399" t="s">
        <v>74</v>
      </c>
    </row>
    <row r="400" spans="2:3" x14ac:dyDescent="0.25">
      <c r="B400" s="29" t="s">
        <v>286</v>
      </c>
      <c r="C400" t="s">
        <v>74</v>
      </c>
    </row>
    <row r="402" spans="2:3" x14ac:dyDescent="0.25">
      <c r="B402" s="29" t="s">
        <v>237</v>
      </c>
      <c r="C402" t="s">
        <v>664</v>
      </c>
    </row>
    <row r="403" spans="2:3" x14ac:dyDescent="0.25">
      <c r="B403" s="26" t="s">
        <v>257</v>
      </c>
      <c r="C403" s="279">
        <v>3.7431693989071035E-2</v>
      </c>
    </row>
    <row r="404" spans="2:3" x14ac:dyDescent="0.25">
      <c r="B404" s="26" t="s">
        <v>258</v>
      </c>
      <c r="C404" s="279">
        <v>0.82074121202481309</v>
      </c>
    </row>
    <row r="405" spans="2:3" x14ac:dyDescent="0.25">
      <c r="B405" s="26" t="s">
        <v>259</v>
      </c>
      <c r="C405" s="279">
        <v>0.74474474474474472</v>
      </c>
    </row>
    <row r="406" spans="2:3" x14ac:dyDescent="0.25">
      <c r="B406" s="26" t="s">
        <v>260</v>
      </c>
      <c r="C406" s="279">
        <v>0</v>
      </c>
    </row>
    <row r="407" spans="2:3" x14ac:dyDescent="0.25">
      <c r="B407" s="26" t="s">
        <v>261</v>
      </c>
      <c r="C407" s="279">
        <v>0.45261881668283221</v>
      </c>
    </row>
    <row r="408" spans="2:3" x14ac:dyDescent="0.25">
      <c r="B408" s="26" t="s">
        <v>266</v>
      </c>
      <c r="C408" s="279">
        <v>0.79173090019584502</v>
      </c>
    </row>
    <row r="409" spans="2:3" x14ac:dyDescent="0.25">
      <c r="B409" s="26" t="s">
        <v>267</v>
      </c>
      <c r="C409" s="279">
        <v>0.87640762858969889</v>
      </c>
    </row>
    <row r="410" spans="2:3" x14ac:dyDescent="0.25">
      <c r="B410" s="26" t="s">
        <v>268</v>
      </c>
      <c r="C410" s="279">
        <v>0.62090905732102319</v>
      </c>
    </row>
    <row r="411" spans="2:3" x14ac:dyDescent="0.25">
      <c r="B411" s="26" t="s">
        <v>269</v>
      </c>
      <c r="C411" s="279">
        <v>0.6352676100877539</v>
      </c>
    </row>
    <row r="412" spans="2:3" x14ac:dyDescent="0.25">
      <c r="B412" s="26" t="s">
        <v>314</v>
      </c>
      <c r="C412" s="279">
        <v>0.8085670962850644</v>
      </c>
    </row>
    <row r="413" spans="2:3" x14ac:dyDescent="0.25">
      <c r="B413" s="26" t="s">
        <v>73</v>
      </c>
      <c r="C413" s="279">
        <v>0.53944224058827295</v>
      </c>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s="29" t="s">
        <v>3</v>
      </c>
      <c r="C421" t="s">
        <v>74</v>
      </c>
    </row>
    <row r="422" spans="2:3" x14ac:dyDescent="0.25">
      <c r="B422" s="29" t="s">
        <v>256</v>
      </c>
      <c r="C422" t="s">
        <v>74</v>
      </c>
    </row>
    <row r="423" spans="2:3" x14ac:dyDescent="0.25">
      <c r="B423" s="29" t="s">
        <v>286</v>
      </c>
      <c r="C423" t="s">
        <v>74</v>
      </c>
    </row>
    <row r="425" spans="2:3" x14ac:dyDescent="0.25">
      <c r="B425" s="29" t="s">
        <v>237</v>
      </c>
      <c r="C425" t="s">
        <v>665</v>
      </c>
    </row>
    <row r="426" spans="2:3" x14ac:dyDescent="0.25">
      <c r="B426" s="26" t="s">
        <v>214</v>
      </c>
      <c r="C426" s="279">
        <v>0.62580593717677513</v>
      </c>
    </row>
    <row r="427" spans="2:3" x14ac:dyDescent="0.25">
      <c r="B427" s="26" t="s">
        <v>222</v>
      </c>
      <c r="C427" s="279">
        <v>0.37927831953891133</v>
      </c>
    </row>
    <row r="428" spans="2:3" x14ac:dyDescent="0.25">
      <c r="B428" s="26" t="s">
        <v>73</v>
      </c>
      <c r="C428" s="279">
        <v>0.5182332947525865</v>
      </c>
    </row>
    <row r="429" spans="2:3" x14ac:dyDescent="0.25">
      <c r="B429"/>
      <c r="C429"/>
    </row>
    <row r="430" spans="2:3" x14ac:dyDescent="0.25">
      <c r="B430"/>
      <c r="C430"/>
    </row>
    <row r="431" spans="2:3" x14ac:dyDescent="0.25">
      <c r="B431"/>
      <c r="C431"/>
    </row>
    <row r="432" spans="2:3" x14ac:dyDescent="0.25">
      <c r="B432"/>
      <c r="C432"/>
    </row>
    <row r="433" spans="2:8" x14ac:dyDescent="0.25">
      <c r="B433"/>
      <c r="C433"/>
    </row>
    <row r="434" spans="2:8" x14ac:dyDescent="0.25">
      <c r="B434"/>
      <c r="C434"/>
    </row>
    <row r="435" spans="2:8" x14ac:dyDescent="0.25">
      <c r="B435"/>
      <c r="C435"/>
    </row>
    <row r="436" spans="2:8" x14ac:dyDescent="0.25">
      <c r="B436"/>
      <c r="C436"/>
    </row>
    <row r="437" spans="2:8" x14ac:dyDescent="0.25">
      <c r="B437"/>
      <c r="C437"/>
    </row>
    <row r="438" spans="2:8" x14ac:dyDescent="0.25">
      <c r="B438"/>
      <c r="C438"/>
    </row>
    <row r="439" spans="2:8" x14ac:dyDescent="0.25">
      <c r="B439"/>
      <c r="C439"/>
    </row>
    <row r="440" spans="2:8" x14ac:dyDescent="0.25">
      <c r="B440"/>
      <c r="C440"/>
      <c r="D440"/>
      <c r="E440"/>
      <c r="F440"/>
      <c r="G440"/>
      <c r="H440"/>
    </row>
    <row r="441" spans="2:8" x14ac:dyDescent="0.25">
      <c r="B441" s="29" t="s">
        <v>3</v>
      </c>
      <c r="C441" t="s">
        <v>449</v>
      </c>
      <c r="D441"/>
      <c r="E441"/>
      <c r="F441"/>
      <c r="G441"/>
      <c r="H441"/>
    </row>
    <row r="442" spans="2:8" x14ac:dyDescent="0.25">
      <c r="B442" s="29" t="s">
        <v>4</v>
      </c>
      <c r="C442" t="s">
        <v>74</v>
      </c>
      <c r="D442"/>
      <c r="E442"/>
      <c r="F442"/>
      <c r="G442"/>
      <c r="H442"/>
    </row>
    <row r="443" spans="2:8" x14ac:dyDescent="0.25">
      <c r="B443" s="29" t="s">
        <v>286</v>
      </c>
      <c r="C443" t="s">
        <v>74</v>
      </c>
      <c r="D443"/>
      <c r="E443"/>
      <c r="F443"/>
      <c r="G443"/>
      <c r="H443"/>
    </row>
    <row r="444" spans="2:8" x14ac:dyDescent="0.25">
      <c r="D444"/>
      <c r="E444"/>
      <c r="F444"/>
      <c r="G444"/>
      <c r="H444"/>
    </row>
    <row r="445" spans="2:8" ht="90" x14ac:dyDescent="0.25">
      <c r="B445" s="284" t="s">
        <v>237</v>
      </c>
      <c r="C445" s="294" t="s">
        <v>288</v>
      </c>
      <c r="D445" s="294"/>
      <c r="E445" s="294"/>
      <c r="F445" s="294"/>
      <c r="G445" s="294"/>
      <c r="H445" s="294"/>
    </row>
    <row r="446" spans="2:8" x14ac:dyDescent="0.25">
      <c r="B446" s="26" t="s">
        <v>65</v>
      </c>
      <c r="C446" s="280">
        <v>65</v>
      </c>
      <c r="D446"/>
      <c r="E446"/>
      <c r="F446"/>
      <c r="G446"/>
      <c r="H446"/>
    </row>
    <row r="447" spans="2:8" x14ac:dyDescent="0.25">
      <c r="B447" s="26" t="s">
        <v>294</v>
      </c>
      <c r="C447" s="280">
        <v>1</v>
      </c>
      <c r="D447"/>
      <c r="E447"/>
      <c r="F447"/>
      <c r="G447"/>
      <c r="H447"/>
    </row>
    <row r="448" spans="2:8" x14ac:dyDescent="0.25">
      <c r="B448" s="26" t="s">
        <v>66</v>
      </c>
      <c r="C448" s="280">
        <v>12</v>
      </c>
      <c r="D448"/>
      <c r="E448"/>
      <c r="F448"/>
      <c r="G448"/>
      <c r="H448"/>
    </row>
    <row r="449" spans="2:8" x14ac:dyDescent="0.25">
      <c r="B449" s="26" t="s">
        <v>293</v>
      </c>
      <c r="C449" s="280">
        <v>74</v>
      </c>
      <c r="D449"/>
      <c r="E449"/>
      <c r="F449"/>
      <c r="G449"/>
      <c r="H449"/>
    </row>
    <row r="450" spans="2:8" x14ac:dyDescent="0.25">
      <c r="B450" s="26" t="s">
        <v>73</v>
      </c>
      <c r="C450" s="280">
        <v>152</v>
      </c>
      <c r="D450"/>
      <c r="E450"/>
      <c r="F450"/>
      <c r="G450"/>
      <c r="H450"/>
    </row>
    <row r="451" spans="2:8" x14ac:dyDescent="0.25">
      <c r="B451"/>
      <c r="C451"/>
      <c r="D451"/>
      <c r="E451"/>
      <c r="F451"/>
      <c r="G451"/>
      <c r="H451"/>
    </row>
    <row r="452" spans="2:8" x14ac:dyDescent="0.25">
      <c r="B452"/>
      <c r="C452"/>
      <c r="D452"/>
      <c r="E452"/>
      <c r="F452"/>
      <c r="G452"/>
      <c r="H452"/>
    </row>
    <row r="453" spans="2:8" x14ac:dyDescent="0.25">
      <c r="B453"/>
      <c r="C453"/>
      <c r="D453"/>
      <c r="E453"/>
      <c r="F453"/>
      <c r="G453"/>
      <c r="H453"/>
    </row>
    <row r="454" spans="2:8" x14ac:dyDescent="0.25">
      <c r="B454"/>
      <c r="C454"/>
      <c r="D454"/>
      <c r="E454"/>
      <c r="F454"/>
      <c r="G454"/>
      <c r="H454"/>
    </row>
    <row r="455" spans="2:8" x14ac:dyDescent="0.25">
      <c r="B455"/>
      <c r="C455"/>
      <c r="D455"/>
      <c r="E455"/>
      <c r="F455"/>
      <c r="G455"/>
      <c r="H455"/>
    </row>
    <row r="456" spans="2:8" x14ac:dyDescent="0.25">
      <c r="B456"/>
      <c r="C456"/>
      <c r="D456"/>
      <c r="E456"/>
      <c r="F456"/>
      <c r="G456"/>
      <c r="H456"/>
    </row>
    <row r="458" spans="2:8" x14ac:dyDescent="0.25">
      <c r="B458"/>
      <c r="C458"/>
    </row>
    <row r="459" spans="2:8" x14ac:dyDescent="0.25">
      <c r="B459"/>
      <c r="C459"/>
    </row>
    <row r="460" spans="2:8" x14ac:dyDescent="0.25">
      <c r="B460" s="29" t="s">
        <v>3</v>
      </c>
      <c r="C460" t="s">
        <v>449</v>
      </c>
    </row>
    <row r="461" spans="2:8" x14ac:dyDescent="0.25">
      <c r="B461" s="29" t="s">
        <v>4</v>
      </c>
      <c r="C461" t="s">
        <v>74</v>
      </c>
    </row>
    <row r="462" spans="2:8" x14ac:dyDescent="0.25">
      <c r="B462" s="29" t="s">
        <v>286</v>
      </c>
      <c r="C462" t="s">
        <v>74</v>
      </c>
    </row>
    <row r="464" spans="2:8" x14ac:dyDescent="0.25">
      <c r="B464" s="29" t="s">
        <v>237</v>
      </c>
      <c r="C464" t="s">
        <v>649</v>
      </c>
    </row>
    <row r="465" spans="2:6" x14ac:dyDescent="0.25">
      <c r="B465" s="26" t="s">
        <v>290</v>
      </c>
      <c r="C465" s="283">
        <v>75</v>
      </c>
    </row>
    <row r="466" spans="2:6" x14ac:dyDescent="0.25">
      <c r="B466" s="26" t="s">
        <v>89</v>
      </c>
      <c r="C466" s="283">
        <v>41</v>
      </c>
    </row>
    <row r="467" spans="2:6" x14ac:dyDescent="0.25">
      <c r="B467" s="26" t="s">
        <v>292</v>
      </c>
      <c r="C467" s="283">
        <v>4</v>
      </c>
    </row>
    <row r="468" spans="2:6" x14ac:dyDescent="0.25">
      <c r="B468" s="26" t="s">
        <v>291</v>
      </c>
      <c r="C468" s="283">
        <v>30</v>
      </c>
    </row>
    <row r="469" spans="2:6" x14ac:dyDescent="0.25">
      <c r="B469" s="26" t="s">
        <v>677</v>
      </c>
      <c r="C469" s="283">
        <v>2</v>
      </c>
    </row>
    <row r="470" spans="2:6" x14ac:dyDescent="0.25">
      <c r="B470" s="26" t="s">
        <v>73</v>
      </c>
      <c r="C470" s="283">
        <v>152</v>
      </c>
    </row>
    <row r="471" spans="2:6" x14ac:dyDescent="0.25">
      <c r="B471"/>
      <c r="C471"/>
    </row>
    <row r="472" spans="2:6" x14ac:dyDescent="0.25">
      <c r="B472" s="12"/>
      <c r="C472" s="17"/>
    </row>
    <row r="473" spans="2:6" x14ac:dyDescent="0.25">
      <c r="B473" s="12"/>
      <c r="C473" s="17"/>
    </row>
    <row r="474" spans="2:6" x14ac:dyDescent="0.25">
      <c r="B474" s="12"/>
      <c r="C474" s="17"/>
    </row>
    <row r="475" spans="2:6" x14ac:dyDescent="0.25">
      <c r="B475" s="12"/>
      <c r="C475" s="17"/>
    </row>
    <row r="476" spans="2:6" x14ac:dyDescent="0.25">
      <c r="B476" s="12"/>
      <c r="C476" s="17"/>
    </row>
    <row r="477" spans="2:6" x14ac:dyDescent="0.25">
      <c r="B477" s="12"/>
      <c r="C477" s="17"/>
    </row>
    <row r="478" spans="2:6" x14ac:dyDescent="0.25">
      <c r="B478"/>
      <c r="C478"/>
      <c r="D478" s="16"/>
      <c r="E478" s="16"/>
      <c r="F478" s="13"/>
    </row>
    <row r="479" spans="2:6" hidden="1" x14ac:dyDescent="0.25">
      <c r="B479" s="29" t="s">
        <v>3</v>
      </c>
      <c r="C479" t="s">
        <v>449</v>
      </c>
    </row>
    <row r="480" spans="2:6" hidden="1" x14ac:dyDescent="0.25">
      <c r="B480" s="29" t="s">
        <v>286</v>
      </c>
      <c r="C480" t="s">
        <v>74</v>
      </c>
    </row>
    <row r="481" spans="1:15" hidden="1" x14ac:dyDescent="0.25"/>
    <row r="482" spans="1:15" hidden="1" x14ac:dyDescent="0.25">
      <c r="B482" s="29" t="s">
        <v>237</v>
      </c>
      <c r="C482"/>
    </row>
    <row r="483" spans="1:15" hidden="1" x14ac:dyDescent="0.25">
      <c r="B483" s="26" t="s">
        <v>214</v>
      </c>
      <c r="C483"/>
    </row>
    <row r="484" spans="1:15" hidden="1" x14ac:dyDescent="0.25">
      <c r="B484" s="26" t="s">
        <v>222</v>
      </c>
      <c r="C484"/>
    </row>
    <row r="485" spans="1:15" hidden="1" x14ac:dyDescent="0.25">
      <c r="B485" s="26" t="s">
        <v>73</v>
      </c>
      <c r="C485"/>
    </row>
    <row r="486" spans="1:15" ht="31.5" customHeight="1" x14ac:dyDescent="0.25">
      <c r="B486"/>
      <c r="C486"/>
      <c r="O486" s="12"/>
    </row>
    <row r="487" spans="1:15" x14ac:dyDescent="0.25">
      <c r="B487"/>
      <c r="C487"/>
      <c r="O487" s="12"/>
    </row>
    <row r="488" spans="1:15" x14ac:dyDescent="0.25">
      <c r="B488"/>
      <c r="C488"/>
      <c r="O488" s="12"/>
    </row>
    <row r="489" spans="1:15" x14ac:dyDescent="0.25">
      <c r="B489"/>
      <c r="C489"/>
      <c r="O489" s="12"/>
    </row>
    <row r="490" spans="1:15" x14ac:dyDescent="0.25">
      <c r="A490" s="12"/>
      <c r="O490" s="12"/>
    </row>
    <row r="491" spans="1:15" s="12" customFormat="1" ht="24.6" customHeight="1" x14ac:dyDescent="0.25">
      <c r="B491" s="11"/>
      <c r="C491" s="14"/>
      <c r="D491" s="14"/>
      <c r="E491" s="14"/>
      <c r="F491" s="11"/>
      <c r="G491" s="11"/>
      <c r="H491" s="11"/>
      <c r="I491" s="11"/>
      <c r="J491" s="11"/>
      <c r="K491" s="11"/>
      <c r="L491" s="11"/>
      <c r="M491" s="11"/>
      <c r="N491" s="11"/>
    </row>
    <row r="492" spans="1:15" s="12" customFormat="1" x14ac:dyDescent="0.25">
      <c r="B492" s="11"/>
      <c r="C492" s="14"/>
      <c r="D492" s="14"/>
      <c r="E492" s="14"/>
      <c r="F492" s="11"/>
      <c r="G492" s="11"/>
      <c r="H492" s="11"/>
      <c r="I492" s="11"/>
      <c r="J492" s="11"/>
      <c r="K492" s="11"/>
      <c r="L492" s="11"/>
      <c r="M492" s="11"/>
      <c r="N492" s="11"/>
    </row>
    <row r="493" spans="1:15" s="12" customFormat="1" x14ac:dyDescent="0.25">
      <c r="B493" s="11"/>
      <c r="C493" s="14"/>
      <c r="D493" s="14"/>
      <c r="E493" s="14"/>
      <c r="F493" s="11"/>
      <c r="G493" s="11"/>
      <c r="H493" s="11"/>
      <c r="I493" s="11"/>
      <c r="J493" s="11"/>
      <c r="K493" s="11"/>
      <c r="L493" s="11"/>
      <c r="M493" s="11"/>
      <c r="N493" s="11"/>
    </row>
    <row r="494" spans="1:15" s="12" customFormat="1" x14ac:dyDescent="0.25">
      <c r="B494" s="11"/>
      <c r="C494" s="14"/>
      <c r="D494" s="14"/>
      <c r="E494" s="14"/>
      <c r="F494" s="11"/>
      <c r="G494" s="11"/>
      <c r="H494" s="11"/>
      <c r="I494" s="11"/>
      <c r="J494" s="11"/>
      <c r="K494" s="11"/>
      <c r="L494" s="11"/>
      <c r="M494" s="11"/>
      <c r="N494" s="11"/>
    </row>
    <row r="495" spans="1:15" s="12" customFormat="1" ht="21" x14ac:dyDescent="0.25">
      <c r="B495" s="278" t="s">
        <v>714</v>
      </c>
      <c r="C495" s="36"/>
      <c r="D495" s="36"/>
      <c r="E495" s="36"/>
      <c r="F495" s="36"/>
      <c r="G495" s="36"/>
      <c r="H495" s="36"/>
      <c r="I495" s="36"/>
      <c r="J495" s="36"/>
      <c r="K495" s="36"/>
      <c r="L495" s="36"/>
      <c r="M495" s="36"/>
      <c r="N495" s="37"/>
    </row>
    <row r="496" spans="1:15" s="12" customFormat="1" x14ac:dyDescent="0.25">
      <c r="B496" s="11"/>
      <c r="C496" s="14"/>
      <c r="D496" s="14"/>
      <c r="E496" s="14"/>
      <c r="F496" s="11"/>
      <c r="G496" s="11"/>
      <c r="H496" s="11"/>
    </row>
    <row r="497" spans="1:15" s="12" customFormat="1" x14ac:dyDescent="0.25">
      <c r="B497" s="11"/>
      <c r="C497"/>
      <c r="D497"/>
      <c r="E497"/>
      <c r="F497"/>
      <c r="G497"/>
      <c r="H497"/>
      <c r="I497"/>
      <c r="J497"/>
      <c r="K497"/>
      <c r="L497"/>
      <c r="M497" s="11"/>
      <c r="N497" s="11"/>
    </row>
    <row r="498" spans="1:15" s="12" customFormat="1" x14ac:dyDescent="0.25">
      <c r="B498" s="11"/>
      <c r="C498"/>
      <c r="D498"/>
      <c r="E498"/>
      <c r="F498"/>
      <c r="G498"/>
      <c r="H498"/>
      <c r="I498"/>
      <c r="J498"/>
      <c r="K498"/>
      <c r="L498"/>
      <c r="M498" s="11"/>
      <c r="N498" s="11"/>
      <c r="O498" s="11"/>
    </row>
    <row r="499" spans="1:15" s="12" customFormat="1" x14ac:dyDescent="0.25">
      <c r="B499" s="11"/>
      <c r="C499"/>
      <c r="D499"/>
      <c r="E499"/>
      <c r="F499" s="64"/>
      <c r="G499"/>
      <c r="H499"/>
      <c r="I499"/>
      <c r="J499"/>
      <c r="K499"/>
      <c r="L499"/>
      <c r="M499" s="11"/>
      <c r="N499" s="11"/>
      <c r="O499" s="11"/>
    </row>
    <row r="500" spans="1:15" s="12" customFormat="1" x14ac:dyDescent="0.25">
      <c r="B500" s="11"/>
      <c r="C500"/>
      <c r="D500"/>
      <c r="E500"/>
      <c r="F500"/>
      <c r="G500"/>
      <c r="H500"/>
      <c r="I500"/>
      <c r="J500"/>
      <c r="K500"/>
      <c r="L500"/>
      <c r="M500" s="11"/>
      <c r="N500" s="11"/>
      <c r="O500" s="11"/>
    </row>
    <row r="501" spans="1:15" s="12" customFormat="1" ht="30" customHeight="1" x14ac:dyDescent="0.25">
      <c r="B501" s="11"/>
      <c r="C501"/>
      <c r="D501"/>
      <c r="E501"/>
      <c r="F501"/>
      <c r="G501"/>
      <c r="H501"/>
      <c r="I501"/>
      <c r="J501"/>
      <c r="K501"/>
      <c r="L501"/>
      <c r="M501" s="11"/>
      <c r="N501" s="11"/>
      <c r="O501" s="11"/>
    </row>
    <row r="502" spans="1:15" s="12" customFormat="1" x14ac:dyDescent="0.25">
      <c r="A502" s="11"/>
      <c r="B502" s="11"/>
      <c r="C502"/>
      <c r="D502"/>
      <c r="E502"/>
      <c r="F502"/>
      <c r="G502"/>
      <c r="H502"/>
      <c r="I502"/>
      <c r="J502"/>
      <c r="K502"/>
      <c r="L502"/>
      <c r="M502" s="11"/>
      <c r="N502" s="11"/>
      <c r="O502" s="11"/>
    </row>
    <row r="503" spans="1:15" x14ac:dyDescent="0.25">
      <c r="C503"/>
      <c r="D503"/>
      <c r="E503"/>
      <c r="F503"/>
      <c r="G503"/>
      <c r="H503"/>
      <c r="I503"/>
      <c r="J503"/>
      <c r="K503"/>
      <c r="L503"/>
    </row>
    <row r="504" spans="1:15" x14ac:dyDescent="0.25">
      <c r="C504"/>
      <c r="D504"/>
      <c r="E504"/>
      <c r="F504"/>
      <c r="G504"/>
      <c r="H504"/>
      <c r="I504"/>
      <c r="J504"/>
      <c r="K504"/>
      <c r="L504"/>
    </row>
    <row r="505" spans="1:15" x14ac:dyDescent="0.25">
      <c r="C505"/>
      <c r="D505"/>
      <c r="E505"/>
      <c r="F505"/>
      <c r="G505"/>
      <c r="H505"/>
      <c r="I505"/>
      <c r="J505"/>
      <c r="K505"/>
      <c r="L505"/>
    </row>
    <row r="506" spans="1:15" x14ac:dyDescent="0.25">
      <c r="C506"/>
      <c r="D506"/>
      <c r="E506"/>
      <c r="F506"/>
      <c r="G506"/>
      <c r="H506"/>
      <c r="I506"/>
      <c r="J506"/>
      <c r="K506"/>
      <c r="L506"/>
    </row>
    <row r="507" spans="1:15" x14ac:dyDescent="0.25">
      <c r="C507"/>
      <c r="D507"/>
      <c r="E507"/>
      <c r="F507"/>
      <c r="G507"/>
      <c r="H507"/>
      <c r="I507"/>
      <c r="J507"/>
      <c r="K507"/>
      <c r="L507"/>
    </row>
    <row r="508" spans="1:15" x14ac:dyDescent="0.25">
      <c r="C508"/>
      <c r="D508"/>
      <c r="E508"/>
      <c r="F508"/>
      <c r="G508"/>
      <c r="H508"/>
      <c r="I508"/>
      <c r="J508"/>
      <c r="K508"/>
      <c r="L508"/>
    </row>
    <row r="509" spans="1:15" x14ac:dyDescent="0.25">
      <c r="C509"/>
      <c r="D509"/>
      <c r="E509"/>
      <c r="F509"/>
      <c r="G509"/>
      <c r="H509"/>
      <c r="I509"/>
      <c r="J509"/>
      <c r="K509"/>
      <c r="L509"/>
    </row>
    <row r="510" spans="1:15" x14ac:dyDescent="0.25">
      <c r="C510"/>
      <c r="D510"/>
      <c r="E510"/>
      <c r="F510"/>
      <c r="G510"/>
      <c r="H510"/>
      <c r="I510"/>
      <c r="J510"/>
      <c r="K510"/>
      <c r="L510"/>
    </row>
    <row r="511" spans="1:15" x14ac:dyDescent="0.25">
      <c r="C511"/>
      <c r="D511"/>
      <c r="E511"/>
      <c r="F511"/>
      <c r="G511"/>
      <c r="H511"/>
      <c r="I511"/>
      <c r="J511"/>
      <c r="K511"/>
      <c r="L511"/>
    </row>
    <row r="512" spans="1:15" x14ac:dyDescent="0.25">
      <c r="C512"/>
      <c r="D512"/>
      <c r="E512"/>
      <c r="F512"/>
      <c r="G512"/>
      <c r="H512"/>
      <c r="I512"/>
      <c r="J512"/>
      <c r="K512"/>
      <c r="L512"/>
    </row>
    <row r="513" spans="3:12" x14ac:dyDescent="0.25">
      <c r="C513"/>
      <c r="D513"/>
      <c r="E513"/>
      <c r="F513"/>
      <c r="G513"/>
      <c r="H513"/>
      <c r="I513"/>
      <c r="J513"/>
      <c r="K513"/>
      <c r="L513"/>
    </row>
    <row r="514" spans="3:12" x14ac:dyDescent="0.25">
      <c r="C514"/>
      <c r="D514"/>
      <c r="E514"/>
      <c r="F514"/>
      <c r="G514"/>
      <c r="H514"/>
      <c r="I514"/>
      <c r="J514"/>
      <c r="K514"/>
      <c r="L514"/>
    </row>
    <row r="515" spans="3:12" x14ac:dyDescent="0.25">
      <c r="C515"/>
      <c r="D515"/>
      <c r="E515"/>
      <c r="F515"/>
      <c r="G515"/>
      <c r="H515"/>
      <c r="I515"/>
      <c r="J515"/>
      <c r="K515"/>
      <c r="L515"/>
    </row>
    <row r="516" spans="3:12" x14ac:dyDescent="0.25">
      <c r="C516"/>
      <c r="D516"/>
      <c r="E516"/>
      <c r="F516"/>
      <c r="G516"/>
      <c r="H516"/>
      <c r="I516"/>
      <c r="J516"/>
      <c r="K516"/>
      <c r="L516"/>
    </row>
    <row r="517" spans="3:12" x14ac:dyDescent="0.25">
      <c r="C517"/>
      <c r="D517"/>
      <c r="E517"/>
      <c r="F517"/>
      <c r="G517"/>
      <c r="H517"/>
      <c r="I517"/>
      <c r="J517"/>
      <c r="K517"/>
      <c r="L517"/>
    </row>
    <row r="518" spans="3:12" x14ac:dyDescent="0.25">
      <c r="C518"/>
      <c r="D518"/>
      <c r="E518"/>
      <c r="F518"/>
      <c r="G518"/>
      <c r="H518"/>
      <c r="I518"/>
      <c r="J518"/>
      <c r="K518"/>
      <c r="L518"/>
    </row>
    <row r="519" spans="3:12" x14ac:dyDescent="0.25">
      <c r="C519"/>
      <c r="D519"/>
      <c r="E519"/>
      <c r="F519"/>
      <c r="G519"/>
      <c r="H519"/>
      <c r="I519"/>
      <c r="J519"/>
      <c r="K519"/>
      <c r="L519"/>
    </row>
    <row r="520" spans="3:12" x14ac:dyDescent="0.25">
      <c r="C520"/>
      <c r="D520"/>
      <c r="E520"/>
      <c r="F520"/>
      <c r="G520"/>
      <c r="H520"/>
      <c r="I520"/>
      <c r="J520"/>
      <c r="K520"/>
      <c r="L520"/>
    </row>
    <row r="521" spans="3:12" x14ac:dyDescent="0.25">
      <c r="C521"/>
      <c r="D521"/>
      <c r="E521"/>
      <c r="F521"/>
      <c r="G521"/>
      <c r="H521"/>
      <c r="I521"/>
      <c r="J521"/>
      <c r="K521"/>
      <c r="L521"/>
    </row>
    <row r="522" spans="3:12" x14ac:dyDescent="0.25">
      <c r="C522"/>
      <c r="D522"/>
      <c r="E522"/>
      <c r="F522"/>
      <c r="G522"/>
      <c r="H522"/>
      <c r="I522"/>
      <c r="J522"/>
      <c r="K522"/>
      <c r="L522"/>
    </row>
    <row r="523" spans="3:12" x14ac:dyDescent="0.25">
      <c r="C523"/>
      <c r="D523"/>
      <c r="E523"/>
      <c r="F523"/>
      <c r="G523"/>
      <c r="H523"/>
      <c r="I523"/>
      <c r="J523"/>
      <c r="K523"/>
      <c r="L523"/>
    </row>
    <row r="524" spans="3:12" x14ac:dyDescent="0.25">
      <c r="C524"/>
      <c r="D524"/>
      <c r="E524"/>
      <c r="F524"/>
      <c r="G524"/>
      <c r="H524"/>
      <c r="I524"/>
      <c r="J524"/>
      <c r="K524"/>
      <c r="L524"/>
    </row>
    <row r="525" spans="3:12" x14ac:dyDescent="0.25">
      <c r="C525"/>
      <c r="D525"/>
      <c r="E525"/>
      <c r="F525"/>
      <c r="G525"/>
      <c r="H525"/>
      <c r="I525"/>
      <c r="J525"/>
      <c r="K525"/>
      <c r="L525"/>
    </row>
    <row r="526" spans="3:12" x14ac:dyDescent="0.25">
      <c r="C526"/>
      <c r="D526"/>
      <c r="E526"/>
      <c r="F526"/>
      <c r="G526"/>
      <c r="H526"/>
      <c r="I526"/>
      <c r="J526"/>
      <c r="K526"/>
      <c r="L526"/>
    </row>
    <row r="527" spans="3:12" x14ac:dyDescent="0.25">
      <c r="C527"/>
      <c r="D527"/>
      <c r="E527"/>
      <c r="F527"/>
      <c r="G527"/>
      <c r="H527"/>
      <c r="I527"/>
      <c r="J527"/>
      <c r="K527"/>
      <c r="L527"/>
    </row>
    <row r="528" spans="3:12" x14ac:dyDescent="0.25">
      <c r="C528"/>
      <c r="D528"/>
      <c r="E528"/>
      <c r="F528"/>
      <c r="G528"/>
      <c r="H528"/>
      <c r="I528"/>
      <c r="J528"/>
      <c r="K528"/>
      <c r="L528"/>
    </row>
    <row r="529" spans="3:12" x14ac:dyDescent="0.25">
      <c r="C529"/>
      <c r="D529"/>
      <c r="E529"/>
      <c r="F529"/>
      <c r="G529"/>
      <c r="H529"/>
      <c r="I529"/>
      <c r="J529"/>
      <c r="K529"/>
      <c r="L529"/>
    </row>
    <row r="530" spans="3:12" x14ac:dyDescent="0.25">
      <c r="C530"/>
      <c r="D530"/>
      <c r="E530"/>
      <c r="F530"/>
      <c r="G530"/>
      <c r="H530"/>
      <c r="I530"/>
      <c r="J530"/>
      <c r="K530"/>
      <c r="L530"/>
    </row>
    <row r="531" spans="3:12" x14ac:dyDescent="0.25">
      <c r="C531"/>
      <c r="D531"/>
      <c r="E531"/>
      <c r="F531"/>
      <c r="G531"/>
      <c r="H531"/>
      <c r="I531"/>
      <c r="J531"/>
      <c r="K531"/>
      <c r="L531"/>
    </row>
    <row r="532" spans="3:12" x14ac:dyDescent="0.25">
      <c r="C532"/>
      <c r="D532"/>
      <c r="E532"/>
      <c r="F532"/>
      <c r="G532"/>
      <c r="H532"/>
      <c r="I532"/>
      <c r="J532"/>
      <c r="K532"/>
      <c r="L532"/>
    </row>
    <row r="533" spans="3:12" x14ac:dyDescent="0.25">
      <c r="C533"/>
      <c r="D533"/>
      <c r="E533"/>
      <c r="F533"/>
      <c r="G533"/>
      <c r="H533"/>
      <c r="I533"/>
      <c r="J533"/>
      <c r="K533"/>
      <c r="L533"/>
    </row>
    <row r="534" spans="3:12" x14ac:dyDescent="0.25">
      <c r="C534"/>
      <c r="D534"/>
      <c r="E534"/>
      <c r="F534"/>
      <c r="G534"/>
      <c r="H534"/>
      <c r="I534"/>
      <c r="J534"/>
      <c r="K534"/>
      <c r="L534"/>
    </row>
    <row r="535" spans="3:12" x14ac:dyDescent="0.25">
      <c r="C535"/>
      <c r="D535"/>
      <c r="E535"/>
      <c r="F535"/>
      <c r="G535"/>
      <c r="H535"/>
      <c r="I535"/>
      <c r="J535"/>
      <c r="K535"/>
      <c r="L535"/>
    </row>
    <row r="536" spans="3:12" x14ac:dyDescent="0.25">
      <c r="C536"/>
      <c r="D536"/>
      <c r="E536"/>
      <c r="F536"/>
      <c r="G536"/>
      <c r="H536"/>
      <c r="I536"/>
      <c r="J536"/>
      <c r="K536"/>
      <c r="L536"/>
    </row>
    <row r="537" spans="3:12" x14ac:dyDescent="0.25">
      <c r="C537"/>
      <c r="D537"/>
      <c r="E537"/>
      <c r="F537"/>
      <c r="G537"/>
      <c r="H537"/>
      <c r="I537"/>
      <c r="J537"/>
      <c r="K537"/>
      <c r="L537"/>
    </row>
    <row r="538" spans="3:12" x14ac:dyDescent="0.25">
      <c r="C538"/>
      <c r="D538"/>
      <c r="E538"/>
      <c r="F538"/>
      <c r="G538"/>
      <c r="H538"/>
      <c r="I538"/>
      <c r="J538"/>
      <c r="K538"/>
      <c r="L538"/>
    </row>
    <row r="539" spans="3:12" x14ac:dyDescent="0.25">
      <c r="C539"/>
      <c r="D539"/>
      <c r="E539"/>
      <c r="F539"/>
      <c r="G539"/>
      <c r="H539"/>
      <c r="I539"/>
      <c r="J539"/>
      <c r="K539"/>
      <c r="L539"/>
    </row>
    <row r="540" spans="3:12" x14ac:dyDescent="0.25">
      <c r="C540"/>
      <c r="D540"/>
      <c r="E540"/>
      <c r="F540"/>
      <c r="G540"/>
      <c r="H540"/>
      <c r="I540"/>
      <c r="J540"/>
      <c r="K540"/>
      <c r="L540"/>
    </row>
    <row r="541" spans="3:12" x14ac:dyDescent="0.25">
      <c r="C541"/>
      <c r="D541"/>
      <c r="E541"/>
      <c r="F541"/>
      <c r="G541"/>
      <c r="H541"/>
      <c r="I541"/>
      <c r="J541"/>
      <c r="K541"/>
      <c r="L541"/>
    </row>
    <row r="542" spans="3:12" x14ac:dyDescent="0.25">
      <c r="C542"/>
      <c r="D542"/>
      <c r="E542"/>
      <c r="F542"/>
      <c r="G542"/>
      <c r="H542"/>
      <c r="I542"/>
      <c r="J542"/>
      <c r="K542"/>
      <c r="L542"/>
    </row>
    <row r="543" spans="3:12" x14ac:dyDescent="0.25">
      <c r="C543"/>
      <c r="D543"/>
      <c r="E543"/>
      <c r="F543"/>
      <c r="G543"/>
      <c r="H543"/>
      <c r="I543"/>
      <c r="J543"/>
      <c r="K543"/>
      <c r="L543"/>
    </row>
    <row r="544" spans="3:12" x14ac:dyDescent="0.25">
      <c r="C544"/>
      <c r="D544"/>
      <c r="E544"/>
      <c r="F544"/>
      <c r="G544"/>
      <c r="H544"/>
      <c r="I544"/>
      <c r="J544"/>
      <c r="K544"/>
      <c r="L544"/>
    </row>
    <row r="545" spans="3:12" x14ac:dyDescent="0.25">
      <c r="C545"/>
      <c r="D545"/>
      <c r="E545"/>
      <c r="F545"/>
      <c r="G545"/>
      <c r="H545"/>
      <c r="I545"/>
      <c r="J545"/>
      <c r="K545"/>
      <c r="L545"/>
    </row>
    <row r="546" spans="3:12" x14ac:dyDescent="0.25">
      <c r="C546"/>
      <c r="D546"/>
      <c r="E546"/>
      <c r="F546"/>
      <c r="G546"/>
      <c r="H546"/>
      <c r="I546"/>
      <c r="J546"/>
      <c r="K546"/>
      <c r="L546"/>
    </row>
    <row r="547" spans="3:12" x14ac:dyDescent="0.25">
      <c r="C547"/>
      <c r="D547"/>
      <c r="E547"/>
      <c r="F547"/>
      <c r="G547"/>
      <c r="H547"/>
      <c r="I547"/>
      <c r="J547"/>
      <c r="K547"/>
      <c r="L547"/>
    </row>
    <row r="548" spans="3:12" x14ac:dyDescent="0.25">
      <c r="C548"/>
      <c r="D548"/>
      <c r="E548"/>
      <c r="F548"/>
      <c r="G548"/>
      <c r="H548"/>
      <c r="I548"/>
      <c r="J548"/>
      <c r="K548"/>
      <c r="L548"/>
    </row>
    <row r="549" spans="3:12" x14ac:dyDescent="0.25">
      <c r="C549"/>
      <c r="D549"/>
      <c r="E549"/>
      <c r="F549"/>
      <c r="G549"/>
      <c r="H549"/>
      <c r="I549"/>
      <c r="J549"/>
      <c r="K549"/>
      <c r="L549"/>
    </row>
    <row r="550" spans="3:12" x14ac:dyDescent="0.25">
      <c r="C550"/>
      <c r="D550"/>
      <c r="E550"/>
      <c r="F550"/>
      <c r="G550"/>
      <c r="H550"/>
      <c r="I550"/>
      <c r="J550"/>
      <c r="K550"/>
      <c r="L550"/>
    </row>
    <row r="551" spans="3:12" x14ac:dyDescent="0.25">
      <c r="C551"/>
      <c r="D551"/>
      <c r="E551"/>
      <c r="F551"/>
      <c r="G551"/>
      <c r="H551"/>
      <c r="I551"/>
      <c r="J551"/>
      <c r="K551"/>
      <c r="L551"/>
    </row>
    <row r="552" spans="3:12" x14ac:dyDescent="0.25">
      <c r="C552"/>
      <c r="D552"/>
      <c r="E552"/>
      <c r="F552"/>
      <c r="G552"/>
      <c r="H552"/>
      <c r="I552"/>
      <c r="J552"/>
      <c r="K552"/>
      <c r="L552"/>
    </row>
    <row r="553" spans="3:12" x14ac:dyDescent="0.25">
      <c r="C553"/>
      <c r="D553"/>
      <c r="E553"/>
      <c r="F553"/>
      <c r="G553"/>
      <c r="H553"/>
      <c r="I553"/>
      <c r="J553"/>
      <c r="K553"/>
      <c r="L553"/>
    </row>
    <row r="554" spans="3:12" x14ac:dyDescent="0.25">
      <c r="C554"/>
      <c r="D554"/>
      <c r="E554"/>
      <c r="F554"/>
      <c r="G554"/>
      <c r="H554"/>
      <c r="I554"/>
      <c r="J554"/>
      <c r="K554"/>
      <c r="L554"/>
    </row>
    <row r="555" spans="3:12" x14ac:dyDescent="0.25">
      <c r="C555"/>
      <c r="D555"/>
      <c r="E555"/>
      <c r="F555"/>
      <c r="G555"/>
      <c r="H555"/>
      <c r="I555"/>
      <c r="J555"/>
      <c r="K555"/>
      <c r="L555"/>
    </row>
    <row r="556" spans="3:12" x14ac:dyDescent="0.25">
      <c r="C556"/>
      <c r="D556"/>
      <c r="E556"/>
      <c r="F556"/>
      <c r="G556"/>
      <c r="H556"/>
      <c r="I556"/>
      <c r="J556"/>
      <c r="K556"/>
      <c r="L556"/>
    </row>
    <row r="557" spans="3:12" x14ac:dyDescent="0.25">
      <c r="C557"/>
      <c r="D557"/>
      <c r="E557"/>
      <c r="F557"/>
      <c r="G557"/>
      <c r="H557"/>
      <c r="I557"/>
      <c r="J557"/>
      <c r="K557"/>
      <c r="L557"/>
    </row>
    <row r="558" spans="3:12" x14ac:dyDescent="0.25">
      <c r="C558"/>
      <c r="D558"/>
      <c r="E558"/>
      <c r="F558"/>
      <c r="G558"/>
      <c r="H558"/>
      <c r="I558"/>
      <c r="J558"/>
      <c r="K558"/>
      <c r="L558"/>
    </row>
    <row r="559" spans="3:12" x14ac:dyDescent="0.25">
      <c r="C559"/>
      <c r="D559"/>
      <c r="E559"/>
      <c r="F559"/>
      <c r="G559"/>
      <c r="H559"/>
      <c r="I559"/>
      <c r="J559"/>
      <c r="K559"/>
      <c r="L559"/>
    </row>
    <row r="560" spans="3:12" x14ac:dyDescent="0.25">
      <c r="C560"/>
      <c r="D560"/>
      <c r="E560"/>
      <c r="F560"/>
      <c r="G560"/>
      <c r="H560"/>
      <c r="I560"/>
      <c r="J560"/>
      <c r="K560"/>
      <c r="L560"/>
    </row>
    <row r="561" spans="3:15" x14ac:dyDescent="0.25">
      <c r="C561"/>
      <c r="D561"/>
      <c r="E561"/>
      <c r="F561"/>
      <c r="G561"/>
      <c r="H561"/>
      <c r="I561"/>
      <c r="J561"/>
      <c r="K561"/>
      <c r="L561"/>
    </row>
    <row r="562" spans="3:15" x14ac:dyDescent="0.25">
      <c r="C562"/>
      <c r="D562"/>
      <c r="E562"/>
      <c r="F562"/>
      <c r="G562"/>
      <c r="H562"/>
      <c r="I562"/>
      <c r="J562"/>
      <c r="K562"/>
      <c r="L562"/>
    </row>
    <row r="563" spans="3:15" x14ac:dyDescent="0.25">
      <c r="C563"/>
      <c r="D563"/>
      <c r="E563"/>
      <c r="F563"/>
      <c r="G563"/>
      <c r="H563"/>
      <c r="I563"/>
      <c r="J563"/>
      <c r="K563"/>
      <c r="L563"/>
    </row>
    <row r="564" spans="3:15" x14ac:dyDescent="0.25">
      <c r="C564"/>
      <c r="D564"/>
      <c r="E564"/>
      <c r="F564"/>
      <c r="G564"/>
      <c r="H564"/>
      <c r="I564"/>
      <c r="J564"/>
      <c r="K564"/>
      <c r="L564"/>
    </row>
    <row r="565" spans="3:15" x14ac:dyDescent="0.25">
      <c r="C565"/>
      <c r="D565"/>
      <c r="E565"/>
      <c r="F565"/>
      <c r="G565"/>
      <c r="H565"/>
      <c r="I565"/>
      <c r="J565"/>
      <c r="K565"/>
      <c r="L565"/>
    </row>
    <row r="566" spans="3:15" x14ac:dyDescent="0.25">
      <c r="C566"/>
      <c r="D566"/>
      <c r="E566"/>
      <c r="F566"/>
      <c r="G566"/>
      <c r="H566"/>
      <c r="I566"/>
      <c r="J566"/>
      <c r="K566"/>
      <c r="L566"/>
    </row>
    <row r="567" spans="3:15" x14ac:dyDescent="0.25">
      <c r="C567"/>
      <c r="D567"/>
      <c r="E567"/>
      <c r="F567"/>
      <c r="G567"/>
      <c r="H567"/>
      <c r="I567"/>
      <c r="J567"/>
      <c r="K567"/>
      <c r="L567"/>
    </row>
    <row r="568" spans="3:15" x14ac:dyDescent="0.25">
      <c r="C568"/>
      <c r="D568"/>
      <c r="E568"/>
      <c r="F568"/>
      <c r="G568"/>
      <c r="H568"/>
      <c r="I568"/>
      <c r="J568"/>
      <c r="K568"/>
      <c r="L568"/>
    </row>
    <row r="569" spans="3:15" x14ac:dyDescent="0.25">
      <c r="C569"/>
      <c r="D569"/>
      <c r="E569"/>
      <c r="F569"/>
      <c r="G569"/>
      <c r="H569"/>
      <c r="I569"/>
      <c r="J569"/>
      <c r="K569"/>
      <c r="L569"/>
    </row>
    <row r="570" spans="3:15" x14ac:dyDescent="0.25">
      <c r="C570"/>
      <c r="D570"/>
      <c r="E570"/>
      <c r="F570"/>
      <c r="G570"/>
      <c r="H570"/>
      <c r="I570"/>
      <c r="J570"/>
      <c r="K570"/>
      <c r="L570"/>
    </row>
    <row r="571" spans="3:15" x14ac:dyDescent="0.25">
      <c r="C571"/>
      <c r="D571"/>
      <c r="E571"/>
      <c r="F571"/>
      <c r="G571"/>
      <c r="H571"/>
      <c r="I571"/>
      <c r="J571"/>
      <c r="K571"/>
      <c r="L571"/>
    </row>
    <row r="572" spans="3:15" x14ac:dyDescent="0.25">
      <c r="C572"/>
      <c r="D572"/>
      <c r="E572"/>
      <c r="F572"/>
      <c r="G572"/>
      <c r="H572"/>
      <c r="I572"/>
      <c r="J572"/>
      <c r="K572"/>
      <c r="L572"/>
    </row>
    <row r="573" spans="3:15" x14ac:dyDescent="0.25">
      <c r="C573"/>
      <c r="D573"/>
      <c r="E573"/>
      <c r="F573"/>
      <c r="G573"/>
      <c r="H573"/>
      <c r="I573"/>
      <c r="J573"/>
      <c r="K573"/>
      <c r="L573"/>
    </row>
    <row r="574" spans="3:15" x14ac:dyDescent="0.25">
      <c r="C574"/>
      <c r="D574"/>
      <c r="E574"/>
      <c r="F574"/>
      <c r="G574"/>
      <c r="H574"/>
      <c r="I574"/>
      <c r="J574"/>
      <c r="K574"/>
      <c r="L574"/>
    </row>
    <row r="575" spans="3:15" x14ac:dyDescent="0.25">
      <c r="C575"/>
      <c r="D575"/>
      <c r="E575"/>
      <c r="F575"/>
      <c r="G575"/>
      <c r="H575"/>
      <c r="I575"/>
      <c r="J575"/>
      <c r="K575"/>
      <c r="L575"/>
    </row>
    <row r="576" spans="3:15" x14ac:dyDescent="0.25">
      <c r="C576"/>
      <c r="D576"/>
      <c r="E576"/>
      <c r="F576"/>
      <c r="G576"/>
      <c r="H576"/>
      <c r="I576"/>
      <c r="J576"/>
      <c r="K576"/>
      <c r="L576"/>
      <c r="O576"/>
    </row>
    <row r="577" spans="1:22" x14ac:dyDescent="0.25">
      <c r="C577"/>
      <c r="D577"/>
      <c r="E577"/>
      <c r="F577"/>
      <c r="G577"/>
      <c r="H577"/>
      <c r="I577"/>
      <c r="J577"/>
      <c r="K577"/>
      <c r="L577"/>
      <c r="O577"/>
    </row>
    <row r="578" spans="1:22" x14ac:dyDescent="0.25">
      <c r="A578"/>
      <c r="C578"/>
      <c r="D578"/>
      <c r="E578"/>
      <c r="F578"/>
      <c r="G578"/>
      <c r="H578"/>
      <c r="I578"/>
      <c r="J578"/>
      <c r="K578"/>
      <c r="L578"/>
      <c r="O578"/>
    </row>
    <row r="579" spans="1:22" x14ac:dyDescent="0.25">
      <c r="A579"/>
      <c r="C579"/>
      <c r="D579"/>
      <c r="E579"/>
      <c r="F579"/>
      <c r="G579"/>
      <c r="H579"/>
      <c r="I579"/>
      <c r="J579"/>
      <c r="K579"/>
      <c r="L579"/>
      <c r="O579"/>
    </row>
    <row r="580" spans="1:22" x14ac:dyDescent="0.25">
      <c r="A580"/>
      <c r="C580"/>
      <c r="D580"/>
      <c r="E580"/>
      <c r="F580"/>
      <c r="G580"/>
      <c r="H580"/>
      <c r="I580"/>
      <c r="J580"/>
      <c r="K580"/>
      <c r="L580"/>
      <c r="O580"/>
    </row>
    <row r="581" spans="1:22" x14ac:dyDescent="0.25">
      <c r="A581"/>
      <c r="C581"/>
      <c r="D581"/>
      <c r="E581"/>
      <c r="F581"/>
      <c r="G581"/>
      <c r="H581"/>
      <c r="I581"/>
      <c r="J581"/>
      <c r="K581"/>
      <c r="L581"/>
      <c r="O581"/>
      <c r="P581"/>
      <c r="Q581"/>
      <c r="R581"/>
      <c r="S581"/>
      <c r="T581"/>
      <c r="U581"/>
      <c r="V581"/>
    </row>
    <row r="582" spans="1:22" x14ac:dyDescent="0.25">
      <c r="A582"/>
      <c r="C582"/>
      <c r="D582"/>
      <c r="E582"/>
      <c r="F582"/>
      <c r="G582"/>
      <c r="H582"/>
      <c r="I582"/>
      <c r="J582"/>
      <c r="K582"/>
      <c r="L582"/>
      <c r="O582"/>
      <c r="P582"/>
      <c r="Q582"/>
      <c r="R582"/>
      <c r="S582"/>
      <c r="T582"/>
      <c r="U582"/>
      <c r="V582"/>
    </row>
    <row r="583" spans="1:22" x14ac:dyDescent="0.25">
      <c r="A583"/>
      <c r="C583" s="11"/>
      <c r="D583" s="11"/>
      <c r="E583" s="11"/>
      <c r="O583"/>
      <c r="P583"/>
      <c r="Q583"/>
      <c r="R583"/>
      <c r="S583"/>
      <c r="T583"/>
      <c r="U583"/>
      <c r="V583"/>
    </row>
    <row r="584" spans="1:22" x14ac:dyDescent="0.25">
      <c r="A584"/>
      <c r="B584"/>
      <c r="C584"/>
      <c r="D584"/>
      <c r="E584"/>
      <c r="F584"/>
      <c r="G584"/>
      <c r="H584"/>
      <c r="I584"/>
      <c r="J584"/>
      <c r="K584"/>
      <c r="L584"/>
      <c r="M584"/>
      <c r="N584"/>
      <c r="O584"/>
      <c r="P584"/>
      <c r="Q584"/>
      <c r="R584"/>
      <c r="S584"/>
      <c r="T584"/>
      <c r="U584"/>
      <c r="V584"/>
    </row>
    <row r="585" spans="1:22" x14ac:dyDescent="0.25">
      <c r="A585"/>
      <c r="B585"/>
      <c r="C585"/>
      <c r="D585"/>
      <c r="E585"/>
      <c r="F585"/>
      <c r="G585"/>
      <c r="H585"/>
      <c r="I585"/>
      <c r="J585"/>
      <c r="K585"/>
      <c r="L585"/>
      <c r="M585"/>
      <c r="N585"/>
      <c r="O585"/>
      <c r="P585"/>
      <c r="Q585"/>
      <c r="R585"/>
      <c r="S585"/>
      <c r="T585"/>
      <c r="U585"/>
      <c r="V585"/>
    </row>
    <row r="586" spans="1:22" x14ac:dyDescent="0.25">
      <c r="A586"/>
      <c r="B586"/>
      <c r="C586"/>
      <c r="D586"/>
      <c r="E586"/>
      <c r="F586"/>
      <c r="G586"/>
      <c r="H586"/>
      <c r="I586"/>
      <c r="J586"/>
      <c r="K586"/>
      <c r="L586"/>
      <c r="M586"/>
      <c r="N586"/>
      <c r="O586"/>
      <c r="P586"/>
      <c r="Q586"/>
      <c r="R586"/>
      <c r="S586"/>
      <c r="T586"/>
      <c r="U586"/>
      <c r="V586"/>
    </row>
    <row r="587" spans="1:22" x14ac:dyDescent="0.25">
      <c r="A587"/>
      <c r="B587" s="29" t="s">
        <v>3</v>
      </c>
      <c r="C587" t="s">
        <v>262</v>
      </c>
      <c r="E587"/>
      <c r="F587"/>
      <c r="G587"/>
      <c r="H587"/>
      <c r="I587"/>
      <c r="J587"/>
      <c r="K587"/>
      <c r="L587"/>
      <c r="M587"/>
      <c r="N587"/>
      <c r="O587"/>
      <c r="P587"/>
      <c r="Q587"/>
      <c r="R587"/>
      <c r="S587"/>
      <c r="T587"/>
      <c r="U587"/>
      <c r="V587"/>
    </row>
    <row r="588" spans="1:22" x14ac:dyDescent="0.25">
      <c r="A588"/>
      <c r="E588"/>
      <c r="F588"/>
      <c r="G588"/>
      <c r="H588"/>
      <c r="I588"/>
      <c r="J588"/>
      <c r="K588"/>
      <c r="L588"/>
      <c r="M588"/>
      <c r="N588"/>
      <c r="O588"/>
      <c r="P588"/>
      <c r="Q588"/>
      <c r="R588"/>
      <c r="S588"/>
      <c r="T588"/>
      <c r="U588"/>
      <c r="V588"/>
    </row>
    <row r="589" spans="1:22" x14ac:dyDescent="0.25">
      <c r="A589"/>
      <c r="B589" s="29" t="s">
        <v>651</v>
      </c>
      <c r="C589" s="29" t="s">
        <v>249</v>
      </c>
      <c r="D589"/>
      <c r="E589"/>
      <c r="F589"/>
      <c r="G589"/>
      <c r="H589"/>
      <c r="I589"/>
      <c r="J589"/>
      <c r="K589"/>
      <c r="L589"/>
      <c r="M589"/>
      <c r="N589"/>
      <c r="O589"/>
      <c r="P589"/>
      <c r="Q589"/>
      <c r="R589"/>
      <c r="S589"/>
      <c r="T589"/>
      <c r="U589"/>
      <c r="V589"/>
    </row>
    <row r="590" spans="1:22" x14ac:dyDescent="0.25">
      <c r="A590"/>
      <c r="B590" s="29" t="s">
        <v>237</v>
      </c>
      <c r="C590" t="s">
        <v>652</v>
      </c>
      <c r="D590" t="s">
        <v>653</v>
      </c>
      <c r="E590" t="s">
        <v>73</v>
      </c>
      <c r="F590"/>
      <c r="G590"/>
      <c r="H590"/>
      <c r="I590"/>
      <c r="J590"/>
      <c r="K590"/>
      <c r="L590"/>
      <c r="M590"/>
      <c r="N590"/>
      <c r="O590"/>
      <c r="P590"/>
      <c r="Q590"/>
      <c r="R590"/>
      <c r="S590"/>
      <c r="T590"/>
      <c r="U590"/>
      <c r="V590"/>
    </row>
    <row r="591" spans="1:22" x14ac:dyDescent="0.25">
      <c r="A591"/>
      <c r="B591" s="26" t="s">
        <v>214</v>
      </c>
      <c r="C591" s="283">
        <v>130</v>
      </c>
      <c r="D591" s="283">
        <v>13</v>
      </c>
      <c r="E591" s="283">
        <v>143</v>
      </c>
      <c r="F591"/>
      <c r="G591"/>
      <c r="H591"/>
      <c r="I591"/>
      <c r="J591"/>
      <c r="K591"/>
      <c r="L591"/>
      <c r="M591"/>
      <c r="N591"/>
      <c r="O591"/>
      <c r="P591"/>
      <c r="Q591"/>
      <c r="R591"/>
      <c r="S591"/>
      <c r="T591"/>
      <c r="U591"/>
      <c r="V591"/>
    </row>
    <row r="592" spans="1:22" x14ac:dyDescent="0.25">
      <c r="A592"/>
      <c r="B592" s="26" t="s">
        <v>222</v>
      </c>
      <c r="C592" s="283">
        <v>24</v>
      </c>
      <c r="D592" s="283">
        <v>1</v>
      </c>
      <c r="E592" s="283">
        <v>25</v>
      </c>
      <c r="F592"/>
      <c r="G592"/>
      <c r="H592"/>
      <c r="I592"/>
      <c r="J592"/>
      <c r="K592"/>
      <c r="L592"/>
      <c r="M592"/>
      <c r="N592"/>
      <c r="O592"/>
      <c r="P592"/>
      <c r="Q592"/>
      <c r="R592"/>
      <c r="S592"/>
      <c r="T592"/>
      <c r="U592"/>
      <c r="V592"/>
    </row>
    <row r="593" spans="1:22" x14ac:dyDescent="0.25">
      <c r="A593"/>
      <c r="B593" s="26" t="s">
        <v>73</v>
      </c>
      <c r="C593" s="283">
        <v>154</v>
      </c>
      <c r="D593" s="283">
        <v>14</v>
      </c>
      <c r="E593" s="283">
        <v>168</v>
      </c>
      <c r="F593"/>
      <c r="G593"/>
      <c r="H593"/>
      <c r="I593"/>
      <c r="J593"/>
      <c r="K593"/>
      <c r="L593"/>
      <c r="M593"/>
      <c r="N593"/>
      <c r="O593"/>
      <c r="P593"/>
      <c r="Q593"/>
      <c r="R593"/>
      <c r="S593"/>
      <c r="T593"/>
      <c r="U593"/>
      <c r="V593"/>
    </row>
    <row r="594" spans="1:22" x14ac:dyDescent="0.25">
      <c r="A594"/>
      <c r="B594"/>
      <c r="C594"/>
      <c r="D594"/>
      <c r="E594"/>
      <c r="F594"/>
      <c r="G594"/>
      <c r="H594"/>
      <c r="I594"/>
      <c r="J594"/>
      <c r="K594"/>
      <c r="L594"/>
      <c r="M594"/>
      <c r="N594"/>
      <c r="O594"/>
      <c r="P594"/>
      <c r="Q594"/>
      <c r="R594"/>
      <c r="S594"/>
      <c r="T594"/>
      <c r="U594"/>
      <c r="V594"/>
    </row>
    <row r="595" spans="1:22" x14ac:dyDescent="0.25">
      <c r="A595"/>
      <c r="B595"/>
      <c r="C595"/>
      <c r="D595"/>
      <c r="E595"/>
      <c r="F595"/>
      <c r="G595"/>
      <c r="H595"/>
      <c r="I595"/>
      <c r="J595"/>
      <c r="K595"/>
      <c r="L595"/>
      <c r="M595"/>
      <c r="N595"/>
      <c r="O595"/>
      <c r="P595"/>
      <c r="Q595"/>
      <c r="R595"/>
      <c r="S595"/>
      <c r="T595"/>
      <c r="U595"/>
      <c r="V595"/>
    </row>
    <row r="596" spans="1:22" x14ac:dyDescent="0.25">
      <c r="A596"/>
      <c r="B596"/>
      <c r="C596"/>
      <c r="D596"/>
      <c r="E596"/>
      <c r="F596"/>
      <c r="G596"/>
      <c r="H596"/>
      <c r="I596"/>
      <c r="J596"/>
      <c r="K596"/>
      <c r="L596"/>
      <c r="M596"/>
      <c r="N596"/>
      <c r="O596"/>
      <c r="P596"/>
      <c r="Q596"/>
      <c r="R596"/>
      <c r="S596"/>
      <c r="T596"/>
      <c r="U596"/>
      <c r="V596"/>
    </row>
    <row r="597" spans="1:22" x14ac:dyDescent="0.25">
      <c r="A597"/>
      <c r="B597"/>
      <c r="C597"/>
      <c r="D597"/>
      <c r="E597"/>
      <c r="F597"/>
      <c r="G597"/>
      <c r="H597"/>
      <c r="I597"/>
      <c r="J597"/>
      <c r="K597"/>
      <c r="L597"/>
      <c r="M597"/>
      <c r="N597"/>
      <c r="O597"/>
      <c r="P597"/>
      <c r="Q597"/>
      <c r="R597"/>
      <c r="S597"/>
      <c r="T597"/>
      <c r="U597"/>
      <c r="V597"/>
    </row>
    <row r="598" spans="1:22" x14ac:dyDescent="0.25">
      <c r="A598"/>
      <c r="B598"/>
      <c r="C598"/>
      <c r="D598"/>
      <c r="E598"/>
      <c r="F598"/>
      <c r="G598"/>
      <c r="H598"/>
      <c r="I598"/>
      <c r="J598"/>
      <c r="K598"/>
      <c r="L598"/>
      <c r="M598"/>
      <c r="N598"/>
      <c r="O598"/>
      <c r="P598"/>
      <c r="Q598"/>
      <c r="R598"/>
      <c r="S598"/>
      <c r="T598"/>
      <c r="U598"/>
      <c r="V598"/>
    </row>
    <row r="599" spans="1:22" x14ac:dyDescent="0.25">
      <c r="A599"/>
      <c r="B599"/>
      <c r="C599"/>
      <c r="D599"/>
      <c r="E599"/>
      <c r="F599"/>
      <c r="G599"/>
      <c r="H599"/>
      <c r="I599"/>
      <c r="J599"/>
      <c r="K599"/>
      <c r="L599"/>
      <c r="M599"/>
      <c r="N599"/>
      <c r="O599"/>
      <c r="P599"/>
      <c r="Q599"/>
      <c r="R599"/>
      <c r="S599"/>
      <c r="T599"/>
      <c r="U599"/>
      <c r="V599"/>
    </row>
    <row r="600" spans="1:22" x14ac:dyDescent="0.25">
      <c r="A600"/>
      <c r="B600"/>
      <c r="C600"/>
      <c r="D600"/>
      <c r="E600"/>
      <c r="F600"/>
      <c r="G600"/>
      <c r="H600"/>
      <c r="I600"/>
      <c r="J600"/>
      <c r="K600"/>
      <c r="L600"/>
      <c r="M600"/>
      <c r="N600"/>
      <c r="O600"/>
      <c r="P600"/>
      <c r="Q600"/>
      <c r="R600"/>
      <c r="S600"/>
      <c r="T600"/>
      <c r="U600"/>
      <c r="V600"/>
    </row>
    <row r="601" spans="1:22" x14ac:dyDescent="0.25">
      <c r="A601"/>
      <c r="B601"/>
      <c r="C601"/>
      <c r="D601"/>
      <c r="E601"/>
      <c r="F601"/>
      <c r="G601"/>
      <c r="H601"/>
      <c r="I601"/>
      <c r="J601"/>
      <c r="K601"/>
      <c r="L601"/>
      <c r="M601"/>
      <c r="N601"/>
      <c r="O601"/>
      <c r="P601"/>
      <c r="Q601"/>
      <c r="R601"/>
      <c r="S601"/>
      <c r="T601"/>
      <c r="U601"/>
      <c r="V601"/>
    </row>
    <row r="602" spans="1:22" x14ac:dyDescent="0.25">
      <c r="A602"/>
      <c r="B602"/>
      <c r="C602"/>
      <c r="D602"/>
      <c r="E602"/>
      <c r="F602"/>
      <c r="G602"/>
      <c r="H602"/>
      <c r="I602"/>
      <c r="J602"/>
      <c r="K602"/>
      <c r="L602"/>
      <c r="M602"/>
      <c r="N602"/>
      <c r="O602"/>
      <c r="P602"/>
      <c r="Q602"/>
      <c r="R602"/>
      <c r="S602"/>
      <c r="T602"/>
      <c r="U602"/>
      <c r="V602"/>
    </row>
    <row r="603" spans="1:22" x14ac:dyDescent="0.25">
      <c r="A603"/>
      <c r="B603"/>
      <c r="C603"/>
      <c r="D603"/>
      <c r="E603"/>
      <c r="F603"/>
      <c r="G603"/>
      <c r="H603"/>
      <c r="I603"/>
      <c r="J603"/>
      <c r="K603"/>
      <c r="L603"/>
      <c r="M603"/>
      <c r="N603"/>
      <c r="O603"/>
      <c r="P603"/>
      <c r="Q603"/>
      <c r="R603"/>
      <c r="S603"/>
      <c r="T603"/>
      <c r="U603"/>
      <c r="V603"/>
    </row>
    <row r="604" spans="1:22" x14ac:dyDescent="0.25">
      <c r="A604"/>
      <c r="B604"/>
      <c r="C604"/>
      <c r="D604"/>
      <c r="E604"/>
      <c r="F604"/>
      <c r="G604"/>
      <c r="H604"/>
      <c r="I604"/>
      <c r="J604"/>
      <c r="K604"/>
      <c r="L604"/>
      <c r="M604"/>
      <c r="N604"/>
      <c r="O604"/>
      <c r="P604"/>
      <c r="Q604"/>
      <c r="R604"/>
      <c r="S604"/>
      <c r="T604"/>
      <c r="U604"/>
      <c r="V604"/>
    </row>
    <row r="605" spans="1:22" x14ac:dyDescent="0.25">
      <c r="A605"/>
      <c r="B605"/>
      <c r="C605"/>
      <c r="D605"/>
      <c r="E605"/>
      <c r="F605"/>
      <c r="G605"/>
      <c r="H605"/>
      <c r="I605"/>
      <c r="J605"/>
      <c r="K605"/>
      <c r="L605"/>
      <c r="M605"/>
      <c r="N605"/>
      <c r="O605"/>
      <c r="P605"/>
      <c r="Q605"/>
      <c r="R605"/>
      <c r="S605"/>
      <c r="T605"/>
      <c r="U605"/>
      <c r="V605"/>
    </row>
    <row r="606" spans="1:22" x14ac:dyDescent="0.25">
      <c r="A606"/>
      <c r="B606"/>
      <c r="C606"/>
      <c r="D606"/>
      <c r="E606"/>
      <c r="F606"/>
      <c r="G606"/>
      <c r="H606"/>
      <c r="I606"/>
      <c r="J606"/>
      <c r="K606"/>
      <c r="L606"/>
      <c r="M606"/>
      <c r="N606"/>
      <c r="O606"/>
      <c r="P606"/>
      <c r="Q606"/>
      <c r="R606"/>
      <c r="S606"/>
      <c r="T606"/>
      <c r="U606"/>
      <c r="V606"/>
    </row>
    <row r="607" spans="1:22" x14ac:dyDescent="0.25">
      <c r="A607"/>
      <c r="B607" s="29" t="s">
        <v>3</v>
      </c>
      <c r="C607" t="s">
        <v>262</v>
      </c>
      <c r="D607"/>
      <c r="E607"/>
      <c r="F607"/>
      <c r="G607"/>
      <c r="H607"/>
      <c r="I607"/>
      <c r="J607"/>
      <c r="K607"/>
      <c r="L607"/>
      <c r="M607"/>
      <c r="N607"/>
      <c r="O607"/>
      <c r="P607"/>
      <c r="Q607"/>
      <c r="R607"/>
      <c r="S607"/>
      <c r="T607"/>
      <c r="U607"/>
      <c r="V607"/>
    </row>
    <row r="608" spans="1:22" x14ac:dyDescent="0.25">
      <c r="A608"/>
      <c r="B608" s="29" t="s">
        <v>4</v>
      </c>
      <c r="C608" t="s">
        <v>74</v>
      </c>
      <c r="E608"/>
      <c r="F608"/>
      <c r="G608"/>
      <c r="H608"/>
      <c r="I608"/>
      <c r="J608"/>
      <c r="K608"/>
      <c r="L608"/>
      <c r="M608"/>
      <c r="N608"/>
      <c r="O608"/>
      <c r="P608"/>
      <c r="Q608"/>
      <c r="R608"/>
      <c r="S608"/>
      <c r="T608"/>
      <c r="U608"/>
      <c r="V608"/>
    </row>
    <row r="609" spans="1:22" x14ac:dyDescent="0.25">
      <c r="A609"/>
      <c r="E609"/>
      <c r="F609"/>
      <c r="G609"/>
      <c r="H609"/>
      <c r="I609"/>
      <c r="J609"/>
      <c r="K609"/>
      <c r="L609"/>
      <c r="M609"/>
      <c r="N609"/>
      <c r="O609"/>
      <c r="P609"/>
      <c r="Q609"/>
      <c r="R609"/>
      <c r="S609"/>
      <c r="T609"/>
      <c r="U609"/>
      <c r="V609"/>
    </row>
    <row r="610" spans="1:22" x14ac:dyDescent="0.25">
      <c r="A610"/>
      <c r="B610" s="29" t="s">
        <v>651</v>
      </c>
      <c r="C610" s="29" t="s">
        <v>249</v>
      </c>
      <c r="D610"/>
      <c r="E610"/>
      <c r="F610"/>
      <c r="G610"/>
      <c r="H610"/>
      <c r="I610"/>
      <c r="J610"/>
      <c r="K610"/>
      <c r="L610"/>
      <c r="M610"/>
      <c r="N610"/>
      <c r="O610"/>
      <c r="P610"/>
      <c r="Q610"/>
      <c r="R610"/>
      <c r="S610"/>
      <c r="T610"/>
      <c r="U610"/>
      <c r="V610"/>
    </row>
    <row r="611" spans="1:22" x14ac:dyDescent="0.25">
      <c r="A611"/>
      <c r="B611" s="29" t="s">
        <v>237</v>
      </c>
      <c r="C611" t="s">
        <v>652</v>
      </c>
      <c r="D611" t="s">
        <v>653</v>
      </c>
      <c r="E611" t="s">
        <v>73</v>
      </c>
      <c r="F611"/>
      <c r="G611"/>
      <c r="H611"/>
      <c r="I611"/>
      <c r="J611"/>
      <c r="K611"/>
      <c r="L611"/>
      <c r="M611"/>
      <c r="N611"/>
      <c r="O611"/>
      <c r="P611"/>
      <c r="Q611"/>
      <c r="R611"/>
      <c r="S611"/>
      <c r="T611"/>
      <c r="U611"/>
      <c r="V611"/>
    </row>
    <row r="612" spans="1:22" x14ac:dyDescent="0.25">
      <c r="A612"/>
      <c r="B612" s="26" t="s">
        <v>257</v>
      </c>
      <c r="C612" s="283">
        <v>21</v>
      </c>
      <c r="D612" s="283">
        <v>1</v>
      </c>
      <c r="E612" s="283">
        <v>22</v>
      </c>
      <c r="F612"/>
      <c r="G612"/>
      <c r="H612"/>
      <c r="I612"/>
      <c r="J612"/>
      <c r="K612"/>
      <c r="L612"/>
      <c r="M612"/>
      <c r="N612"/>
      <c r="O612"/>
      <c r="P612"/>
      <c r="Q612"/>
      <c r="R612"/>
      <c r="S612"/>
      <c r="T612"/>
      <c r="U612"/>
      <c r="V612"/>
    </row>
    <row r="613" spans="1:22" x14ac:dyDescent="0.25">
      <c r="A613"/>
      <c r="B613" s="26" t="s">
        <v>258</v>
      </c>
      <c r="C613" s="283">
        <v>40</v>
      </c>
      <c r="D613" s="283"/>
      <c r="E613" s="283">
        <v>40</v>
      </c>
      <c r="F613"/>
      <c r="G613"/>
      <c r="H613"/>
      <c r="I613"/>
      <c r="J613"/>
      <c r="K613"/>
      <c r="L613"/>
      <c r="M613"/>
      <c r="N613"/>
      <c r="O613"/>
      <c r="P613"/>
      <c r="Q613"/>
      <c r="R613"/>
      <c r="S613"/>
      <c r="T613"/>
      <c r="U613"/>
      <c r="V613"/>
    </row>
    <row r="614" spans="1:22" x14ac:dyDescent="0.25">
      <c r="A614"/>
      <c r="B614" s="26" t="s">
        <v>259</v>
      </c>
      <c r="C614" s="283">
        <v>6</v>
      </c>
      <c r="D614" s="283">
        <v>2</v>
      </c>
      <c r="E614" s="283">
        <v>8</v>
      </c>
      <c r="F614"/>
      <c r="G614"/>
      <c r="H614"/>
      <c r="I614"/>
      <c r="J614"/>
      <c r="K614"/>
      <c r="L614"/>
      <c r="M614"/>
      <c r="N614"/>
      <c r="O614"/>
      <c r="P614"/>
      <c r="Q614"/>
      <c r="R614"/>
      <c r="S614"/>
      <c r="T614"/>
      <c r="U614"/>
      <c r="V614"/>
    </row>
    <row r="615" spans="1:22" x14ac:dyDescent="0.25">
      <c r="A615"/>
      <c r="B615" s="26" t="s">
        <v>260</v>
      </c>
      <c r="C615" s="283">
        <v>24</v>
      </c>
      <c r="D615" s="283">
        <v>7</v>
      </c>
      <c r="E615" s="283">
        <v>31</v>
      </c>
      <c r="F615"/>
      <c r="G615"/>
      <c r="H615"/>
      <c r="I615"/>
      <c r="J615"/>
      <c r="K615"/>
      <c r="L615"/>
      <c r="M615"/>
      <c r="N615"/>
      <c r="O615"/>
      <c r="P615"/>
      <c r="Q615"/>
      <c r="R615"/>
      <c r="S615"/>
      <c r="T615"/>
      <c r="U615"/>
      <c r="V615"/>
    </row>
    <row r="616" spans="1:22" x14ac:dyDescent="0.25">
      <c r="A616"/>
      <c r="B616" s="26" t="s">
        <v>261</v>
      </c>
      <c r="C616" s="283">
        <v>12</v>
      </c>
      <c r="D616" s="283"/>
      <c r="E616" s="283">
        <v>12</v>
      </c>
      <c r="F616"/>
      <c r="G616"/>
      <c r="H616"/>
      <c r="I616"/>
      <c r="J616"/>
      <c r="K616"/>
      <c r="L616"/>
      <c r="M616"/>
      <c r="N616"/>
      <c r="O616"/>
      <c r="P616"/>
      <c r="Q616"/>
      <c r="R616"/>
      <c r="S616"/>
      <c r="T616"/>
      <c r="U616"/>
      <c r="V616"/>
    </row>
    <row r="617" spans="1:22" x14ac:dyDescent="0.25">
      <c r="A617"/>
      <c r="B617" s="26" t="s">
        <v>266</v>
      </c>
      <c r="C617" s="283">
        <v>20</v>
      </c>
      <c r="D617" s="283"/>
      <c r="E617" s="283">
        <v>20</v>
      </c>
      <c r="F617"/>
      <c r="G617"/>
      <c r="H617"/>
      <c r="I617"/>
      <c r="J617"/>
      <c r="K617"/>
      <c r="L617"/>
      <c r="M617"/>
      <c r="N617"/>
      <c r="O617"/>
      <c r="P617"/>
      <c r="Q617"/>
      <c r="R617"/>
      <c r="S617"/>
      <c r="T617"/>
      <c r="U617"/>
      <c r="V617"/>
    </row>
    <row r="618" spans="1:22" x14ac:dyDescent="0.25">
      <c r="A618"/>
      <c r="B618" s="26" t="s">
        <v>267</v>
      </c>
      <c r="C618" s="283">
        <v>12</v>
      </c>
      <c r="D618" s="283"/>
      <c r="E618" s="283">
        <v>12</v>
      </c>
      <c r="F618"/>
      <c r="G618"/>
      <c r="H618"/>
      <c r="I618"/>
      <c r="J618"/>
      <c r="K618"/>
      <c r="L618"/>
      <c r="M618"/>
      <c r="N618"/>
      <c r="O618"/>
      <c r="P618"/>
      <c r="Q618"/>
      <c r="R618"/>
      <c r="S618"/>
      <c r="T618"/>
      <c r="U618"/>
      <c r="V618"/>
    </row>
    <row r="619" spans="1:22" x14ac:dyDescent="0.25">
      <c r="A619"/>
      <c r="B619" s="26" t="s">
        <v>268</v>
      </c>
      <c r="C619" s="283">
        <v>9</v>
      </c>
      <c r="D619" s="283"/>
      <c r="E619" s="283">
        <v>9</v>
      </c>
      <c r="F619"/>
      <c r="G619"/>
      <c r="H619"/>
      <c r="I619"/>
      <c r="J619"/>
      <c r="K619"/>
      <c r="L619"/>
      <c r="M619"/>
      <c r="N619"/>
      <c r="O619"/>
      <c r="P619"/>
      <c r="Q619"/>
      <c r="R619"/>
      <c r="S619"/>
      <c r="T619"/>
      <c r="U619"/>
      <c r="V619"/>
    </row>
    <row r="620" spans="1:22" x14ac:dyDescent="0.25">
      <c r="A620"/>
      <c r="B620" s="26" t="s">
        <v>269</v>
      </c>
      <c r="C620" s="283">
        <v>4</v>
      </c>
      <c r="D620" s="283">
        <v>1</v>
      </c>
      <c r="E620" s="283">
        <v>5</v>
      </c>
      <c r="F620"/>
      <c r="G620"/>
      <c r="H620"/>
      <c r="I620"/>
      <c r="J620"/>
      <c r="K620"/>
      <c r="L620"/>
      <c r="M620"/>
      <c r="N620"/>
      <c r="O620"/>
      <c r="P620"/>
      <c r="Q620"/>
      <c r="R620"/>
      <c r="S620"/>
      <c r="T620"/>
      <c r="U620"/>
      <c r="V620"/>
    </row>
    <row r="621" spans="1:22" x14ac:dyDescent="0.25">
      <c r="A621"/>
      <c r="B621" s="26" t="s">
        <v>314</v>
      </c>
      <c r="C621" s="283">
        <v>6</v>
      </c>
      <c r="D621" s="283">
        <v>3</v>
      </c>
      <c r="E621" s="283">
        <v>9</v>
      </c>
      <c r="F621"/>
      <c r="G621"/>
      <c r="H621"/>
      <c r="I621"/>
      <c r="J621"/>
      <c r="K621"/>
      <c r="L621"/>
      <c r="M621"/>
      <c r="N621"/>
      <c r="O621"/>
      <c r="P621"/>
      <c r="Q621"/>
      <c r="R621"/>
      <c r="S621"/>
      <c r="T621"/>
      <c r="U621"/>
      <c r="V621"/>
    </row>
    <row r="622" spans="1:22" x14ac:dyDescent="0.25">
      <c r="A622"/>
      <c r="B622" s="26" t="s">
        <v>73</v>
      </c>
      <c r="C622" s="283">
        <v>154</v>
      </c>
      <c r="D622" s="283">
        <v>14</v>
      </c>
      <c r="E622" s="283">
        <v>168</v>
      </c>
      <c r="F622"/>
      <c r="G622"/>
      <c r="H622"/>
      <c r="I622"/>
      <c r="J622"/>
      <c r="K622"/>
      <c r="L622"/>
      <c r="M622"/>
      <c r="N622"/>
      <c r="O622"/>
      <c r="P622"/>
      <c r="Q622"/>
      <c r="R622"/>
      <c r="S622"/>
      <c r="T622"/>
      <c r="U622"/>
      <c r="V622"/>
    </row>
    <row r="623" spans="1:22" x14ac:dyDescent="0.25">
      <c r="A623"/>
      <c r="B623"/>
      <c r="C623"/>
      <c r="D623"/>
      <c r="E623"/>
      <c r="F623"/>
      <c r="G623"/>
      <c r="H623"/>
      <c r="I623"/>
      <c r="J623"/>
      <c r="K623"/>
      <c r="L623"/>
      <c r="M623"/>
      <c r="N623"/>
      <c r="O623"/>
      <c r="P623"/>
      <c r="Q623"/>
      <c r="R623"/>
      <c r="S623"/>
      <c r="T623"/>
      <c r="U623"/>
      <c r="V623"/>
    </row>
    <row r="624" spans="1:22" x14ac:dyDescent="0.25">
      <c r="A624"/>
      <c r="B624"/>
      <c r="C624"/>
      <c r="D624"/>
      <c r="E624"/>
      <c r="F624"/>
      <c r="G624"/>
      <c r="H624"/>
      <c r="I624"/>
      <c r="J624"/>
      <c r="K624"/>
      <c r="L624"/>
      <c r="M624"/>
      <c r="N624"/>
      <c r="O624"/>
      <c r="P624"/>
      <c r="Q624"/>
      <c r="R624"/>
      <c r="S624"/>
      <c r="T624"/>
      <c r="U624"/>
      <c r="V624"/>
    </row>
    <row r="625" spans="1:22" x14ac:dyDescent="0.25">
      <c r="A625"/>
      <c r="B625"/>
      <c r="C625"/>
      <c r="D625"/>
      <c r="E625"/>
      <c r="F625"/>
      <c r="G625"/>
      <c r="H625"/>
      <c r="I625"/>
      <c r="J625"/>
      <c r="K625"/>
      <c r="L625"/>
      <c r="M625"/>
      <c r="N625"/>
      <c r="O625"/>
      <c r="P625"/>
      <c r="Q625"/>
      <c r="R625"/>
      <c r="S625"/>
      <c r="T625"/>
      <c r="U625"/>
      <c r="V625"/>
    </row>
    <row r="626" spans="1:22" x14ac:dyDescent="0.25">
      <c r="A626"/>
      <c r="B626"/>
      <c r="C626"/>
      <c r="D626"/>
      <c r="E626"/>
      <c r="F626"/>
      <c r="G626"/>
      <c r="H626"/>
      <c r="I626"/>
      <c r="J626"/>
      <c r="K626"/>
      <c r="L626"/>
      <c r="M626"/>
      <c r="N626"/>
      <c r="O626"/>
      <c r="P626"/>
      <c r="Q626"/>
      <c r="R626"/>
      <c r="S626"/>
      <c r="T626"/>
      <c r="U626"/>
      <c r="V626"/>
    </row>
    <row r="627" spans="1:22" x14ac:dyDescent="0.25">
      <c r="A627"/>
      <c r="B627" s="29" t="s">
        <v>3</v>
      </c>
      <c r="C627" t="s">
        <v>74</v>
      </c>
      <c r="D627"/>
      <c r="E627"/>
      <c r="F627"/>
      <c r="G627"/>
      <c r="H627"/>
      <c r="I627"/>
      <c r="J627"/>
      <c r="K627"/>
      <c r="L627"/>
      <c r="M627"/>
      <c r="N627"/>
      <c r="O627"/>
      <c r="P627"/>
      <c r="Q627"/>
      <c r="R627"/>
      <c r="S627"/>
      <c r="T627"/>
      <c r="U627"/>
      <c r="V627"/>
    </row>
    <row r="628" spans="1:22" x14ac:dyDescent="0.25">
      <c r="A628"/>
      <c r="B628" s="29" t="s">
        <v>256</v>
      </c>
      <c r="C628" t="s">
        <v>74</v>
      </c>
      <c r="E628"/>
      <c r="F628"/>
      <c r="G628"/>
      <c r="H628"/>
      <c r="I628"/>
      <c r="J628"/>
      <c r="K628"/>
      <c r="L628"/>
      <c r="M628"/>
      <c r="N628"/>
      <c r="O628"/>
      <c r="P628"/>
      <c r="Q628"/>
      <c r="R628"/>
      <c r="S628"/>
      <c r="T628"/>
      <c r="U628"/>
      <c r="V628"/>
    </row>
    <row r="629" spans="1:22" x14ac:dyDescent="0.25">
      <c r="A629"/>
      <c r="E629"/>
      <c r="F629"/>
      <c r="G629"/>
      <c r="H629"/>
      <c r="I629"/>
      <c r="J629"/>
      <c r="K629"/>
      <c r="L629"/>
      <c r="M629"/>
      <c r="N629"/>
      <c r="O629"/>
      <c r="P629"/>
      <c r="Q629"/>
      <c r="R629"/>
      <c r="S629"/>
      <c r="T629"/>
      <c r="U629"/>
      <c r="V629"/>
    </row>
    <row r="630" spans="1:22" x14ac:dyDescent="0.25">
      <c r="A630"/>
      <c r="B630" s="29" t="s">
        <v>238</v>
      </c>
      <c r="C630" s="29" t="s">
        <v>249</v>
      </c>
      <c r="D630"/>
      <c r="E630"/>
      <c r="F630"/>
      <c r="G630"/>
      <c r="H630"/>
      <c r="I630"/>
      <c r="J630"/>
      <c r="K630"/>
      <c r="L630"/>
      <c r="M630"/>
      <c r="N630"/>
      <c r="O630"/>
      <c r="P630"/>
      <c r="Q630"/>
      <c r="R630"/>
      <c r="S630"/>
      <c r="T630"/>
      <c r="U630"/>
      <c r="V630"/>
    </row>
    <row r="631" spans="1:22" x14ac:dyDescent="0.25">
      <c r="A631"/>
      <c r="B631" s="29" t="s">
        <v>237</v>
      </c>
      <c r="C631" t="s">
        <v>652</v>
      </c>
      <c r="D631" t="s">
        <v>653</v>
      </c>
      <c r="E631" t="s">
        <v>73</v>
      </c>
      <c r="F631"/>
      <c r="G631"/>
      <c r="H631"/>
      <c r="I631"/>
      <c r="J631"/>
      <c r="K631"/>
      <c r="L631"/>
      <c r="M631"/>
      <c r="N631"/>
      <c r="O631"/>
      <c r="P631"/>
      <c r="Q631"/>
      <c r="R631"/>
      <c r="S631"/>
      <c r="T631"/>
      <c r="U631"/>
      <c r="V631"/>
    </row>
    <row r="632" spans="1:22" x14ac:dyDescent="0.25">
      <c r="A632"/>
      <c r="B632" s="26" t="s">
        <v>214</v>
      </c>
      <c r="C632" s="283">
        <v>45830</v>
      </c>
      <c r="D632" s="283">
        <v>1459</v>
      </c>
      <c r="E632" s="283">
        <v>47289</v>
      </c>
      <c r="F632"/>
      <c r="G632"/>
      <c r="H632"/>
      <c r="I632"/>
      <c r="J632"/>
      <c r="K632"/>
      <c r="L632"/>
      <c r="M632"/>
      <c r="N632"/>
      <c r="O632"/>
      <c r="P632"/>
      <c r="Q632"/>
      <c r="R632"/>
      <c r="S632"/>
      <c r="T632"/>
      <c r="U632"/>
      <c r="V632"/>
    </row>
    <row r="633" spans="1:22" x14ac:dyDescent="0.25">
      <c r="A633"/>
      <c r="B633" s="26" t="s">
        <v>222</v>
      </c>
      <c r="C633" s="283">
        <v>36163</v>
      </c>
      <c r="D633" s="283">
        <v>446</v>
      </c>
      <c r="E633" s="283">
        <v>36609</v>
      </c>
      <c r="F633"/>
      <c r="G633"/>
      <c r="H633"/>
      <c r="I633"/>
      <c r="J633"/>
      <c r="K633"/>
      <c r="L633"/>
      <c r="M633"/>
      <c r="N633"/>
      <c r="O633"/>
      <c r="P633"/>
      <c r="Q633"/>
      <c r="R633"/>
      <c r="S633"/>
      <c r="T633"/>
      <c r="U633"/>
      <c r="V633"/>
    </row>
    <row r="634" spans="1:22" x14ac:dyDescent="0.25">
      <c r="A634"/>
      <c r="B634" s="26" t="s">
        <v>73</v>
      </c>
      <c r="C634" s="283">
        <v>81993</v>
      </c>
      <c r="D634" s="283">
        <v>1905</v>
      </c>
      <c r="E634" s="283">
        <v>83898</v>
      </c>
      <c r="F634"/>
      <c r="G634"/>
      <c r="H634"/>
      <c r="I634"/>
      <c r="J634"/>
      <c r="K634"/>
      <c r="L634"/>
      <c r="M634"/>
      <c r="N634"/>
      <c r="O634"/>
      <c r="P634"/>
      <c r="Q634"/>
      <c r="R634"/>
      <c r="S634"/>
      <c r="T634"/>
      <c r="U634"/>
      <c r="V634"/>
    </row>
    <row r="635" spans="1:22" x14ac:dyDescent="0.25">
      <c r="A635"/>
      <c r="B635"/>
      <c r="C635"/>
      <c r="D635"/>
      <c r="E635"/>
      <c r="F635"/>
      <c r="G635"/>
      <c r="H635"/>
      <c r="I635"/>
      <c r="J635"/>
      <c r="K635"/>
      <c r="L635"/>
      <c r="M635"/>
      <c r="N635"/>
      <c r="O635"/>
      <c r="P635"/>
      <c r="Q635"/>
      <c r="R635"/>
      <c r="S635"/>
      <c r="T635"/>
      <c r="U635"/>
      <c r="V635"/>
    </row>
    <row r="636" spans="1:22" x14ac:dyDescent="0.25">
      <c r="A636"/>
      <c r="B636"/>
      <c r="C636"/>
      <c r="D636"/>
      <c r="E636"/>
      <c r="F636"/>
      <c r="G636"/>
      <c r="H636"/>
      <c r="I636"/>
      <c r="J636"/>
      <c r="K636"/>
      <c r="L636"/>
      <c r="M636"/>
      <c r="N636"/>
      <c r="O636"/>
      <c r="P636"/>
      <c r="Q636"/>
      <c r="R636"/>
      <c r="S636"/>
      <c r="T636"/>
      <c r="U636"/>
      <c r="V636"/>
    </row>
    <row r="637" spans="1:22" x14ac:dyDescent="0.25">
      <c r="A637"/>
      <c r="B637"/>
      <c r="C637"/>
      <c r="D637"/>
      <c r="E637"/>
      <c r="F637"/>
      <c r="G637"/>
      <c r="H637"/>
      <c r="I637"/>
      <c r="J637"/>
      <c r="K637"/>
      <c r="L637"/>
      <c r="M637"/>
      <c r="N637"/>
      <c r="O637"/>
      <c r="P637"/>
      <c r="Q637"/>
      <c r="R637"/>
      <c r="S637"/>
      <c r="T637"/>
      <c r="U637"/>
      <c r="V637"/>
    </row>
    <row r="638" spans="1:22" x14ac:dyDescent="0.25">
      <c r="A638"/>
      <c r="B638"/>
      <c r="C638"/>
      <c r="D638"/>
      <c r="E638"/>
      <c r="F638"/>
      <c r="G638"/>
      <c r="H638"/>
      <c r="I638"/>
      <c r="J638"/>
      <c r="K638"/>
      <c r="L638"/>
      <c r="M638"/>
      <c r="N638"/>
      <c r="O638"/>
      <c r="P638"/>
      <c r="Q638"/>
      <c r="R638"/>
      <c r="S638"/>
      <c r="T638"/>
      <c r="U638"/>
      <c r="V638"/>
    </row>
    <row r="639" spans="1:22" x14ac:dyDescent="0.25">
      <c r="A639"/>
      <c r="B639"/>
      <c r="C639"/>
      <c r="D639"/>
      <c r="E639"/>
      <c r="F639"/>
      <c r="G639"/>
      <c r="H639"/>
      <c r="I639"/>
      <c r="J639"/>
      <c r="K639"/>
      <c r="L639"/>
      <c r="M639"/>
      <c r="N639"/>
      <c r="O639"/>
      <c r="P639"/>
      <c r="Q639"/>
      <c r="R639"/>
      <c r="S639"/>
      <c r="T639"/>
      <c r="U639"/>
      <c r="V639"/>
    </row>
    <row r="640" spans="1:22" x14ac:dyDescent="0.25">
      <c r="A640"/>
      <c r="B640"/>
      <c r="C640"/>
      <c r="D640"/>
      <c r="E640"/>
      <c r="F640"/>
      <c r="G640"/>
      <c r="H640"/>
      <c r="I640"/>
      <c r="J640"/>
      <c r="K640"/>
      <c r="L640"/>
      <c r="M640"/>
      <c r="N640"/>
      <c r="O640"/>
      <c r="P640"/>
      <c r="Q640"/>
      <c r="R640"/>
      <c r="S640"/>
      <c r="T640"/>
      <c r="U640"/>
      <c r="V640"/>
    </row>
    <row r="641" spans="1:22" x14ac:dyDescent="0.25">
      <c r="A641"/>
      <c r="B641"/>
      <c r="C641"/>
      <c r="D641"/>
      <c r="E641"/>
      <c r="F641"/>
      <c r="G641"/>
      <c r="H641"/>
      <c r="I641"/>
      <c r="J641"/>
      <c r="K641"/>
      <c r="L641"/>
      <c r="M641"/>
      <c r="N641"/>
      <c r="O641"/>
      <c r="P641"/>
      <c r="Q641"/>
      <c r="R641"/>
      <c r="S641"/>
      <c r="T641"/>
      <c r="U641"/>
      <c r="V641"/>
    </row>
    <row r="642" spans="1:22" x14ac:dyDescent="0.25">
      <c r="A642"/>
      <c r="B642" s="29" t="s">
        <v>3</v>
      </c>
      <c r="C642" t="s">
        <v>74</v>
      </c>
      <c r="D642"/>
      <c r="E642"/>
      <c r="F642"/>
      <c r="G642"/>
      <c r="H642"/>
      <c r="I642"/>
      <c r="J642"/>
      <c r="K642"/>
      <c r="L642"/>
      <c r="M642"/>
      <c r="N642"/>
      <c r="O642"/>
      <c r="P642"/>
      <c r="Q642"/>
      <c r="R642"/>
      <c r="S642"/>
      <c r="T642"/>
      <c r="U642"/>
      <c r="V642"/>
    </row>
    <row r="643" spans="1:22" x14ac:dyDescent="0.25">
      <c r="A643"/>
      <c r="B643" s="29" t="s">
        <v>256</v>
      </c>
      <c r="C643" t="s">
        <v>74</v>
      </c>
      <c r="D643"/>
      <c r="E643"/>
      <c r="F643"/>
      <c r="G643"/>
      <c r="H643"/>
      <c r="I643"/>
      <c r="J643"/>
      <c r="K643"/>
      <c r="L643"/>
      <c r="M643"/>
      <c r="N643"/>
      <c r="O643"/>
      <c r="P643"/>
      <c r="Q643"/>
      <c r="R643"/>
      <c r="S643"/>
      <c r="T643"/>
      <c r="U643"/>
      <c r="V643"/>
    </row>
    <row r="644" spans="1:22" x14ac:dyDescent="0.25">
      <c r="A644"/>
      <c r="B644" s="29" t="s">
        <v>4</v>
      </c>
      <c r="C644" t="s">
        <v>74</v>
      </c>
      <c r="E644"/>
      <c r="F644"/>
      <c r="G644"/>
      <c r="H644"/>
      <c r="I644"/>
      <c r="J644"/>
      <c r="K644"/>
      <c r="L644"/>
      <c r="M644"/>
      <c r="N644"/>
      <c r="O644"/>
      <c r="P644"/>
      <c r="Q644"/>
      <c r="R644"/>
      <c r="S644"/>
      <c r="T644"/>
      <c r="U644"/>
      <c r="V644"/>
    </row>
    <row r="645" spans="1:22" x14ac:dyDescent="0.25">
      <c r="A645"/>
      <c r="E645"/>
      <c r="F645"/>
      <c r="G645"/>
      <c r="H645"/>
      <c r="I645"/>
      <c r="J645"/>
      <c r="K645"/>
      <c r="L645"/>
      <c r="M645"/>
      <c r="N645"/>
      <c r="O645"/>
      <c r="P645"/>
      <c r="Q645"/>
      <c r="R645"/>
      <c r="S645"/>
      <c r="T645"/>
      <c r="U645"/>
      <c r="V645"/>
    </row>
    <row r="646" spans="1:22" x14ac:dyDescent="0.25">
      <c r="A646"/>
      <c r="B646" s="29" t="s">
        <v>238</v>
      </c>
      <c r="C646" s="29" t="s">
        <v>249</v>
      </c>
      <c r="D646"/>
      <c r="E646"/>
      <c r="F646"/>
      <c r="G646"/>
      <c r="H646"/>
      <c r="I646"/>
      <c r="J646"/>
      <c r="K646"/>
      <c r="L646"/>
      <c r="M646"/>
      <c r="N646"/>
      <c r="O646"/>
      <c r="P646"/>
      <c r="Q646"/>
      <c r="R646"/>
      <c r="S646"/>
      <c r="T646"/>
      <c r="U646"/>
      <c r="V646"/>
    </row>
    <row r="647" spans="1:22" x14ac:dyDescent="0.25">
      <c r="A647"/>
      <c r="B647" s="29" t="s">
        <v>237</v>
      </c>
      <c r="C647" t="s">
        <v>652</v>
      </c>
      <c r="D647" t="s">
        <v>653</v>
      </c>
      <c r="E647" t="s">
        <v>73</v>
      </c>
      <c r="F647"/>
      <c r="G647"/>
      <c r="H647"/>
      <c r="I647"/>
      <c r="J647"/>
      <c r="K647"/>
      <c r="L647"/>
      <c r="M647"/>
      <c r="N647"/>
      <c r="O647"/>
      <c r="P647"/>
      <c r="Q647"/>
      <c r="R647"/>
      <c r="S647"/>
      <c r="T647"/>
      <c r="U647"/>
      <c r="V647"/>
    </row>
    <row r="648" spans="1:22" x14ac:dyDescent="0.25">
      <c r="A648"/>
      <c r="B648" s="26" t="s">
        <v>176</v>
      </c>
      <c r="C648" s="283">
        <v>8236</v>
      </c>
      <c r="D648" s="283"/>
      <c r="E648" s="283">
        <v>8236</v>
      </c>
      <c r="F648"/>
      <c r="G648"/>
      <c r="H648"/>
      <c r="I648"/>
      <c r="J648"/>
      <c r="K648"/>
      <c r="L648"/>
      <c r="M648"/>
      <c r="N648"/>
      <c r="O648"/>
      <c r="P648"/>
      <c r="Q648"/>
      <c r="R648"/>
      <c r="S648"/>
      <c r="T648"/>
      <c r="U648"/>
      <c r="V648"/>
    </row>
    <row r="649" spans="1:22" x14ac:dyDescent="0.25">
      <c r="A649"/>
      <c r="B649" s="26" t="s">
        <v>104</v>
      </c>
      <c r="C649" s="283">
        <v>2584</v>
      </c>
      <c r="D649" s="283"/>
      <c r="E649" s="283">
        <v>2584</v>
      </c>
      <c r="F649"/>
      <c r="G649"/>
      <c r="H649"/>
      <c r="I649"/>
      <c r="J649"/>
      <c r="K649"/>
      <c r="L649"/>
      <c r="M649"/>
      <c r="N649"/>
      <c r="O649"/>
      <c r="P649"/>
      <c r="Q649"/>
      <c r="R649"/>
      <c r="S649"/>
      <c r="T649"/>
      <c r="U649"/>
      <c r="V649"/>
    </row>
    <row r="650" spans="1:22" x14ac:dyDescent="0.25">
      <c r="A650"/>
      <c r="B650" s="26" t="s">
        <v>107</v>
      </c>
      <c r="C650" s="283">
        <v>3436</v>
      </c>
      <c r="D650" s="283">
        <v>224</v>
      </c>
      <c r="E650" s="283">
        <v>3660</v>
      </c>
      <c r="F650"/>
      <c r="G650"/>
      <c r="H650"/>
      <c r="I650"/>
      <c r="J650"/>
      <c r="K650"/>
      <c r="L650"/>
      <c r="M650"/>
      <c r="N650"/>
      <c r="O650"/>
      <c r="P650"/>
      <c r="Q650"/>
      <c r="R650"/>
      <c r="S650"/>
      <c r="T650"/>
      <c r="U650"/>
      <c r="V650"/>
    </row>
    <row r="651" spans="1:22" x14ac:dyDescent="0.25">
      <c r="A651"/>
      <c r="B651" s="26" t="s">
        <v>125</v>
      </c>
      <c r="C651" s="283"/>
      <c r="D651" s="283">
        <v>17</v>
      </c>
      <c r="E651" s="283">
        <v>17</v>
      </c>
      <c r="F651"/>
      <c r="G651"/>
      <c r="H651"/>
      <c r="I651"/>
      <c r="J651"/>
      <c r="K651"/>
      <c r="L651"/>
      <c r="M651"/>
      <c r="N651"/>
      <c r="O651"/>
      <c r="P651"/>
      <c r="Q651"/>
      <c r="R651"/>
      <c r="S651"/>
      <c r="T651"/>
      <c r="U651"/>
      <c r="V651"/>
    </row>
    <row r="652" spans="1:22" x14ac:dyDescent="0.25">
      <c r="A652"/>
      <c r="B652" s="26" t="s">
        <v>201</v>
      </c>
      <c r="C652" s="283">
        <v>3408</v>
      </c>
      <c r="D652" s="283"/>
      <c r="E652" s="283">
        <v>3408</v>
      </c>
      <c r="F652"/>
      <c r="G652"/>
      <c r="H652"/>
      <c r="I652"/>
      <c r="J652"/>
      <c r="K652"/>
      <c r="L652"/>
      <c r="M652"/>
      <c r="N652"/>
      <c r="O652"/>
      <c r="P652"/>
      <c r="Q652"/>
      <c r="R652"/>
      <c r="S652"/>
      <c r="T652"/>
      <c r="U652"/>
      <c r="V652"/>
    </row>
    <row r="653" spans="1:22" x14ac:dyDescent="0.25">
      <c r="A653"/>
      <c r="B653" s="26" t="s">
        <v>182</v>
      </c>
      <c r="C653" s="283">
        <v>10701</v>
      </c>
      <c r="D653" s="283">
        <v>499</v>
      </c>
      <c r="E653" s="283">
        <v>11200</v>
      </c>
      <c r="F653"/>
      <c r="G653"/>
      <c r="H653"/>
      <c r="I653"/>
      <c r="J653"/>
      <c r="K653"/>
      <c r="L653"/>
      <c r="M653"/>
      <c r="N653"/>
      <c r="O653"/>
      <c r="P653"/>
      <c r="Q653"/>
      <c r="R653"/>
      <c r="S653"/>
      <c r="T653"/>
      <c r="U653"/>
      <c r="V653"/>
    </row>
    <row r="654" spans="1:22" x14ac:dyDescent="0.25">
      <c r="A654"/>
      <c r="B654" s="26" t="s">
        <v>183</v>
      </c>
      <c r="C654" s="283">
        <v>346</v>
      </c>
      <c r="D654" s="283">
        <v>446</v>
      </c>
      <c r="E654" s="283">
        <v>792</v>
      </c>
      <c r="F654"/>
      <c r="G654"/>
      <c r="H654"/>
      <c r="I654"/>
      <c r="J654"/>
      <c r="K654"/>
      <c r="L654"/>
      <c r="M654"/>
      <c r="N654"/>
      <c r="O654"/>
      <c r="P654"/>
      <c r="Q654"/>
      <c r="R654"/>
      <c r="S654"/>
      <c r="T654"/>
      <c r="U654"/>
      <c r="V654"/>
    </row>
    <row r="655" spans="1:22" x14ac:dyDescent="0.25">
      <c r="A655"/>
      <c r="B655" s="26" t="s">
        <v>221</v>
      </c>
      <c r="C655" s="283">
        <v>198</v>
      </c>
      <c r="D655" s="283">
        <v>165</v>
      </c>
      <c r="E655" s="283">
        <v>363</v>
      </c>
      <c r="F655"/>
      <c r="G655"/>
      <c r="H655"/>
      <c r="I655"/>
      <c r="J655"/>
      <c r="K655"/>
      <c r="L655"/>
      <c r="M655"/>
      <c r="N655"/>
      <c r="O655"/>
      <c r="P655"/>
      <c r="Q655"/>
      <c r="R655"/>
      <c r="S655"/>
      <c r="T655"/>
      <c r="U655"/>
      <c r="V655"/>
    </row>
    <row r="656" spans="1:22" x14ac:dyDescent="0.25">
      <c r="A656"/>
      <c r="B656" s="26" t="s">
        <v>130</v>
      </c>
      <c r="C656" s="283">
        <v>135</v>
      </c>
      <c r="D656" s="283"/>
      <c r="E656" s="283">
        <v>135</v>
      </c>
      <c r="F656"/>
      <c r="G656"/>
      <c r="H656"/>
      <c r="I656"/>
      <c r="J656"/>
      <c r="K656"/>
      <c r="L656"/>
      <c r="M656"/>
      <c r="N656"/>
      <c r="O656"/>
      <c r="P656"/>
      <c r="Q656"/>
      <c r="R656"/>
      <c r="S656"/>
      <c r="T656"/>
      <c r="U656"/>
      <c r="V656"/>
    </row>
    <row r="657" spans="1:22" x14ac:dyDescent="0.25">
      <c r="A657"/>
      <c r="B657" s="26" t="s">
        <v>184</v>
      </c>
      <c r="C657" s="283">
        <v>21707</v>
      </c>
      <c r="D657" s="283">
        <v>398</v>
      </c>
      <c r="E657" s="283">
        <v>22105</v>
      </c>
      <c r="F657"/>
      <c r="G657"/>
      <c r="H657"/>
      <c r="I657"/>
      <c r="J657"/>
      <c r="K657"/>
      <c r="L657"/>
      <c r="M657"/>
      <c r="N657"/>
      <c r="O657"/>
      <c r="P657"/>
      <c r="Q657"/>
      <c r="R657"/>
      <c r="S657"/>
      <c r="T657"/>
      <c r="U657"/>
      <c r="V657"/>
    </row>
    <row r="658" spans="1:22" x14ac:dyDescent="0.25">
      <c r="A658"/>
      <c r="B658" s="26" t="s">
        <v>210</v>
      </c>
      <c r="C658" s="283">
        <v>506</v>
      </c>
      <c r="D658" s="283"/>
      <c r="E658" s="283">
        <v>506</v>
      </c>
      <c r="F658"/>
      <c r="G658"/>
      <c r="H658"/>
      <c r="I658"/>
      <c r="J658"/>
      <c r="K658"/>
      <c r="L658"/>
      <c r="M658"/>
      <c r="N658"/>
      <c r="O658"/>
      <c r="P658"/>
      <c r="Q658"/>
      <c r="R658"/>
      <c r="S658"/>
      <c r="T658"/>
      <c r="U658"/>
      <c r="V658"/>
    </row>
    <row r="659" spans="1:22" x14ac:dyDescent="0.25">
      <c r="A659"/>
      <c r="B659" s="26" t="s">
        <v>132</v>
      </c>
      <c r="C659" s="283">
        <v>6253</v>
      </c>
      <c r="D659" s="283"/>
      <c r="E659" s="283">
        <v>6253</v>
      </c>
      <c r="F659"/>
      <c r="G659"/>
      <c r="H659"/>
      <c r="I659"/>
      <c r="J659"/>
      <c r="K659"/>
      <c r="L659"/>
      <c r="M659"/>
      <c r="N659"/>
      <c r="O659"/>
      <c r="P659"/>
      <c r="Q659"/>
      <c r="R659"/>
      <c r="S659"/>
      <c r="T659"/>
      <c r="U659"/>
      <c r="V659"/>
    </row>
    <row r="660" spans="1:22" x14ac:dyDescent="0.25">
      <c r="A660"/>
      <c r="B660" s="26" t="s">
        <v>468</v>
      </c>
      <c r="C660" s="283">
        <v>1684</v>
      </c>
      <c r="D660" s="283"/>
      <c r="E660" s="283">
        <v>1684</v>
      </c>
      <c r="F660"/>
      <c r="G660"/>
      <c r="H660"/>
      <c r="I660"/>
      <c r="J660"/>
      <c r="K660"/>
      <c r="L660"/>
      <c r="M660"/>
      <c r="N660"/>
      <c r="O660"/>
      <c r="P660"/>
      <c r="Q660"/>
      <c r="R660"/>
      <c r="S660"/>
      <c r="T660"/>
      <c r="U660"/>
      <c r="V660"/>
    </row>
    <row r="661" spans="1:22" x14ac:dyDescent="0.25">
      <c r="A661"/>
      <c r="B661" s="26" t="s">
        <v>228</v>
      </c>
      <c r="C661" s="283">
        <v>47</v>
      </c>
      <c r="D661" s="283"/>
      <c r="E661" s="283">
        <v>47</v>
      </c>
      <c r="F661"/>
      <c r="G661"/>
      <c r="H661"/>
      <c r="I661"/>
      <c r="J661"/>
      <c r="K661"/>
      <c r="L661"/>
      <c r="M661"/>
      <c r="N661"/>
      <c r="P661"/>
      <c r="Q661"/>
      <c r="R661"/>
      <c r="S661"/>
      <c r="T661"/>
      <c r="U661"/>
      <c r="V661"/>
    </row>
    <row r="662" spans="1:22" x14ac:dyDescent="0.25">
      <c r="A662"/>
      <c r="B662" s="26" t="s">
        <v>220</v>
      </c>
      <c r="C662" s="283">
        <v>82</v>
      </c>
      <c r="D662" s="283">
        <v>116</v>
      </c>
      <c r="E662" s="283">
        <v>198</v>
      </c>
      <c r="F662"/>
      <c r="G662"/>
      <c r="H662"/>
      <c r="I662"/>
      <c r="J662"/>
      <c r="K662"/>
      <c r="L662"/>
      <c r="M662"/>
      <c r="N662"/>
      <c r="P662"/>
      <c r="Q662"/>
      <c r="R662"/>
      <c r="S662"/>
      <c r="T662"/>
      <c r="U662"/>
      <c r="V662"/>
    </row>
    <row r="663" spans="1:22" x14ac:dyDescent="0.25">
      <c r="A663"/>
      <c r="B663" s="26" t="s">
        <v>219</v>
      </c>
      <c r="C663" s="283">
        <v>412</v>
      </c>
      <c r="D663" s="283">
        <v>40</v>
      </c>
      <c r="E663" s="283">
        <v>452</v>
      </c>
      <c r="F663"/>
      <c r="G663"/>
      <c r="H663"/>
      <c r="I663"/>
      <c r="J663"/>
      <c r="K663"/>
      <c r="L663"/>
      <c r="M663"/>
      <c r="N663"/>
      <c r="P663"/>
      <c r="Q663"/>
      <c r="R663"/>
      <c r="S663"/>
      <c r="T663"/>
      <c r="U663"/>
      <c r="V663"/>
    </row>
    <row r="664" spans="1:22" x14ac:dyDescent="0.25">
      <c r="A664"/>
      <c r="B664" s="26" t="s">
        <v>155</v>
      </c>
      <c r="C664" s="283">
        <v>21866</v>
      </c>
      <c r="D664" s="283"/>
      <c r="E664" s="283">
        <v>21866</v>
      </c>
      <c r="F664"/>
      <c r="G664"/>
      <c r="H664"/>
      <c r="I664"/>
      <c r="J664"/>
      <c r="K664"/>
      <c r="L664"/>
      <c r="M664"/>
      <c r="N664"/>
      <c r="P664"/>
      <c r="Q664"/>
      <c r="R664"/>
      <c r="S664"/>
      <c r="T664"/>
      <c r="U664"/>
      <c r="V664"/>
    </row>
    <row r="665" spans="1:22" x14ac:dyDescent="0.25">
      <c r="B665" s="26" t="s">
        <v>750</v>
      </c>
      <c r="C665" s="283">
        <v>392</v>
      </c>
      <c r="D665" s="283"/>
      <c r="E665" s="283">
        <v>392</v>
      </c>
      <c r="F665"/>
      <c r="G665"/>
      <c r="H665"/>
      <c r="I665"/>
      <c r="J665"/>
      <c r="K665"/>
      <c r="L665"/>
      <c r="M665"/>
      <c r="N665"/>
      <c r="P665"/>
      <c r="Q665"/>
      <c r="R665"/>
      <c r="S665"/>
      <c r="T665"/>
      <c r="U665"/>
      <c r="V665"/>
    </row>
    <row r="666" spans="1:22" x14ac:dyDescent="0.25">
      <c r="B666" s="26" t="s">
        <v>73</v>
      </c>
      <c r="C666" s="283">
        <v>81993</v>
      </c>
      <c r="D666" s="283">
        <v>1905</v>
      </c>
      <c r="E666" s="283">
        <v>83898</v>
      </c>
      <c r="F666"/>
      <c r="G666"/>
      <c r="H666"/>
      <c r="I666"/>
      <c r="J666"/>
      <c r="K666"/>
      <c r="L666"/>
      <c r="M666"/>
      <c r="N666"/>
    </row>
    <row r="667" spans="1:22" x14ac:dyDescent="0.25">
      <c r="B667"/>
      <c r="C667"/>
      <c r="D667"/>
      <c r="E667"/>
      <c r="F667"/>
      <c r="G667"/>
      <c r="H667"/>
      <c r="I667"/>
      <c r="J667"/>
      <c r="K667"/>
      <c r="L667"/>
      <c r="M667"/>
      <c r="N667"/>
    </row>
    <row r="668" spans="1:22" x14ac:dyDescent="0.25">
      <c r="B668"/>
      <c r="C668"/>
      <c r="D668"/>
      <c r="E668"/>
      <c r="F668"/>
      <c r="G668"/>
      <c r="H668"/>
      <c r="I668"/>
      <c r="J668"/>
      <c r="K668"/>
      <c r="L668"/>
      <c r="M668"/>
      <c r="N668"/>
    </row>
    <row r="669" spans="1:22" x14ac:dyDescent="0.25">
      <c r="B669"/>
      <c r="C669"/>
      <c r="D669"/>
      <c r="E669"/>
      <c r="F669"/>
      <c r="G669"/>
      <c r="H669"/>
      <c r="I669"/>
      <c r="J669"/>
      <c r="K669"/>
      <c r="L669"/>
      <c r="M669"/>
      <c r="N669"/>
    </row>
    <row r="670" spans="1:22" x14ac:dyDescent="0.25">
      <c r="B670"/>
      <c r="E670" s="11"/>
    </row>
    <row r="671" spans="1:22" x14ac:dyDescent="0.25">
      <c r="B671"/>
      <c r="E671" s="11"/>
    </row>
    <row r="672" spans="1:22" x14ac:dyDescent="0.25">
      <c r="B672"/>
      <c r="E672" s="11"/>
    </row>
    <row r="673" spans="2:6" x14ac:dyDescent="0.25">
      <c r="B673"/>
      <c r="E673" s="11"/>
    </row>
    <row r="674" spans="2:6" x14ac:dyDescent="0.25">
      <c r="B674"/>
      <c r="C674" s="11"/>
      <c r="D674" s="11"/>
      <c r="E674" s="11"/>
    </row>
    <row r="675" spans="2:6" x14ac:dyDescent="0.25">
      <c r="B675"/>
      <c r="C675" s="11"/>
      <c r="D675" s="11"/>
      <c r="E675" s="11"/>
    </row>
    <row r="676" spans="2:6" x14ac:dyDescent="0.25">
      <c r="B676"/>
      <c r="C676" s="11"/>
      <c r="D676" s="11"/>
      <c r="E676" s="11"/>
    </row>
    <row r="677" spans="2:6" x14ac:dyDescent="0.25">
      <c r="B677"/>
      <c r="C677"/>
      <c r="D677"/>
      <c r="E677"/>
    </row>
    <row r="678" spans="2:6" x14ac:dyDescent="0.25">
      <c r="B678" s="29" t="s">
        <v>3</v>
      </c>
      <c r="C678" t="s">
        <v>74</v>
      </c>
      <c r="D678"/>
      <c r="E678"/>
    </row>
    <row r="679" spans="2:6" x14ac:dyDescent="0.25">
      <c r="B679" s="29" t="s">
        <v>256</v>
      </c>
      <c r="C679" t="s">
        <v>74</v>
      </c>
      <c r="E679"/>
    </row>
    <row r="680" spans="2:6" x14ac:dyDescent="0.25">
      <c r="E680"/>
    </row>
    <row r="681" spans="2:6" x14ac:dyDescent="0.25">
      <c r="B681" s="29" t="s">
        <v>654</v>
      </c>
      <c r="C681" s="29" t="s">
        <v>249</v>
      </c>
      <c r="D681"/>
      <c r="E681"/>
      <c r="F681"/>
    </row>
    <row r="682" spans="2:6" x14ac:dyDescent="0.25">
      <c r="B682" s="29" t="s">
        <v>237</v>
      </c>
      <c r="C682" t="s">
        <v>286</v>
      </c>
      <c r="D682" t="s">
        <v>255</v>
      </c>
      <c r="E682" t="s">
        <v>73</v>
      </c>
      <c r="F682"/>
    </row>
    <row r="683" spans="2:6" x14ac:dyDescent="0.25">
      <c r="B683" s="26" t="s">
        <v>214</v>
      </c>
      <c r="C683" s="283">
        <v>134</v>
      </c>
      <c r="D683" s="283">
        <v>11</v>
      </c>
      <c r="E683" s="283">
        <v>145</v>
      </c>
      <c r="F683"/>
    </row>
    <row r="684" spans="2:6" x14ac:dyDescent="0.25">
      <c r="B684" s="26" t="s">
        <v>222</v>
      </c>
      <c r="C684" s="283">
        <v>29</v>
      </c>
      <c r="D684" s="283">
        <v>1</v>
      </c>
      <c r="E684" s="283">
        <v>30</v>
      </c>
      <c r="F684"/>
    </row>
    <row r="685" spans="2:6" x14ac:dyDescent="0.25">
      <c r="B685" s="26" t="s">
        <v>73</v>
      </c>
      <c r="C685" s="283">
        <v>163</v>
      </c>
      <c r="D685" s="283">
        <v>12</v>
      </c>
      <c r="E685" s="283">
        <v>175</v>
      </c>
      <c r="F685"/>
    </row>
    <row r="686" spans="2:6" x14ac:dyDescent="0.25">
      <c r="B686"/>
      <c r="C686"/>
      <c r="D686"/>
      <c r="E686"/>
    </row>
    <row r="687" spans="2:6" x14ac:dyDescent="0.25">
      <c r="B687"/>
      <c r="C687"/>
      <c r="D687"/>
      <c r="E687"/>
    </row>
    <row r="688" spans="2:6"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s="29" t="s">
        <v>3</v>
      </c>
      <c r="C695" t="s">
        <v>74</v>
      </c>
      <c r="D695"/>
      <c r="E695"/>
    </row>
    <row r="696" spans="2:5" x14ac:dyDescent="0.25">
      <c r="B696" s="29" t="s">
        <v>4</v>
      </c>
      <c r="C696" t="s">
        <v>74</v>
      </c>
      <c r="E696"/>
    </row>
    <row r="697" spans="2:5" x14ac:dyDescent="0.25">
      <c r="E697"/>
    </row>
    <row r="698" spans="2:5" x14ac:dyDescent="0.25">
      <c r="B698" s="29" t="s">
        <v>654</v>
      </c>
      <c r="C698" s="29" t="s">
        <v>249</v>
      </c>
      <c r="D698"/>
      <c r="E698"/>
    </row>
    <row r="699" spans="2:5" x14ac:dyDescent="0.25">
      <c r="B699" s="29" t="s">
        <v>237</v>
      </c>
      <c r="C699" t="s">
        <v>286</v>
      </c>
      <c r="D699" t="s">
        <v>255</v>
      </c>
      <c r="E699" t="s">
        <v>73</v>
      </c>
    </row>
    <row r="700" spans="2:5" x14ac:dyDescent="0.25">
      <c r="B700" s="26" t="s">
        <v>257</v>
      </c>
      <c r="C700" s="283">
        <v>22</v>
      </c>
      <c r="D700" s="283"/>
      <c r="E700" s="283">
        <v>22</v>
      </c>
    </row>
    <row r="701" spans="2:5" x14ac:dyDescent="0.25">
      <c r="B701" s="26" t="s">
        <v>258</v>
      </c>
      <c r="C701" s="283">
        <v>40</v>
      </c>
      <c r="D701" s="283"/>
      <c r="E701" s="283">
        <v>40</v>
      </c>
    </row>
    <row r="702" spans="2:5" x14ac:dyDescent="0.25">
      <c r="B702" s="26" t="s">
        <v>259</v>
      </c>
      <c r="C702" s="283">
        <v>6</v>
      </c>
      <c r="D702" s="283">
        <v>2</v>
      </c>
      <c r="E702" s="283">
        <v>8</v>
      </c>
    </row>
    <row r="703" spans="2:5" x14ac:dyDescent="0.25">
      <c r="B703" s="26" t="s">
        <v>260</v>
      </c>
      <c r="C703" s="283">
        <v>24</v>
      </c>
      <c r="D703" s="283">
        <v>7</v>
      </c>
      <c r="E703" s="283">
        <v>31</v>
      </c>
    </row>
    <row r="704" spans="2:5" x14ac:dyDescent="0.25">
      <c r="B704" s="26" t="s">
        <v>261</v>
      </c>
      <c r="C704" s="283">
        <v>14</v>
      </c>
      <c r="D704" s="283"/>
      <c r="E704" s="283">
        <v>14</v>
      </c>
    </row>
    <row r="705" spans="2:47" x14ac:dyDescent="0.25">
      <c r="B705" s="26" t="s">
        <v>266</v>
      </c>
      <c r="C705" s="283">
        <v>24</v>
      </c>
      <c r="D705" s="283"/>
      <c r="E705" s="283">
        <v>24</v>
      </c>
    </row>
    <row r="706" spans="2:47" x14ac:dyDescent="0.25">
      <c r="B706" s="26" t="s">
        <v>267</v>
      </c>
      <c r="C706" s="283">
        <v>12</v>
      </c>
      <c r="D706" s="283"/>
      <c r="E706" s="283">
        <v>12</v>
      </c>
    </row>
    <row r="707" spans="2:47" x14ac:dyDescent="0.25">
      <c r="B707" s="26" t="s">
        <v>268</v>
      </c>
      <c r="C707" s="283">
        <v>9</v>
      </c>
      <c r="D707" s="283"/>
      <c r="E707" s="283">
        <v>9</v>
      </c>
    </row>
    <row r="708" spans="2:47" x14ac:dyDescent="0.25">
      <c r="B708" s="26" t="s">
        <v>269</v>
      </c>
      <c r="C708" s="283">
        <v>4</v>
      </c>
      <c r="D708" s="283">
        <v>1</v>
      </c>
      <c r="E708" s="283">
        <v>5</v>
      </c>
    </row>
    <row r="709" spans="2:47" x14ac:dyDescent="0.25">
      <c r="B709" s="26" t="s">
        <v>314</v>
      </c>
      <c r="C709" s="283">
        <v>8</v>
      </c>
      <c r="D709" s="283">
        <v>2</v>
      </c>
      <c r="E709" s="283">
        <v>10</v>
      </c>
    </row>
    <row r="710" spans="2:47" x14ac:dyDescent="0.25">
      <c r="B710" s="26" t="s">
        <v>73</v>
      </c>
      <c r="C710" s="283">
        <v>163</v>
      </c>
      <c r="D710" s="283">
        <v>12</v>
      </c>
      <c r="E710" s="283">
        <v>175</v>
      </c>
    </row>
    <row r="711" spans="2:47" x14ac:dyDescent="0.25">
      <c r="B711" s="26"/>
      <c r="C711" s="283"/>
      <c r="D711" s="283"/>
      <c r="E711" s="283"/>
    </row>
    <row r="712" spans="2:47" x14ac:dyDescent="0.25">
      <c r="B712" s="29" t="s">
        <v>237</v>
      </c>
      <c r="C712" s="293" t="s">
        <v>816</v>
      </c>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row>
    <row r="713" spans="2:47" x14ac:dyDescent="0.25">
      <c r="B713" s="26" t="s">
        <v>629</v>
      </c>
      <c r="C713" s="665"/>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row>
    <row r="714" spans="2:47" x14ac:dyDescent="0.25">
      <c r="B714" s="328" t="s">
        <v>107</v>
      </c>
      <c r="C714" s="665">
        <v>19</v>
      </c>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row>
    <row r="715" spans="2:47" x14ac:dyDescent="0.25">
      <c r="B715" s="328" t="s">
        <v>125</v>
      </c>
      <c r="C715" s="665">
        <v>1</v>
      </c>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row>
    <row r="716" spans="2:47" x14ac:dyDescent="0.25">
      <c r="B716" s="328" t="s">
        <v>183</v>
      </c>
      <c r="C716" s="665">
        <v>1</v>
      </c>
      <c r="D716"/>
      <c r="E716"/>
      <c r="F716"/>
      <c r="G716"/>
      <c r="H716"/>
      <c r="I716"/>
      <c r="J716"/>
      <c r="K716"/>
    </row>
    <row r="717" spans="2:47" x14ac:dyDescent="0.25">
      <c r="B717" s="328" t="s">
        <v>221</v>
      </c>
      <c r="C717" s="665">
        <v>2</v>
      </c>
      <c r="D717"/>
      <c r="E717"/>
      <c r="F717"/>
      <c r="G717"/>
      <c r="H717"/>
      <c r="I717"/>
      <c r="J717"/>
      <c r="K717"/>
    </row>
    <row r="718" spans="2:47" x14ac:dyDescent="0.25">
      <c r="B718" s="328" t="s">
        <v>220</v>
      </c>
      <c r="C718" s="665">
        <v>2</v>
      </c>
      <c r="D718"/>
      <c r="E718"/>
      <c r="F718"/>
      <c r="G718"/>
      <c r="H718"/>
      <c r="I718"/>
      <c r="J718"/>
      <c r="K718"/>
    </row>
    <row r="719" spans="2:47" x14ac:dyDescent="0.25">
      <c r="B719" s="26" t="s">
        <v>73</v>
      </c>
      <c r="C719" s="665">
        <v>25</v>
      </c>
      <c r="D719"/>
      <c r="E719"/>
      <c r="F719"/>
      <c r="G719"/>
      <c r="H719"/>
      <c r="I719"/>
      <c r="J719"/>
      <c r="K719"/>
    </row>
    <row r="720" spans="2:47" x14ac:dyDescent="0.25">
      <c r="B720"/>
      <c r="C720"/>
      <c r="D720"/>
      <c r="E720"/>
      <c r="F720"/>
      <c r="G720"/>
      <c r="H720"/>
      <c r="I720"/>
      <c r="J720"/>
      <c r="K720"/>
    </row>
    <row r="721" spans="2:11" x14ac:dyDescent="0.25">
      <c r="B721"/>
      <c r="C721"/>
      <c r="D721"/>
      <c r="E721"/>
      <c r="F721"/>
      <c r="G721"/>
      <c r="H721"/>
      <c r="I721"/>
      <c r="J721"/>
      <c r="K721"/>
    </row>
    <row r="722" spans="2:11" x14ac:dyDescent="0.25">
      <c r="B722"/>
      <c r="C722"/>
      <c r="D722"/>
      <c r="E722"/>
      <c r="F722"/>
      <c r="G722"/>
      <c r="H722"/>
      <c r="I722"/>
      <c r="J722"/>
      <c r="K722"/>
    </row>
    <row r="723" spans="2:11" x14ac:dyDescent="0.25">
      <c r="B723"/>
      <c r="C723"/>
      <c r="D723"/>
      <c r="E723"/>
      <c r="F723"/>
      <c r="G723"/>
      <c r="H723"/>
      <c r="I723"/>
      <c r="J723"/>
      <c r="K723"/>
    </row>
    <row r="724" spans="2:11" x14ac:dyDescent="0.25">
      <c r="B724"/>
      <c r="C724"/>
      <c r="D724"/>
      <c r="E724"/>
      <c r="F724"/>
      <c r="G724"/>
      <c r="H724"/>
      <c r="I724"/>
      <c r="J724"/>
      <c r="K724"/>
    </row>
    <row r="725" spans="2:11" x14ac:dyDescent="0.25">
      <c r="B725"/>
      <c r="C725"/>
      <c r="D725"/>
      <c r="E725"/>
      <c r="F725"/>
      <c r="G725"/>
    </row>
    <row r="726" spans="2:11" x14ac:dyDescent="0.25">
      <c r="B726"/>
      <c r="C726"/>
      <c r="D726"/>
      <c r="E726"/>
      <c r="F726"/>
      <c r="G726"/>
    </row>
    <row r="727" spans="2:11" x14ac:dyDescent="0.25">
      <c r="B727"/>
      <c r="C727"/>
      <c r="D727"/>
      <c r="E727"/>
      <c r="F727"/>
      <c r="G727"/>
    </row>
    <row r="728" spans="2:11" x14ac:dyDescent="0.25">
      <c r="B728"/>
      <c r="C728"/>
      <c r="D728"/>
      <c r="E728"/>
      <c r="F728"/>
      <c r="G728"/>
    </row>
    <row r="729" spans="2:11" x14ac:dyDescent="0.25">
      <c r="B729"/>
      <c r="C729"/>
      <c r="D729"/>
      <c r="E729"/>
      <c r="F729"/>
      <c r="G729"/>
    </row>
    <row r="730" spans="2:11" x14ac:dyDescent="0.25">
      <c r="B730"/>
      <c r="C730"/>
      <c r="D730"/>
      <c r="E730"/>
      <c r="F730"/>
      <c r="G730"/>
    </row>
    <row r="731" spans="2:11" x14ac:dyDescent="0.25">
      <c r="B731"/>
      <c r="C731"/>
      <c r="D731"/>
      <c r="E731"/>
      <c r="F731"/>
      <c r="G731"/>
    </row>
    <row r="732" spans="2:11" x14ac:dyDescent="0.25">
      <c r="B732"/>
      <c r="C732"/>
      <c r="D732"/>
      <c r="E732"/>
      <c r="F732"/>
      <c r="G732"/>
    </row>
    <row r="733" spans="2:11" ht="19.5" customHeight="1" x14ac:dyDescent="0.25">
      <c r="B733"/>
      <c r="C733"/>
      <c r="D733" s="11"/>
      <c r="E733" s="11"/>
    </row>
    <row r="734" spans="2:11" x14ac:dyDescent="0.25">
      <c r="B734" s="29" t="s">
        <v>4</v>
      </c>
      <c r="C734" t="s">
        <v>74</v>
      </c>
      <c r="D734"/>
      <c r="E734"/>
    </row>
    <row r="735" spans="2:11" x14ac:dyDescent="0.25">
      <c r="B735" s="29" t="s">
        <v>0</v>
      </c>
      <c r="C735" t="s">
        <v>74</v>
      </c>
      <c r="E735"/>
    </row>
    <row r="736" spans="2:11" x14ac:dyDescent="0.25">
      <c r="E736"/>
    </row>
    <row r="737" spans="2:18" ht="78.75" x14ac:dyDescent="0.25">
      <c r="B737" s="332" t="s">
        <v>237</v>
      </c>
      <c r="C737" s="334" t="s">
        <v>724</v>
      </c>
      <c r="D737" s="334" t="s">
        <v>723</v>
      </c>
      <c r="E737" s="334" t="s">
        <v>655</v>
      </c>
      <c r="F737" s="334" t="s">
        <v>656</v>
      </c>
      <c r="G737"/>
      <c r="H737"/>
      <c r="I737"/>
      <c r="J737"/>
      <c r="K737"/>
      <c r="L737"/>
      <c r="M737"/>
      <c r="N737"/>
      <c r="O737"/>
      <c r="P737"/>
      <c r="Q737"/>
      <c r="R737"/>
    </row>
    <row r="738" spans="2:18" x14ac:dyDescent="0.25">
      <c r="B738" s="26" t="s">
        <v>630</v>
      </c>
      <c r="C738" s="283">
        <v>4</v>
      </c>
      <c r="D738" s="283">
        <v>4276</v>
      </c>
      <c r="E738" s="279">
        <v>1</v>
      </c>
      <c r="F738" s="279">
        <v>0.96094480823199246</v>
      </c>
      <c r="G738"/>
      <c r="H738"/>
      <c r="I738"/>
      <c r="J738"/>
      <c r="K738"/>
      <c r="L738"/>
      <c r="M738"/>
      <c r="N738"/>
      <c r="O738"/>
      <c r="P738"/>
      <c r="Q738"/>
      <c r="R738"/>
    </row>
    <row r="739" spans="2:18" s="333" customFormat="1" x14ac:dyDescent="0.25">
      <c r="B739" s="293" t="s">
        <v>449</v>
      </c>
      <c r="C739" s="283">
        <v>2</v>
      </c>
      <c r="D739" s="283">
        <v>1807</v>
      </c>
      <c r="E739" s="279">
        <v>1</v>
      </c>
      <c r="F739" s="279">
        <v>0.90758162700608747</v>
      </c>
      <c r="G739"/>
      <c r="H739"/>
      <c r="I739"/>
      <c r="J739"/>
      <c r="K739"/>
      <c r="L739"/>
      <c r="M739"/>
      <c r="N739"/>
      <c r="O739"/>
      <c r="P739"/>
      <c r="Q739"/>
      <c r="R739"/>
    </row>
    <row r="740" spans="2:18" x14ac:dyDescent="0.25">
      <c r="B740" s="329" t="s">
        <v>266</v>
      </c>
      <c r="C740" s="283">
        <v>2</v>
      </c>
      <c r="D740" s="283">
        <v>1807</v>
      </c>
      <c r="E740" s="279">
        <v>1</v>
      </c>
      <c r="F740" s="279">
        <v>0.90758162700608747</v>
      </c>
      <c r="G740"/>
      <c r="H740"/>
      <c r="I740"/>
      <c r="J740"/>
      <c r="K740"/>
      <c r="L740"/>
      <c r="M740"/>
      <c r="N740"/>
      <c r="O740"/>
      <c r="P740"/>
      <c r="Q740"/>
      <c r="R740"/>
    </row>
    <row r="741" spans="2:18" x14ac:dyDescent="0.25">
      <c r="B741" s="328" t="s">
        <v>460</v>
      </c>
      <c r="C741" s="283">
        <v>2</v>
      </c>
      <c r="D741" s="283">
        <v>2469</v>
      </c>
      <c r="E741" s="279">
        <v>1</v>
      </c>
      <c r="F741" s="279">
        <v>1</v>
      </c>
      <c r="G741"/>
      <c r="H741"/>
      <c r="I741"/>
      <c r="J741"/>
      <c r="K741"/>
      <c r="L741"/>
      <c r="M741"/>
      <c r="N741"/>
      <c r="O741"/>
      <c r="P741"/>
      <c r="Q741"/>
      <c r="R741"/>
    </row>
    <row r="742" spans="2:18" x14ac:dyDescent="0.25">
      <c r="B742" s="329" t="s">
        <v>260</v>
      </c>
      <c r="C742" s="283">
        <v>2</v>
      </c>
      <c r="D742" s="283">
        <v>2469</v>
      </c>
      <c r="E742" s="279">
        <v>1</v>
      </c>
      <c r="F742" s="279">
        <v>1</v>
      </c>
      <c r="G742"/>
      <c r="H742"/>
      <c r="I742"/>
      <c r="J742"/>
      <c r="K742"/>
      <c r="L742"/>
      <c r="M742"/>
      <c r="N742"/>
      <c r="O742"/>
      <c r="P742"/>
      <c r="Q742"/>
      <c r="R742"/>
    </row>
    <row r="743" spans="2:18" x14ac:dyDescent="0.25">
      <c r="B743" s="26" t="s">
        <v>235</v>
      </c>
      <c r="C743" s="283">
        <v>33</v>
      </c>
      <c r="D743" s="283">
        <v>23533</v>
      </c>
      <c r="E743" s="279">
        <v>1</v>
      </c>
      <c r="F743" s="279">
        <v>0.97569370670972677</v>
      </c>
      <c r="G743"/>
      <c r="H743"/>
      <c r="I743"/>
      <c r="J743"/>
      <c r="K743"/>
      <c r="L743"/>
      <c r="M743"/>
      <c r="N743"/>
      <c r="O743"/>
      <c r="P743"/>
      <c r="Q743"/>
      <c r="R743"/>
    </row>
    <row r="744" spans="2:18" x14ac:dyDescent="0.25">
      <c r="B744" s="293" t="s">
        <v>449</v>
      </c>
      <c r="C744" s="283">
        <v>33</v>
      </c>
      <c r="D744" s="283">
        <v>23533</v>
      </c>
      <c r="E744" s="279">
        <v>1</v>
      </c>
      <c r="F744" s="279">
        <v>0.97569370670972677</v>
      </c>
      <c r="G744"/>
      <c r="H744"/>
      <c r="I744"/>
      <c r="J744"/>
      <c r="K744"/>
      <c r="L744"/>
      <c r="M744"/>
      <c r="N744"/>
      <c r="O744"/>
      <c r="P744"/>
      <c r="Q744"/>
      <c r="R744"/>
    </row>
    <row r="745" spans="2:18" x14ac:dyDescent="0.25">
      <c r="B745" s="329" t="s">
        <v>257</v>
      </c>
      <c r="C745" s="283">
        <v>1</v>
      </c>
      <c r="D745" s="283">
        <v>60</v>
      </c>
      <c r="E745" s="279">
        <v>1</v>
      </c>
      <c r="F745" s="279">
        <v>1</v>
      </c>
      <c r="G745"/>
      <c r="H745"/>
      <c r="I745"/>
      <c r="J745"/>
      <c r="K745"/>
      <c r="L745"/>
      <c r="M745"/>
      <c r="N745"/>
      <c r="O745"/>
      <c r="P745"/>
      <c r="Q745"/>
      <c r="R745"/>
    </row>
    <row r="746" spans="2:18" x14ac:dyDescent="0.25">
      <c r="B746" s="329" t="s">
        <v>258</v>
      </c>
      <c r="C746" s="283">
        <v>20</v>
      </c>
      <c r="D746" s="283">
        <v>6975</v>
      </c>
      <c r="E746" s="279">
        <v>1</v>
      </c>
      <c r="F746" s="279">
        <v>0.91799283154121869</v>
      </c>
      <c r="G746"/>
      <c r="H746"/>
      <c r="I746"/>
      <c r="J746"/>
      <c r="K746"/>
      <c r="L746"/>
      <c r="M746"/>
      <c r="N746"/>
      <c r="O746"/>
      <c r="P746"/>
      <c r="Q746"/>
      <c r="R746"/>
    </row>
    <row r="747" spans="2:18" x14ac:dyDescent="0.25">
      <c r="B747" s="329" t="s">
        <v>259</v>
      </c>
      <c r="C747" s="283">
        <v>4</v>
      </c>
      <c r="D747" s="283">
        <v>248</v>
      </c>
      <c r="E747" s="279">
        <v>1</v>
      </c>
      <c r="F747" s="279">
        <v>1</v>
      </c>
      <c r="G747"/>
      <c r="H747"/>
      <c r="I747"/>
      <c r="J747"/>
      <c r="K747"/>
      <c r="L747"/>
      <c r="M747"/>
      <c r="N747"/>
      <c r="O747"/>
      <c r="P747"/>
      <c r="Q747"/>
      <c r="R747"/>
    </row>
    <row r="748" spans="2:18" x14ac:dyDescent="0.25">
      <c r="B748" s="329" t="s">
        <v>261</v>
      </c>
      <c r="C748" s="283">
        <v>6</v>
      </c>
      <c r="D748" s="283">
        <v>15295</v>
      </c>
      <c r="E748" s="279">
        <v>1</v>
      </c>
      <c r="F748" s="279">
        <v>1</v>
      </c>
      <c r="G748"/>
      <c r="H748"/>
      <c r="I748"/>
      <c r="J748"/>
      <c r="K748"/>
      <c r="L748"/>
      <c r="M748"/>
      <c r="N748"/>
      <c r="O748"/>
      <c r="P748"/>
      <c r="Q748"/>
      <c r="R748"/>
    </row>
    <row r="749" spans="2:18" x14ac:dyDescent="0.25">
      <c r="B749" s="329" t="s">
        <v>314</v>
      </c>
      <c r="C749" s="283">
        <v>2</v>
      </c>
      <c r="D749" s="283">
        <v>955</v>
      </c>
      <c r="E749" s="279">
        <v>1</v>
      </c>
      <c r="F749" s="279">
        <v>1</v>
      </c>
      <c r="G749"/>
      <c r="H749"/>
      <c r="I749"/>
      <c r="J749"/>
      <c r="K749"/>
      <c r="L749"/>
      <c r="M749"/>
      <c r="N749"/>
      <c r="O749"/>
      <c r="P749"/>
      <c r="Q749"/>
      <c r="R749"/>
    </row>
    <row r="750" spans="2:18" x14ac:dyDescent="0.25">
      <c r="B750" s="26" t="s">
        <v>231</v>
      </c>
      <c r="C750" s="283">
        <v>19</v>
      </c>
      <c r="D750" s="283">
        <v>6373</v>
      </c>
      <c r="E750" s="279">
        <v>1</v>
      </c>
      <c r="F750" s="279">
        <v>0.91291385532716152</v>
      </c>
      <c r="G750"/>
      <c r="H750"/>
      <c r="I750"/>
      <c r="J750"/>
      <c r="K750"/>
      <c r="L750"/>
      <c r="M750"/>
      <c r="N750"/>
      <c r="O750"/>
      <c r="P750"/>
      <c r="Q750"/>
      <c r="R750"/>
    </row>
    <row r="751" spans="2:18" x14ac:dyDescent="0.25">
      <c r="B751" s="293" t="s">
        <v>449</v>
      </c>
      <c r="C751" s="283">
        <v>18</v>
      </c>
      <c r="D751" s="283">
        <v>6328</v>
      </c>
      <c r="E751" s="279">
        <v>1</v>
      </c>
      <c r="F751" s="279">
        <v>0.91229456384323637</v>
      </c>
      <c r="G751"/>
      <c r="H751"/>
      <c r="I751"/>
      <c r="J751"/>
      <c r="K751"/>
      <c r="L751"/>
      <c r="M751"/>
      <c r="N751"/>
      <c r="O751"/>
      <c r="P751"/>
      <c r="Q751"/>
      <c r="R751"/>
    </row>
    <row r="752" spans="2:18" x14ac:dyDescent="0.25">
      <c r="B752" s="329" t="s">
        <v>257</v>
      </c>
      <c r="C752" s="283">
        <v>2</v>
      </c>
      <c r="D752" s="283">
        <v>697</v>
      </c>
      <c r="E752" s="279">
        <v>1</v>
      </c>
      <c r="F752" s="279">
        <v>0.83213773314203732</v>
      </c>
      <c r="G752"/>
      <c r="H752"/>
      <c r="I752"/>
      <c r="J752"/>
      <c r="K752"/>
      <c r="L752"/>
      <c r="M752"/>
      <c r="N752"/>
      <c r="O752"/>
      <c r="P752"/>
      <c r="Q752"/>
      <c r="R752"/>
    </row>
    <row r="753" spans="2:18" x14ac:dyDescent="0.25">
      <c r="B753" s="329" t="s">
        <v>258</v>
      </c>
      <c r="C753" s="283">
        <v>5</v>
      </c>
      <c r="D753" s="283">
        <v>2254</v>
      </c>
      <c r="E753" s="279">
        <v>1</v>
      </c>
      <c r="F753" s="279">
        <v>0.84472049689440998</v>
      </c>
      <c r="G753"/>
      <c r="H753"/>
      <c r="I753"/>
      <c r="J753"/>
      <c r="K753"/>
      <c r="L753"/>
      <c r="M753"/>
      <c r="N753"/>
      <c r="O753"/>
      <c r="P753"/>
      <c r="Q753"/>
      <c r="R753"/>
    </row>
    <row r="754" spans="2:18" x14ac:dyDescent="0.25">
      <c r="B754" s="329" t="s">
        <v>259</v>
      </c>
      <c r="C754" s="283">
        <v>2</v>
      </c>
      <c r="D754" s="283">
        <v>85</v>
      </c>
      <c r="E754" s="279">
        <v>1</v>
      </c>
      <c r="F754" s="279">
        <v>1</v>
      </c>
      <c r="G754"/>
      <c r="H754"/>
      <c r="I754"/>
      <c r="J754"/>
      <c r="K754"/>
      <c r="L754"/>
      <c r="M754"/>
      <c r="N754"/>
      <c r="O754"/>
      <c r="P754"/>
      <c r="Q754"/>
      <c r="R754"/>
    </row>
    <row r="755" spans="2:18" x14ac:dyDescent="0.25">
      <c r="B755" s="329" t="s">
        <v>261</v>
      </c>
      <c r="C755" s="283">
        <v>2</v>
      </c>
      <c r="D755" s="283">
        <v>1285</v>
      </c>
      <c r="E755" s="279">
        <v>1</v>
      </c>
      <c r="F755" s="279">
        <v>1</v>
      </c>
      <c r="G755"/>
      <c r="H755"/>
      <c r="I755"/>
      <c r="J755"/>
      <c r="K755"/>
      <c r="L755"/>
      <c r="M755"/>
      <c r="N755"/>
      <c r="O755"/>
      <c r="P755"/>
      <c r="Q755"/>
      <c r="R755"/>
    </row>
    <row r="756" spans="2:18" x14ac:dyDescent="0.25">
      <c r="B756" s="329" t="s">
        <v>266</v>
      </c>
      <c r="C756" s="283">
        <v>1</v>
      </c>
      <c r="D756" s="283">
        <v>620</v>
      </c>
      <c r="E756" s="279">
        <v>1</v>
      </c>
      <c r="F756" s="279">
        <v>1</v>
      </c>
      <c r="G756"/>
      <c r="H756"/>
      <c r="I756"/>
      <c r="J756"/>
      <c r="K756"/>
      <c r="L756"/>
      <c r="M756"/>
      <c r="N756"/>
      <c r="O756"/>
      <c r="P756"/>
      <c r="Q756"/>
      <c r="R756"/>
    </row>
    <row r="757" spans="2:18" x14ac:dyDescent="0.25">
      <c r="B757" s="329" t="s">
        <v>267</v>
      </c>
      <c r="C757" s="283">
        <v>1</v>
      </c>
      <c r="D757" s="283">
        <v>217</v>
      </c>
      <c r="E757" s="279">
        <v>1</v>
      </c>
      <c r="F757" s="279">
        <v>1</v>
      </c>
      <c r="G757"/>
      <c r="H757"/>
      <c r="I757"/>
      <c r="J757"/>
      <c r="K757"/>
      <c r="L757"/>
      <c r="M757"/>
      <c r="N757"/>
      <c r="O757"/>
      <c r="P757"/>
      <c r="Q757"/>
      <c r="R757"/>
    </row>
    <row r="758" spans="2:18" x14ac:dyDescent="0.25">
      <c r="B758" s="329" t="s">
        <v>268</v>
      </c>
      <c r="C758" s="283">
        <v>2</v>
      </c>
      <c r="D758" s="283">
        <v>500</v>
      </c>
      <c r="E758" s="279">
        <v>1</v>
      </c>
      <c r="F758" s="279">
        <v>1</v>
      </c>
      <c r="G758"/>
      <c r="H758"/>
      <c r="I758"/>
      <c r="J758"/>
      <c r="K758"/>
      <c r="L758"/>
      <c r="M758"/>
      <c r="N758"/>
      <c r="O758"/>
      <c r="P758"/>
      <c r="Q758"/>
      <c r="R758"/>
    </row>
    <row r="759" spans="2:18" x14ac:dyDescent="0.25">
      <c r="B759" s="329" t="s">
        <v>269</v>
      </c>
      <c r="C759" s="283">
        <v>1</v>
      </c>
      <c r="D759" s="283">
        <v>182</v>
      </c>
      <c r="E759" s="279">
        <v>1</v>
      </c>
      <c r="F759" s="279">
        <v>1</v>
      </c>
      <c r="G759"/>
      <c r="H759"/>
      <c r="I759"/>
      <c r="J759"/>
      <c r="K759"/>
      <c r="L759"/>
      <c r="M759"/>
      <c r="N759"/>
      <c r="O759"/>
      <c r="P759"/>
      <c r="Q759"/>
      <c r="R759"/>
    </row>
    <row r="760" spans="2:18" x14ac:dyDescent="0.25">
      <c r="B760" s="329" t="s">
        <v>314</v>
      </c>
      <c r="C760" s="283">
        <v>2</v>
      </c>
      <c r="D760" s="283">
        <v>488</v>
      </c>
      <c r="E760" s="279">
        <v>1</v>
      </c>
      <c r="F760" s="279">
        <v>0.81967213114754101</v>
      </c>
      <c r="G760"/>
      <c r="H760"/>
      <c r="I760"/>
      <c r="J760"/>
      <c r="K760"/>
      <c r="L760"/>
      <c r="M760"/>
      <c r="N760"/>
      <c r="O760"/>
      <c r="P760"/>
      <c r="Q760"/>
      <c r="R760"/>
    </row>
    <row r="761" spans="2:18" x14ac:dyDescent="0.25">
      <c r="B761" s="293" t="s">
        <v>450</v>
      </c>
      <c r="C761" s="283">
        <v>1</v>
      </c>
      <c r="D761" s="283">
        <v>45</v>
      </c>
      <c r="E761" s="279">
        <v>1</v>
      </c>
      <c r="F761" s="279">
        <v>1</v>
      </c>
      <c r="G761"/>
      <c r="H761"/>
      <c r="I761"/>
      <c r="J761"/>
      <c r="K761"/>
      <c r="L761"/>
      <c r="M761"/>
      <c r="N761"/>
      <c r="O761"/>
      <c r="P761"/>
      <c r="Q761"/>
      <c r="R761"/>
    </row>
    <row r="762" spans="2:18" x14ac:dyDescent="0.25">
      <c r="B762" s="329" t="s">
        <v>314</v>
      </c>
      <c r="C762" s="283">
        <v>1</v>
      </c>
      <c r="D762" s="283">
        <v>45</v>
      </c>
      <c r="E762" s="279">
        <v>1</v>
      </c>
      <c r="F762" s="279">
        <v>1</v>
      </c>
      <c r="G762"/>
      <c r="H762"/>
      <c r="I762"/>
      <c r="J762"/>
      <c r="K762"/>
      <c r="L762"/>
      <c r="M762"/>
      <c r="N762"/>
      <c r="O762"/>
      <c r="P762"/>
      <c r="Q762"/>
      <c r="R762"/>
    </row>
    <row r="763" spans="2:18" x14ac:dyDescent="0.25">
      <c r="B763" s="26" t="s">
        <v>233</v>
      </c>
      <c r="C763" s="283">
        <v>36</v>
      </c>
      <c r="D763" s="283">
        <v>18613</v>
      </c>
      <c r="E763" s="279">
        <v>0.9132505954619532</v>
      </c>
      <c r="F763" s="279">
        <v>0.88927093966582493</v>
      </c>
      <c r="G763"/>
      <c r="H763"/>
      <c r="I763"/>
      <c r="J763"/>
      <c r="K763"/>
      <c r="L763"/>
      <c r="M763"/>
      <c r="N763"/>
      <c r="O763"/>
      <c r="P763"/>
      <c r="Q763"/>
      <c r="R763"/>
    </row>
    <row r="764" spans="2:18" x14ac:dyDescent="0.25">
      <c r="B764" s="293" t="s">
        <v>449</v>
      </c>
      <c r="C764" s="283">
        <v>33</v>
      </c>
      <c r="D764" s="283">
        <v>14153</v>
      </c>
      <c r="E764" s="279">
        <v>0.8859134694646601</v>
      </c>
      <c r="F764" s="279">
        <v>0.86059492687062811</v>
      </c>
      <c r="G764"/>
      <c r="H764"/>
      <c r="I764"/>
      <c r="J764"/>
      <c r="K764"/>
      <c r="L764"/>
      <c r="M764"/>
      <c r="N764"/>
      <c r="O764"/>
      <c r="P764"/>
      <c r="Q764"/>
      <c r="R764"/>
    </row>
    <row r="765" spans="2:18" x14ac:dyDescent="0.25">
      <c r="B765" s="329" t="s">
        <v>260</v>
      </c>
      <c r="C765" s="283">
        <v>15</v>
      </c>
      <c r="D765" s="283">
        <v>4939</v>
      </c>
      <c r="E765" s="279">
        <v>1</v>
      </c>
      <c r="F765" s="279">
        <v>0.8698117027738409</v>
      </c>
      <c r="G765"/>
      <c r="H765"/>
      <c r="I765"/>
      <c r="J765"/>
      <c r="K765"/>
      <c r="L765"/>
      <c r="M765"/>
      <c r="N765"/>
      <c r="O765"/>
      <c r="P765"/>
      <c r="Q765"/>
      <c r="R765"/>
    </row>
    <row r="766" spans="2:18" x14ac:dyDescent="0.25">
      <c r="B766" s="329" t="s">
        <v>261</v>
      </c>
      <c r="C766" s="283">
        <v>3</v>
      </c>
      <c r="D766" s="283">
        <v>4040</v>
      </c>
      <c r="E766" s="279">
        <v>1</v>
      </c>
      <c r="F766" s="279">
        <v>1</v>
      </c>
      <c r="G766"/>
      <c r="H766"/>
      <c r="I766"/>
      <c r="J766"/>
      <c r="K766"/>
      <c r="L766"/>
      <c r="M766"/>
      <c r="N766"/>
      <c r="O766"/>
      <c r="P766"/>
      <c r="Q766"/>
      <c r="R766"/>
    </row>
    <row r="767" spans="2:18" x14ac:dyDescent="0.25">
      <c r="B767" s="329" t="s">
        <v>267</v>
      </c>
      <c r="C767" s="283">
        <v>5</v>
      </c>
      <c r="D767" s="283">
        <v>1663</v>
      </c>
      <c r="E767" s="279">
        <v>0.97113650030066145</v>
      </c>
      <c r="F767" s="279">
        <v>0.69693325315694532</v>
      </c>
      <c r="G767"/>
      <c r="H767"/>
      <c r="I767"/>
      <c r="J767"/>
      <c r="K767"/>
      <c r="L767"/>
      <c r="M767"/>
      <c r="N767"/>
      <c r="O767"/>
      <c r="P767"/>
      <c r="Q767"/>
      <c r="R767"/>
    </row>
    <row r="768" spans="2:18" x14ac:dyDescent="0.25">
      <c r="B768" s="329" t="s">
        <v>268</v>
      </c>
      <c r="C768" s="283">
        <v>7</v>
      </c>
      <c r="D768" s="283">
        <v>2720</v>
      </c>
      <c r="E768" s="279">
        <v>0.63725490196078438</v>
      </c>
      <c r="F768" s="279">
        <v>0.82132352941176467</v>
      </c>
      <c r="G768"/>
      <c r="H768"/>
      <c r="I768"/>
      <c r="J768"/>
      <c r="K768"/>
      <c r="L768"/>
      <c r="M768"/>
      <c r="N768"/>
      <c r="O768"/>
      <c r="P768"/>
      <c r="Q768"/>
      <c r="R768"/>
    </row>
    <row r="769" spans="2:18" x14ac:dyDescent="0.25">
      <c r="B769" s="329" t="s">
        <v>269</v>
      </c>
      <c r="C769" s="283">
        <v>3</v>
      </c>
      <c r="D769" s="283">
        <v>791</v>
      </c>
      <c r="E769" s="279">
        <v>0.26675094816687739</v>
      </c>
      <c r="F769" s="279">
        <v>0.5701643489254109</v>
      </c>
      <c r="G769"/>
      <c r="H769"/>
      <c r="I769"/>
      <c r="J769"/>
      <c r="K769"/>
      <c r="L769"/>
      <c r="M769"/>
      <c r="N769"/>
      <c r="O769"/>
      <c r="P769"/>
      <c r="Q769"/>
      <c r="R769"/>
    </row>
    <row r="770" spans="2:18" x14ac:dyDescent="0.25">
      <c r="B770" s="293" t="s">
        <v>450</v>
      </c>
      <c r="C770" s="283">
        <v>2</v>
      </c>
      <c r="D770" s="283">
        <v>919</v>
      </c>
      <c r="E770" s="279">
        <v>1</v>
      </c>
      <c r="F770" s="279">
        <v>0.90424374319912948</v>
      </c>
      <c r="G770"/>
      <c r="H770"/>
      <c r="I770"/>
      <c r="J770"/>
      <c r="K770"/>
      <c r="L770"/>
      <c r="M770"/>
      <c r="N770"/>
      <c r="O770"/>
      <c r="P770"/>
      <c r="Q770"/>
      <c r="R770"/>
    </row>
    <row r="771" spans="2:18" x14ac:dyDescent="0.25">
      <c r="B771" s="329" t="s">
        <v>261</v>
      </c>
      <c r="C771" s="283">
        <v>2</v>
      </c>
      <c r="D771" s="283">
        <v>919</v>
      </c>
      <c r="E771" s="279">
        <v>1</v>
      </c>
      <c r="F771" s="279">
        <v>0.90424374319912948</v>
      </c>
      <c r="G771"/>
      <c r="H771"/>
      <c r="I771"/>
      <c r="J771"/>
      <c r="K771"/>
      <c r="L771"/>
      <c r="M771"/>
      <c r="N771"/>
      <c r="O771"/>
      <c r="P771"/>
      <c r="Q771"/>
      <c r="R771"/>
    </row>
    <row r="772" spans="2:18" x14ac:dyDescent="0.25">
      <c r="B772" s="328" t="s">
        <v>460</v>
      </c>
      <c r="C772" s="283">
        <v>1</v>
      </c>
      <c r="D772" s="283">
        <v>3541</v>
      </c>
      <c r="E772" s="279">
        <v>1</v>
      </c>
      <c r="F772" s="279">
        <v>1</v>
      </c>
      <c r="G772"/>
      <c r="H772"/>
      <c r="I772"/>
      <c r="J772"/>
      <c r="K772"/>
      <c r="L772"/>
      <c r="M772"/>
      <c r="N772"/>
      <c r="O772"/>
      <c r="P772"/>
      <c r="Q772"/>
      <c r="R772"/>
    </row>
    <row r="773" spans="2:18" x14ac:dyDescent="0.25">
      <c r="B773" s="329" t="s">
        <v>261</v>
      </c>
      <c r="C773" s="283">
        <v>1</v>
      </c>
      <c r="D773" s="283">
        <v>3541</v>
      </c>
      <c r="E773" s="279">
        <v>1</v>
      </c>
      <c r="F773" s="279">
        <v>1</v>
      </c>
      <c r="G773"/>
      <c r="H773"/>
      <c r="I773"/>
      <c r="J773"/>
      <c r="K773"/>
      <c r="L773"/>
      <c r="M773"/>
      <c r="N773"/>
      <c r="O773"/>
      <c r="P773"/>
      <c r="Q773"/>
      <c r="R773"/>
    </row>
    <row r="774" spans="2:18" x14ac:dyDescent="0.25">
      <c r="B774" s="26" t="s">
        <v>300</v>
      </c>
      <c r="C774" s="283">
        <v>15</v>
      </c>
      <c r="D774" s="283">
        <v>1905</v>
      </c>
      <c r="E774" s="279">
        <v>0.33648293963254594</v>
      </c>
      <c r="F774" s="279">
        <v>0.28188976377952757</v>
      </c>
      <c r="G774"/>
      <c r="H774"/>
      <c r="I774"/>
      <c r="J774"/>
      <c r="K774"/>
      <c r="L774"/>
      <c r="M774"/>
      <c r="N774"/>
      <c r="O774"/>
      <c r="P774"/>
      <c r="Q774"/>
      <c r="R774"/>
    </row>
    <row r="775" spans="2:18" x14ac:dyDescent="0.25">
      <c r="B775" s="293" t="s">
        <v>449</v>
      </c>
      <c r="C775" s="283">
        <v>2</v>
      </c>
      <c r="D775" s="283">
        <v>241</v>
      </c>
      <c r="E775" s="279">
        <v>0.9294605809128631</v>
      </c>
      <c r="F775" s="279">
        <v>0.49792531120331951</v>
      </c>
      <c r="G775"/>
      <c r="H775"/>
      <c r="I775"/>
      <c r="J775"/>
      <c r="K775"/>
      <c r="L775"/>
      <c r="M775"/>
      <c r="N775"/>
      <c r="O775"/>
      <c r="P775"/>
      <c r="Q775"/>
      <c r="R775"/>
    </row>
    <row r="776" spans="2:18" x14ac:dyDescent="0.25">
      <c r="B776" s="329" t="s">
        <v>257</v>
      </c>
      <c r="C776" s="283">
        <v>1</v>
      </c>
      <c r="D776" s="283">
        <v>224</v>
      </c>
      <c r="E776" s="279">
        <v>1</v>
      </c>
      <c r="F776" s="279">
        <v>0.5357142857142857</v>
      </c>
      <c r="G776"/>
      <c r="H776"/>
      <c r="I776"/>
      <c r="J776"/>
      <c r="K776"/>
      <c r="L776"/>
      <c r="M776"/>
      <c r="N776"/>
      <c r="O776"/>
      <c r="P776"/>
      <c r="Q776"/>
      <c r="R776"/>
    </row>
    <row r="777" spans="2:18" x14ac:dyDescent="0.25">
      <c r="B777" s="329" t="s">
        <v>314</v>
      </c>
      <c r="C777" s="283">
        <v>1</v>
      </c>
      <c r="D777" s="283">
        <v>17</v>
      </c>
      <c r="E777" s="279">
        <v>0</v>
      </c>
      <c r="F777" s="279">
        <v>0</v>
      </c>
      <c r="G777"/>
      <c r="H777"/>
      <c r="I777"/>
      <c r="J777"/>
      <c r="K777"/>
      <c r="L777"/>
      <c r="M777"/>
      <c r="N777"/>
      <c r="O777"/>
      <c r="P777"/>
      <c r="Q777"/>
      <c r="R777"/>
    </row>
    <row r="778" spans="2:18" x14ac:dyDescent="0.25">
      <c r="B778" s="293" t="s">
        <v>450</v>
      </c>
      <c r="C778" s="283">
        <v>1</v>
      </c>
      <c r="D778" s="283">
        <v>136</v>
      </c>
      <c r="E778" s="279">
        <v>1</v>
      </c>
      <c r="F778" s="279">
        <v>1</v>
      </c>
      <c r="G778"/>
      <c r="H778"/>
      <c r="I778"/>
      <c r="J778"/>
      <c r="K778"/>
      <c r="L778"/>
      <c r="M778"/>
      <c r="N778"/>
      <c r="O778"/>
      <c r="P778"/>
      <c r="Q778"/>
      <c r="R778"/>
    </row>
    <row r="779" spans="2:18" x14ac:dyDescent="0.25">
      <c r="B779" s="329" t="s">
        <v>266</v>
      </c>
      <c r="C779" s="283">
        <v>1</v>
      </c>
      <c r="D779" s="283">
        <v>136</v>
      </c>
      <c r="E779" s="279">
        <v>1</v>
      </c>
      <c r="F779" s="279">
        <v>1</v>
      </c>
      <c r="G779"/>
      <c r="H779"/>
      <c r="I779"/>
      <c r="J779"/>
      <c r="K779"/>
      <c r="L779"/>
      <c r="M779"/>
      <c r="N779"/>
      <c r="O779"/>
      <c r="P779"/>
      <c r="Q779"/>
      <c r="R779"/>
    </row>
    <row r="780" spans="2:18" x14ac:dyDescent="0.25">
      <c r="B780" s="328" t="s">
        <v>460</v>
      </c>
      <c r="C780" s="283">
        <v>12</v>
      </c>
      <c r="D780" s="283">
        <v>1528</v>
      </c>
      <c r="E780" s="279">
        <v>0.18390052356020942</v>
      </c>
      <c r="F780" s="279">
        <v>0.18390052356020942</v>
      </c>
      <c r="G780"/>
      <c r="H780"/>
      <c r="I780"/>
      <c r="J780"/>
      <c r="K780"/>
      <c r="L780"/>
      <c r="M780"/>
      <c r="N780"/>
      <c r="O780"/>
      <c r="P780"/>
      <c r="Q780"/>
      <c r="R780"/>
    </row>
    <row r="781" spans="2:18" x14ac:dyDescent="0.25">
      <c r="B781" s="329" t="s">
        <v>259</v>
      </c>
      <c r="C781" s="283">
        <v>2</v>
      </c>
      <c r="D781" s="283">
        <v>165</v>
      </c>
      <c r="E781" s="279">
        <v>1</v>
      </c>
      <c r="F781" s="279">
        <v>1</v>
      </c>
      <c r="G781"/>
      <c r="H781"/>
      <c r="I781"/>
      <c r="J781"/>
      <c r="K781"/>
      <c r="L781"/>
      <c r="M781"/>
      <c r="N781"/>
      <c r="O781"/>
      <c r="P781"/>
      <c r="Q781"/>
      <c r="R781"/>
    </row>
    <row r="782" spans="2:18" x14ac:dyDescent="0.25">
      <c r="B782" s="329" t="s">
        <v>260</v>
      </c>
      <c r="C782" s="283">
        <v>7</v>
      </c>
      <c r="D782" s="283">
        <v>801</v>
      </c>
      <c r="E782" s="279">
        <v>0</v>
      </c>
      <c r="F782" s="279">
        <v>0</v>
      </c>
      <c r="G782"/>
      <c r="H782"/>
      <c r="I782"/>
      <c r="J782"/>
      <c r="K782"/>
      <c r="L782"/>
      <c r="M782"/>
      <c r="N782"/>
      <c r="O782"/>
      <c r="P782"/>
      <c r="Q782"/>
      <c r="R782"/>
    </row>
    <row r="783" spans="2:18" x14ac:dyDescent="0.25">
      <c r="B783" s="329" t="s">
        <v>269</v>
      </c>
      <c r="C783" s="283">
        <v>1</v>
      </c>
      <c r="D783" s="283">
        <v>446</v>
      </c>
      <c r="E783" s="279">
        <v>0</v>
      </c>
      <c r="F783" s="279">
        <v>0</v>
      </c>
      <c r="G783"/>
      <c r="H783"/>
      <c r="I783"/>
      <c r="J783"/>
      <c r="K783"/>
      <c r="L783"/>
      <c r="M783"/>
      <c r="N783"/>
      <c r="O783"/>
      <c r="P783"/>
      <c r="Q783"/>
      <c r="R783"/>
    </row>
    <row r="784" spans="2:18" x14ac:dyDescent="0.25">
      <c r="B784" s="329" t="s">
        <v>314</v>
      </c>
      <c r="C784" s="283">
        <v>2</v>
      </c>
      <c r="D784" s="283">
        <v>116</v>
      </c>
      <c r="E784" s="279">
        <v>1</v>
      </c>
      <c r="F784" s="279">
        <v>1</v>
      </c>
      <c r="G784"/>
      <c r="H784"/>
      <c r="I784"/>
      <c r="J784"/>
      <c r="K784"/>
      <c r="L784"/>
      <c r="M784"/>
      <c r="N784"/>
      <c r="O784"/>
      <c r="P784"/>
      <c r="Q784"/>
      <c r="R784"/>
    </row>
    <row r="785" spans="2:18" x14ac:dyDescent="0.25">
      <c r="B785" s="26" t="s">
        <v>411</v>
      </c>
      <c r="C785" s="283">
        <v>6</v>
      </c>
      <c r="D785" s="283">
        <v>4126</v>
      </c>
      <c r="E785" s="279">
        <v>0.99620294070124427</v>
      </c>
      <c r="F785" s="279">
        <v>0.86476005816771695</v>
      </c>
      <c r="G785"/>
      <c r="H785"/>
      <c r="I785"/>
      <c r="J785"/>
      <c r="K785"/>
      <c r="L785"/>
      <c r="M785"/>
      <c r="N785"/>
      <c r="O785"/>
      <c r="P785"/>
      <c r="Q785"/>
      <c r="R785"/>
    </row>
    <row r="786" spans="2:18" x14ac:dyDescent="0.25">
      <c r="B786" s="293" t="s">
        <v>449</v>
      </c>
      <c r="C786" s="283">
        <v>6</v>
      </c>
      <c r="D786" s="283">
        <v>4126</v>
      </c>
      <c r="E786" s="279">
        <v>0.99620294070124427</v>
      </c>
      <c r="F786" s="279">
        <v>0.86476005816771695</v>
      </c>
      <c r="G786"/>
      <c r="H786"/>
      <c r="I786"/>
      <c r="J786"/>
      <c r="K786"/>
      <c r="L786"/>
      <c r="M786"/>
      <c r="N786"/>
      <c r="O786"/>
      <c r="P786"/>
      <c r="Q786"/>
      <c r="R786"/>
    </row>
    <row r="787" spans="2:18" x14ac:dyDescent="0.25">
      <c r="B787" s="329" t="s">
        <v>267</v>
      </c>
      <c r="C787" s="283">
        <v>6</v>
      </c>
      <c r="D787" s="283">
        <v>4126</v>
      </c>
      <c r="E787" s="279">
        <v>0.99620294070124427</v>
      </c>
      <c r="F787" s="279">
        <v>0.86476005816771695</v>
      </c>
      <c r="G787"/>
      <c r="H787"/>
      <c r="I787"/>
      <c r="J787"/>
      <c r="K787"/>
      <c r="L787"/>
      <c r="M787"/>
      <c r="N787"/>
      <c r="O787"/>
      <c r="P787"/>
      <c r="Q787"/>
      <c r="R787"/>
    </row>
    <row r="788" spans="2:18" x14ac:dyDescent="0.25">
      <c r="B788" s="26" t="s">
        <v>276</v>
      </c>
      <c r="C788" s="283">
        <v>35</v>
      </c>
      <c r="D788" s="283">
        <v>7202</v>
      </c>
      <c r="E788" s="279">
        <v>1</v>
      </c>
      <c r="F788" s="279">
        <v>0.82893640655373513</v>
      </c>
      <c r="G788"/>
      <c r="H788"/>
      <c r="I788"/>
      <c r="J788"/>
      <c r="K788"/>
      <c r="L788"/>
      <c r="M788"/>
      <c r="N788"/>
      <c r="O788"/>
      <c r="P788"/>
      <c r="Q788"/>
      <c r="R788"/>
    </row>
    <row r="789" spans="2:18" x14ac:dyDescent="0.25">
      <c r="B789" s="293" t="s">
        <v>449</v>
      </c>
      <c r="C789" s="283">
        <v>35</v>
      </c>
      <c r="D789" s="283">
        <v>7202</v>
      </c>
      <c r="E789" s="279">
        <v>1</v>
      </c>
      <c r="F789" s="279">
        <v>0.82893640655373513</v>
      </c>
      <c r="G789"/>
      <c r="H789"/>
      <c r="I789"/>
      <c r="J789"/>
      <c r="K789"/>
      <c r="L789"/>
      <c r="M789"/>
      <c r="N789"/>
      <c r="O789"/>
      <c r="P789"/>
      <c r="Q789"/>
      <c r="R789"/>
    </row>
    <row r="790" spans="2:18" x14ac:dyDescent="0.25">
      <c r="B790" s="329" t="s">
        <v>257</v>
      </c>
      <c r="C790" s="283">
        <v>18</v>
      </c>
      <c r="D790" s="283">
        <v>2679</v>
      </c>
      <c r="E790" s="279">
        <v>1</v>
      </c>
      <c r="F790" s="279">
        <v>0.80403135498320266</v>
      </c>
      <c r="G790"/>
      <c r="H790"/>
      <c r="I790"/>
      <c r="J790"/>
      <c r="K790"/>
      <c r="L790"/>
      <c r="M790"/>
      <c r="N790"/>
      <c r="O790"/>
      <c r="P790"/>
      <c r="Q790"/>
      <c r="R790"/>
    </row>
    <row r="791" spans="2:18" x14ac:dyDescent="0.25">
      <c r="B791" s="329" t="s">
        <v>258</v>
      </c>
      <c r="C791" s="283">
        <v>15</v>
      </c>
      <c r="D791" s="283">
        <v>3345</v>
      </c>
      <c r="E791" s="279">
        <v>1</v>
      </c>
      <c r="F791" s="279">
        <v>0.88370702541106128</v>
      </c>
      <c r="G791"/>
      <c r="H791"/>
      <c r="I791"/>
      <c r="J791"/>
      <c r="K791"/>
      <c r="L791"/>
      <c r="M791"/>
      <c r="N791"/>
      <c r="O791"/>
      <c r="P791"/>
      <c r="Q791"/>
      <c r="R791"/>
    </row>
    <row r="792" spans="2:18" x14ac:dyDescent="0.25">
      <c r="B792" s="329" t="s">
        <v>314</v>
      </c>
      <c r="C792" s="283">
        <v>2</v>
      </c>
      <c r="D792" s="283">
        <v>1178</v>
      </c>
      <c r="E792" s="279">
        <v>1</v>
      </c>
      <c r="F792" s="279">
        <v>0.7300509337860781</v>
      </c>
      <c r="G792"/>
      <c r="H792"/>
      <c r="I792"/>
      <c r="J792"/>
      <c r="K792"/>
      <c r="L792"/>
      <c r="M792"/>
      <c r="N792"/>
      <c r="O792"/>
      <c r="P792"/>
      <c r="Q792"/>
      <c r="R792"/>
    </row>
    <row r="793" spans="2:18" x14ac:dyDescent="0.25">
      <c r="B793" s="26" t="s">
        <v>234</v>
      </c>
      <c r="C793" s="283">
        <v>15</v>
      </c>
      <c r="D793" s="283">
        <v>8348</v>
      </c>
      <c r="E793" s="279">
        <v>1</v>
      </c>
      <c r="F793" s="279">
        <v>0.78941063727839</v>
      </c>
      <c r="G793"/>
      <c r="H793"/>
      <c r="I793"/>
      <c r="J793"/>
      <c r="K793"/>
      <c r="L793"/>
      <c r="M793"/>
      <c r="N793"/>
      <c r="O793"/>
      <c r="P793"/>
      <c r="Q793"/>
      <c r="R793"/>
    </row>
    <row r="794" spans="2:18" x14ac:dyDescent="0.25">
      <c r="B794" s="293" t="s">
        <v>449</v>
      </c>
      <c r="C794" s="283">
        <v>15</v>
      </c>
      <c r="D794" s="283">
        <v>8348</v>
      </c>
      <c r="E794" s="279">
        <v>1</v>
      </c>
      <c r="F794" s="279">
        <v>0.78941063727839</v>
      </c>
      <c r="G794"/>
      <c r="H794"/>
      <c r="I794"/>
      <c r="J794"/>
      <c r="K794"/>
      <c r="L794"/>
      <c r="M794"/>
      <c r="N794"/>
      <c r="O794"/>
      <c r="P794"/>
      <c r="Q794"/>
      <c r="R794"/>
    </row>
    <row r="795" spans="2:18" x14ac:dyDescent="0.25">
      <c r="B795" s="329" t="s">
        <v>260</v>
      </c>
      <c r="C795" s="283">
        <v>7</v>
      </c>
      <c r="D795" s="283">
        <v>6538</v>
      </c>
      <c r="E795" s="279">
        <v>1</v>
      </c>
      <c r="F795" s="279">
        <v>0.76781890486387272</v>
      </c>
      <c r="G795"/>
      <c r="H795"/>
      <c r="I795"/>
      <c r="J795"/>
      <c r="K795"/>
      <c r="L795"/>
      <c r="M795"/>
      <c r="N795"/>
      <c r="O795"/>
      <c r="P795"/>
      <c r="Q795"/>
      <c r="R795"/>
    </row>
    <row r="796" spans="2:18" x14ac:dyDescent="0.25">
      <c r="B796" s="329" t="s">
        <v>266</v>
      </c>
      <c r="C796" s="283">
        <v>8</v>
      </c>
      <c r="D796" s="283">
        <v>1810</v>
      </c>
      <c r="E796" s="279">
        <v>1</v>
      </c>
      <c r="F796" s="279">
        <v>0.86740331491712708</v>
      </c>
    </row>
    <row r="797" spans="2:18" x14ac:dyDescent="0.25">
      <c r="B797" s="26" t="s">
        <v>285</v>
      </c>
      <c r="C797" s="283">
        <v>12</v>
      </c>
      <c r="D797" s="283">
        <v>9522</v>
      </c>
      <c r="E797" s="279">
        <v>1</v>
      </c>
      <c r="F797" s="279">
        <v>0.90779248057130857</v>
      </c>
    </row>
    <row r="798" spans="2:18" x14ac:dyDescent="0.25">
      <c r="B798" s="293" t="s">
        <v>449</v>
      </c>
      <c r="C798" s="283">
        <v>8</v>
      </c>
      <c r="D798" s="283">
        <v>8146</v>
      </c>
      <c r="E798" s="279">
        <v>1</v>
      </c>
      <c r="F798" s="279">
        <v>0.91149030198870606</v>
      </c>
    </row>
    <row r="799" spans="2:18" x14ac:dyDescent="0.25">
      <c r="B799" s="329" t="s">
        <v>266</v>
      </c>
      <c r="C799" s="283">
        <v>8</v>
      </c>
      <c r="D799" s="283">
        <v>8146</v>
      </c>
      <c r="E799" s="279">
        <v>1</v>
      </c>
      <c r="F799" s="279">
        <v>0.91149030198870606</v>
      </c>
    </row>
    <row r="800" spans="2:18" x14ac:dyDescent="0.25">
      <c r="B800" s="293" t="s">
        <v>450</v>
      </c>
      <c r="C800" s="283">
        <v>3</v>
      </c>
      <c r="D800" s="283">
        <v>1050</v>
      </c>
      <c r="E800" s="279">
        <v>1</v>
      </c>
      <c r="F800" s="279">
        <v>0.8504761904761905</v>
      </c>
    </row>
    <row r="801" spans="2:6" x14ac:dyDescent="0.25">
      <c r="B801" s="329" t="s">
        <v>266</v>
      </c>
      <c r="C801" s="283">
        <v>3</v>
      </c>
      <c r="D801" s="283">
        <v>1050</v>
      </c>
      <c r="E801" s="279">
        <v>1</v>
      </c>
      <c r="F801" s="279">
        <v>0.8504761904761905</v>
      </c>
    </row>
    <row r="802" spans="2:6" x14ac:dyDescent="0.25">
      <c r="B802" s="328" t="s">
        <v>460</v>
      </c>
      <c r="C802" s="283">
        <v>1</v>
      </c>
      <c r="D802" s="283">
        <v>326</v>
      </c>
      <c r="E802" s="279">
        <v>1</v>
      </c>
      <c r="F802" s="279">
        <v>1</v>
      </c>
    </row>
    <row r="803" spans="2:6" x14ac:dyDescent="0.25">
      <c r="B803" s="329" t="s">
        <v>266</v>
      </c>
      <c r="C803" s="283">
        <v>1</v>
      </c>
      <c r="D803" s="283">
        <v>326</v>
      </c>
      <c r="E803" s="279">
        <v>1</v>
      </c>
      <c r="F803" s="279">
        <v>1</v>
      </c>
    </row>
    <row r="804" spans="2:6" x14ac:dyDescent="0.25">
      <c r="B804" s="26" t="s">
        <v>73</v>
      </c>
      <c r="C804" s="283">
        <v>175</v>
      </c>
      <c r="D804" s="283">
        <v>83898</v>
      </c>
      <c r="E804" s="279">
        <v>0.96550176007374044</v>
      </c>
      <c r="F804" s="279">
        <v>0.89095091658919168</v>
      </c>
    </row>
    <row r="805" spans="2:6" x14ac:dyDescent="0.25">
      <c r="B805"/>
      <c r="C805"/>
      <c r="D805"/>
      <c r="E805"/>
      <c r="F805"/>
    </row>
    <row r="806" spans="2:6" x14ac:dyDescent="0.25">
      <c r="B806"/>
      <c r="C806"/>
      <c r="D806"/>
      <c r="E806"/>
      <c r="F806"/>
    </row>
    <row r="807" spans="2:6" x14ac:dyDescent="0.25">
      <c r="B807"/>
      <c r="C807"/>
      <c r="D807"/>
      <c r="E807"/>
      <c r="F807"/>
    </row>
    <row r="808" spans="2:6" x14ac:dyDescent="0.25">
      <c r="B808"/>
      <c r="C808"/>
      <c r="D808"/>
      <c r="E808"/>
      <c r="F808"/>
    </row>
    <row r="809" spans="2:6" x14ac:dyDescent="0.25">
      <c r="B809"/>
      <c r="C809"/>
      <c r="D809"/>
      <c r="E809"/>
      <c r="F809"/>
    </row>
    <row r="810" spans="2:6" x14ac:dyDescent="0.25">
      <c r="B810"/>
      <c r="C810"/>
      <c r="D810"/>
      <c r="E810"/>
      <c r="F810"/>
    </row>
    <row r="811" spans="2:6" x14ac:dyDescent="0.25">
      <c r="B811"/>
      <c r="C811"/>
      <c r="D811"/>
      <c r="E811"/>
      <c r="F811"/>
    </row>
    <row r="812" spans="2:6" x14ac:dyDescent="0.25">
      <c r="B812"/>
      <c r="C812"/>
      <c r="D812"/>
      <c r="E812"/>
      <c r="F812"/>
    </row>
    <row r="813" spans="2:6" x14ac:dyDescent="0.25">
      <c r="B813"/>
      <c r="C813"/>
      <c r="D813"/>
      <c r="E813"/>
      <c r="F813"/>
    </row>
    <row r="814" spans="2:6" x14ac:dyDescent="0.25">
      <c r="B814"/>
      <c r="C814"/>
      <c r="D814"/>
      <c r="E814"/>
      <c r="F814"/>
    </row>
    <row r="815" spans="2:6" x14ac:dyDescent="0.25">
      <c r="B815"/>
      <c r="C815"/>
      <c r="D815"/>
      <c r="E815"/>
      <c r="F815"/>
    </row>
    <row r="816" spans="2:6" x14ac:dyDescent="0.25">
      <c r="B816"/>
      <c r="C816"/>
      <c r="D816"/>
      <c r="E816"/>
      <c r="F816"/>
    </row>
    <row r="817" spans="2:6" x14ac:dyDescent="0.25">
      <c r="B817"/>
      <c r="C817"/>
      <c r="D817"/>
      <c r="E817"/>
      <c r="F817"/>
    </row>
    <row r="818" spans="2:6" x14ac:dyDescent="0.25">
      <c r="B818"/>
      <c r="C818"/>
      <c r="D818"/>
      <c r="E818"/>
      <c r="F818"/>
    </row>
    <row r="819" spans="2:6" x14ac:dyDescent="0.25">
      <c r="B819"/>
      <c r="C819"/>
      <c r="D819"/>
      <c r="E819"/>
      <c r="F819"/>
    </row>
    <row r="820" spans="2:6" x14ac:dyDescent="0.25">
      <c r="B820"/>
      <c r="C820"/>
      <c r="D820"/>
      <c r="E820"/>
      <c r="F820"/>
    </row>
    <row r="821" spans="2:6" x14ac:dyDescent="0.25">
      <c r="B821"/>
      <c r="C821"/>
      <c r="D821"/>
      <c r="E821"/>
      <c r="F821"/>
    </row>
    <row r="822" spans="2:6" x14ac:dyDescent="0.25">
      <c r="B822"/>
      <c r="C822"/>
      <c r="D822"/>
      <c r="E822"/>
      <c r="F822"/>
    </row>
    <row r="823" spans="2:6" x14ac:dyDescent="0.25">
      <c r="B823"/>
      <c r="C823"/>
      <c r="D823"/>
      <c r="E823"/>
      <c r="F823"/>
    </row>
    <row r="824" spans="2:6" x14ac:dyDescent="0.25">
      <c r="B824"/>
      <c r="C824"/>
      <c r="D824"/>
      <c r="E824"/>
      <c r="F824"/>
    </row>
    <row r="825" spans="2:6" x14ac:dyDescent="0.25">
      <c r="B825"/>
      <c r="C825"/>
      <c r="D825"/>
      <c r="E825"/>
      <c r="F825"/>
    </row>
    <row r="826" spans="2:6" x14ac:dyDescent="0.25">
      <c r="B826"/>
      <c r="C826"/>
      <c r="D826"/>
      <c r="E826"/>
      <c r="F826"/>
    </row>
    <row r="827" spans="2:6" x14ac:dyDescent="0.25">
      <c r="B827"/>
      <c r="C827"/>
      <c r="D827"/>
      <c r="E827"/>
      <c r="F827"/>
    </row>
    <row r="828" spans="2:6" x14ac:dyDescent="0.25">
      <c r="B828"/>
      <c r="C828"/>
      <c r="D828"/>
      <c r="E828"/>
      <c r="F828"/>
    </row>
    <row r="829" spans="2:6" x14ac:dyDescent="0.25">
      <c r="B829"/>
      <c r="C829"/>
      <c r="D829"/>
      <c r="E829"/>
      <c r="F829"/>
    </row>
    <row r="830" spans="2:6" x14ac:dyDescent="0.25">
      <c r="B830"/>
      <c r="C830"/>
      <c r="D830"/>
      <c r="E830"/>
      <c r="F830"/>
    </row>
    <row r="831" spans="2:6" x14ac:dyDescent="0.25">
      <c r="B831"/>
      <c r="C831"/>
      <c r="D831"/>
      <c r="E831"/>
      <c r="F831"/>
    </row>
    <row r="832" spans="2:6" x14ac:dyDescent="0.25">
      <c r="B832"/>
      <c r="C832"/>
      <c r="D832"/>
      <c r="E832"/>
      <c r="F832"/>
    </row>
    <row r="833" spans="2:6" x14ac:dyDescent="0.25">
      <c r="B833"/>
      <c r="C833"/>
      <c r="D833"/>
      <c r="E833"/>
      <c r="F833"/>
    </row>
    <row r="834" spans="2:6" x14ac:dyDescent="0.25">
      <c r="B834"/>
      <c r="C834"/>
      <c r="D834"/>
      <c r="E834"/>
      <c r="F834"/>
    </row>
    <row r="835" spans="2:6" x14ac:dyDescent="0.25">
      <c r="B835"/>
      <c r="C835"/>
      <c r="D835"/>
      <c r="E835"/>
      <c r="F835"/>
    </row>
    <row r="836" spans="2:6" x14ac:dyDescent="0.25">
      <c r="B836"/>
      <c r="C836"/>
      <c r="D836"/>
      <c r="E836"/>
      <c r="F836"/>
    </row>
    <row r="837" spans="2:6" x14ac:dyDescent="0.25">
      <c r="B837"/>
      <c r="C837"/>
      <c r="D837"/>
      <c r="E837"/>
      <c r="F837"/>
    </row>
    <row r="838" spans="2:6" x14ac:dyDescent="0.25">
      <c r="B838"/>
      <c r="C838"/>
      <c r="D838"/>
      <c r="E838"/>
      <c r="F838"/>
    </row>
    <row r="839" spans="2:6" x14ac:dyDescent="0.25">
      <c r="B839"/>
      <c r="C839"/>
      <c r="D839"/>
      <c r="E839"/>
      <c r="F839"/>
    </row>
    <row r="840" spans="2:6" x14ac:dyDescent="0.25">
      <c r="B840"/>
      <c r="C840"/>
      <c r="D840"/>
      <c r="E840"/>
      <c r="F840"/>
    </row>
    <row r="841" spans="2:6" x14ac:dyDescent="0.25">
      <c r="B841"/>
      <c r="C841"/>
      <c r="D841"/>
      <c r="E841"/>
      <c r="F841"/>
    </row>
    <row r="842" spans="2:6" x14ac:dyDescent="0.25">
      <c r="B842"/>
      <c r="C842"/>
      <c r="D842"/>
      <c r="E842"/>
      <c r="F842"/>
    </row>
    <row r="843" spans="2:6" x14ac:dyDescent="0.25">
      <c r="B843"/>
      <c r="C843"/>
      <c r="D843"/>
      <c r="E843"/>
      <c r="F843"/>
    </row>
    <row r="844" spans="2:6" x14ac:dyDescent="0.25">
      <c r="B844"/>
      <c r="C844"/>
      <c r="D844"/>
      <c r="E844"/>
      <c r="F844"/>
    </row>
    <row r="845" spans="2:6" x14ac:dyDescent="0.25">
      <c r="B845"/>
      <c r="C845"/>
      <c r="D845"/>
      <c r="E845"/>
      <c r="F845"/>
    </row>
    <row r="846" spans="2:6" x14ac:dyDescent="0.25">
      <c r="B846"/>
      <c r="C846"/>
      <c r="D846"/>
      <c r="E846"/>
      <c r="F846"/>
    </row>
    <row r="847" spans="2:6" x14ac:dyDescent="0.25">
      <c r="B847"/>
      <c r="C847"/>
      <c r="D847"/>
      <c r="E847"/>
      <c r="F847"/>
    </row>
    <row r="848" spans="2:6" x14ac:dyDescent="0.25">
      <c r="B848"/>
      <c r="C848"/>
      <c r="D848"/>
      <c r="E848"/>
      <c r="F848"/>
    </row>
    <row r="849" spans="2:6" x14ac:dyDescent="0.25">
      <c r="B849"/>
      <c r="C849"/>
      <c r="D849"/>
      <c r="E849"/>
      <c r="F849"/>
    </row>
    <row r="850" spans="2:6" x14ac:dyDescent="0.25">
      <c r="B850"/>
      <c r="C850"/>
      <c r="D850"/>
      <c r="E850"/>
      <c r="F850"/>
    </row>
    <row r="851" spans="2:6" x14ac:dyDescent="0.25">
      <c r="B851"/>
      <c r="C851"/>
      <c r="D851"/>
      <c r="E851"/>
      <c r="F851"/>
    </row>
    <row r="852" spans="2:6" x14ac:dyDescent="0.25">
      <c r="B852"/>
      <c r="C852"/>
      <c r="D852"/>
      <c r="E852"/>
      <c r="F852"/>
    </row>
    <row r="853" spans="2:6" x14ac:dyDescent="0.25">
      <c r="B853"/>
      <c r="C853"/>
      <c r="D853"/>
      <c r="E853"/>
      <c r="F853"/>
    </row>
    <row r="854" spans="2:6" x14ac:dyDescent="0.25">
      <c r="B854"/>
      <c r="C854"/>
      <c r="D854"/>
      <c r="E854"/>
      <c r="F854"/>
    </row>
    <row r="855" spans="2:6" x14ac:dyDescent="0.25">
      <c r="B855"/>
      <c r="C855"/>
      <c r="D855"/>
      <c r="E855"/>
      <c r="F855"/>
    </row>
    <row r="856" spans="2:6" x14ac:dyDescent="0.25">
      <c r="B856"/>
      <c r="C856"/>
      <c r="D856"/>
      <c r="E856"/>
      <c r="F856"/>
    </row>
    <row r="857" spans="2:6" x14ac:dyDescent="0.25">
      <c r="B857"/>
      <c r="C857"/>
      <c r="D857"/>
      <c r="E857"/>
      <c r="F857"/>
    </row>
    <row r="858" spans="2:6" x14ac:dyDescent="0.25">
      <c r="B858"/>
      <c r="C858"/>
      <c r="D858"/>
      <c r="E858"/>
      <c r="F858"/>
    </row>
    <row r="859" spans="2:6" x14ac:dyDescent="0.25">
      <c r="B859"/>
      <c r="C859"/>
      <c r="D859"/>
      <c r="E859"/>
      <c r="F859"/>
    </row>
    <row r="860" spans="2:6" x14ac:dyDescent="0.25">
      <c r="B860"/>
      <c r="C860"/>
      <c r="D860"/>
      <c r="E860"/>
      <c r="F860"/>
    </row>
    <row r="861" spans="2:6" x14ac:dyDescent="0.25">
      <c r="B861"/>
      <c r="C861"/>
      <c r="D861"/>
      <c r="E861"/>
      <c r="F861"/>
    </row>
    <row r="862" spans="2:6" x14ac:dyDescent="0.25">
      <c r="B862"/>
      <c r="C862"/>
      <c r="D862"/>
      <c r="E862"/>
      <c r="F862"/>
    </row>
    <row r="863" spans="2:6" x14ac:dyDescent="0.25">
      <c r="B863"/>
      <c r="C863"/>
      <c r="D863"/>
      <c r="E863"/>
      <c r="F863"/>
    </row>
    <row r="864" spans="2:6" x14ac:dyDescent="0.25">
      <c r="B864"/>
      <c r="C864"/>
      <c r="D864"/>
      <c r="E864"/>
      <c r="F864"/>
    </row>
    <row r="865" spans="2:6" x14ac:dyDescent="0.25">
      <c r="B865"/>
      <c r="C865"/>
      <c r="D865"/>
      <c r="E865"/>
      <c r="F865"/>
    </row>
    <row r="866" spans="2:6" x14ac:dyDescent="0.25">
      <c r="B866"/>
      <c r="C866"/>
      <c r="D866"/>
      <c r="E866"/>
      <c r="F866"/>
    </row>
    <row r="867" spans="2:6" x14ac:dyDescent="0.25">
      <c r="B867"/>
      <c r="C867"/>
      <c r="D867"/>
      <c r="E867"/>
      <c r="F867"/>
    </row>
    <row r="868" spans="2:6" x14ac:dyDescent="0.25">
      <c r="B868"/>
      <c r="C868"/>
      <c r="D868"/>
      <c r="E868"/>
      <c r="F868"/>
    </row>
    <row r="869" spans="2:6" x14ac:dyDescent="0.25">
      <c r="B869"/>
      <c r="C869"/>
      <c r="D869"/>
      <c r="E869"/>
      <c r="F869"/>
    </row>
    <row r="870" spans="2:6" x14ac:dyDescent="0.25">
      <c r="B870"/>
      <c r="C870"/>
      <c r="D870"/>
      <c r="E870"/>
      <c r="F870"/>
    </row>
    <row r="871" spans="2:6" x14ac:dyDescent="0.25">
      <c r="B871"/>
      <c r="C871"/>
      <c r="D871"/>
      <c r="E871"/>
      <c r="F871"/>
    </row>
    <row r="872" spans="2:6" x14ac:dyDescent="0.25">
      <c r="B872"/>
      <c r="C872"/>
      <c r="D872"/>
      <c r="E872"/>
      <c r="F872"/>
    </row>
    <row r="873" spans="2:6" x14ac:dyDescent="0.25">
      <c r="B873"/>
      <c r="C873"/>
      <c r="D873"/>
      <c r="E873"/>
      <c r="F873"/>
    </row>
    <row r="874" spans="2:6" x14ac:dyDescent="0.25">
      <c r="B874"/>
      <c r="C874"/>
      <c r="D874"/>
      <c r="E874"/>
      <c r="F874"/>
    </row>
    <row r="875" spans="2:6" x14ac:dyDescent="0.25">
      <c r="B875"/>
      <c r="C875"/>
      <c r="D875"/>
      <c r="E875"/>
      <c r="F875"/>
    </row>
    <row r="876" spans="2:6" x14ac:dyDescent="0.25">
      <c r="B876"/>
      <c r="C876"/>
      <c r="D876"/>
      <c r="E876"/>
      <c r="F876"/>
    </row>
    <row r="877" spans="2:6" x14ac:dyDescent="0.25">
      <c r="B877"/>
      <c r="C877"/>
      <c r="D877"/>
      <c r="E877"/>
      <c r="F877"/>
    </row>
    <row r="878" spans="2:6" x14ac:dyDescent="0.25">
      <c r="B878"/>
      <c r="C878"/>
      <c r="D878"/>
      <c r="E878"/>
      <c r="F878"/>
    </row>
    <row r="879" spans="2:6" x14ac:dyDescent="0.25">
      <c r="B879"/>
      <c r="C879"/>
      <c r="D879"/>
      <c r="E879"/>
      <c r="F879"/>
    </row>
    <row r="880" spans="2:6" x14ac:dyDescent="0.25">
      <c r="B880"/>
      <c r="C880"/>
      <c r="D880"/>
      <c r="E880"/>
      <c r="F880"/>
    </row>
    <row r="881" spans="2:6" x14ac:dyDescent="0.25">
      <c r="B881"/>
      <c r="C881"/>
      <c r="D881"/>
      <c r="E881"/>
      <c r="F881"/>
    </row>
    <row r="882" spans="2:6" x14ac:dyDescent="0.25">
      <c r="B882"/>
      <c r="C882"/>
      <c r="D882"/>
      <c r="E882"/>
      <c r="F882"/>
    </row>
    <row r="883" spans="2:6" x14ac:dyDescent="0.25">
      <c r="B883"/>
      <c r="C883"/>
      <c r="D883"/>
      <c r="E883"/>
      <c r="F883"/>
    </row>
    <row r="884" spans="2:6" x14ac:dyDescent="0.25">
      <c r="B884"/>
      <c r="C884"/>
      <c r="D884"/>
      <c r="E884"/>
      <c r="F884"/>
    </row>
    <row r="885" spans="2:6" x14ac:dyDescent="0.25">
      <c r="B885"/>
      <c r="C885"/>
      <c r="D885"/>
      <c r="E885"/>
      <c r="F885"/>
    </row>
    <row r="886" spans="2:6" x14ac:dyDescent="0.25">
      <c r="B886"/>
      <c r="C886"/>
      <c r="D886"/>
      <c r="E886"/>
      <c r="F886"/>
    </row>
    <row r="887" spans="2:6" x14ac:dyDescent="0.25">
      <c r="B887"/>
      <c r="C887"/>
      <c r="D887"/>
      <c r="E887"/>
      <c r="F887"/>
    </row>
    <row r="888" spans="2:6" x14ac:dyDescent="0.25">
      <c r="B888"/>
      <c r="C888"/>
      <c r="D888"/>
      <c r="E888"/>
      <c r="F888"/>
    </row>
    <row r="889" spans="2:6" x14ac:dyDescent="0.25">
      <c r="B889"/>
      <c r="C889"/>
      <c r="D889"/>
      <c r="E889"/>
      <c r="F889"/>
    </row>
    <row r="890" spans="2:6" x14ac:dyDescent="0.25">
      <c r="B890"/>
      <c r="C890"/>
      <c r="D890"/>
      <c r="E890"/>
      <c r="F890"/>
    </row>
    <row r="891" spans="2:6" x14ac:dyDescent="0.25">
      <c r="B891"/>
      <c r="C891"/>
      <c r="D891"/>
      <c r="E891"/>
      <c r="F891"/>
    </row>
    <row r="892" spans="2:6" x14ac:dyDescent="0.25">
      <c r="B892"/>
      <c r="C892"/>
      <c r="D892"/>
      <c r="E892"/>
      <c r="F892"/>
    </row>
    <row r="893" spans="2:6" x14ac:dyDescent="0.25">
      <c r="B893"/>
      <c r="C893"/>
      <c r="D893"/>
      <c r="E893"/>
      <c r="F893"/>
    </row>
    <row r="894" spans="2:6" x14ac:dyDescent="0.25">
      <c r="B894"/>
      <c r="C894"/>
      <c r="D894"/>
      <c r="E894"/>
      <c r="F894"/>
    </row>
    <row r="895" spans="2:6" x14ac:dyDescent="0.25">
      <c r="B895"/>
      <c r="C895"/>
      <c r="D895"/>
      <c r="E895"/>
      <c r="F895"/>
    </row>
    <row r="896" spans="2:6" x14ac:dyDescent="0.25">
      <c r="B896"/>
      <c r="C896"/>
      <c r="D896"/>
      <c r="E896"/>
      <c r="F896"/>
    </row>
    <row r="897" spans="2:6" x14ac:dyDescent="0.25">
      <c r="B897"/>
      <c r="C897"/>
      <c r="D897"/>
      <c r="E897"/>
      <c r="F897"/>
    </row>
    <row r="898" spans="2:6" x14ac:dyDescent="0.25">
      <c r="B898"/>
      <c r="C898"/>
      <c r="D898"/>
      <c r="E898"/>
      <c r="F898"/>
    </row>
    <row r="899" spans="2:6" x14ac:dyDescent="0.25">
      <c r="B899"/>
      <c r="C899"/>
      <c r="D899"/>
      <c r="E899"/>
      <c r="F899"/>
    </row>
    <row r="900" spans="2:6" x14ac:dyDescent="0.25">
      <c r="B900"/>
      <c r="C900"/>
      <c r="D900"/>
      <c r="E900"/>
      <c r="F900"/>
    </row>
    <row r="901" spans="2:6" x14ac:dyDescent="0.25">
      <c r="B901"/>
      <c r="C901"/>
      <c r="D901"/>
      <c r="E901"/>
      <c r="F901"/>
    </row>
    <row r="902" spans="2:6" x14ac:dyDescent="0.25">
      <c r="B902"/>
      <c r="C902"/>
      <c r="D902"/>
      <c r="E902"/>
      <c r="F902"/>
    </row>
    <row r="903" spans="2:6" x14ac:dyDescent="0.25">
      <c r="B903"/>
      <c r="C903"/>
      <c r="D903"/>
      <c r="E903"/>
      <c r="F903"/>
    </row>
    <row r="904" spans="2:6" x14ac:dyDescent="0.25">
      <c r="B904"/>
      <c r="C904"/>
      <c r="D904"/>
      <c r="E904"/>
      <c r="F904"/>
    </row>
    <row r="905" spans="2:6" x14ac:dyDescent="0.25">
      <c r="B905"/>
      <c r="C905"/>
      <c r="D905"/>
      <c r="E905"/>
      <c r="F905"/>
    </row>
  </sheetData>
  <sheetProtection formatCells="0" formatColumns="0" formatRows="0" sort="0" autoFilter="0" pivotTables="0"/>
  <mergeCells count="2">
    <mergeCell ref="B2:N2"/>
    <mergeCell ref="B5:N5"/>
  </mergeCells>
  <pageMargins left="0.7" right="0.7" top="0.75" bottom="0.75" header="0.3" footer="0.3"/>
  <pageSetup orientation="portrait" r:id="rId31"/>
  <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98"/>
  <sheetViews>
    <sheetView showGridLines="0" zoomScale="75" zoomScaleNormal="75" workbookViewId="0">
      <selection activeCell="D24" sqref="D24"/>
    </sheetView>
  </sheetViews>
  <sheetFormatPr defaultColWidth="9.7109375" defaultRowHeight="15.75" x14ac:dyDescent="0.25"/>
  <cols>
    <col min="1" max="1" width="9.7109375" style="52"/>
    <col min="2" max="2" width="47.7109375" style="53" customWidth="1"/>
    <col min="3" max="3" width="17.7109375" style="54" customWidth="1"/>
    <col min="4" max="4" width="11.7109375" style="52" customWidth="1"/>
    <col min="5" max="5" width="12.5703125" style="52" customWidth="1"/>
    <col min="6" max="6" width="12.140625" style="52" customWidth="1"/>
    <col min="7" max="7" width="10.42578125" style="52" bestFit="1" customWidth="1"/>
    <col min="8" max="13" width="9.85546875" style="52" customWidth="1"/>
    <col min="14" max="14" width="11.7109375" style="52" bestFit="1" customWidth="1"/>
    <col min="15" max="17" width="9.7109375" style="52"/>
    <col min="18" max="18" width="12.7109375" style="52" customWidth="1"/>
    <col min="19" max="19" width="16.7109375" style="52" customWidth="1"/>
    <col min="20" max="16384" width="9.7109375" style="52"/>
  </cols>
  <sheetData>
    <row r="2" spans="2:13" ht="38.450000000000003" customHeight="1" x14ac:dyDescent="0.25">
      <c r="B2" s="816" t="s">
        <v>318</v>
      </c>
      <c r="C2" s="817"/>
      <c r="D2" s="817"/>
      <c r="E2" s="817"/>
      <c r="F2" s="817"/>
      <c r="G2" s="817"/>
      <c r="H2" s="817"/>
      <c r="I2" s="817"/>
      <c r="J2" s="817"/>
      <c r="K2" s="817"/>
      <c r="L2" s="817"/>
      <c r="M2" s="818"/>
    </row>
    <row r="4" spans="2:13" ht="16.5" thickBot="1" x14ac:dyDescent="0.3"/>
    <row r="5" spans="2:13" ht="16.5" thickBot="1" x14ac:dyDescent="0.3">
      <c r="B5" s="814" t="s">
        <v>319</v>
      </c>
      <c r="C5" s="815"/>
    </row>
    <row r="6" spans="2:13" x14ac:dyDescent="0.25">
      <c r="B6" s="754" t="s">
        <v>320</v>
      </c>
      <c r="C6" s="755" t="s">
        <v>74</v>
      </c>
    </row>
    <row r="7" spans="2:13" x14ac:dyDescent="0.25">
      <c r="B7" s="52"/>
      <c r="C7" s="52"/>
    </row>
    <row r="8" spans="2:13" ht="45" x14ac:dyDescent="0.25">
      <c r="B8" s="740" t="s">
        <v>321</v>
      </c>
      <c r="C8" s="772"/>
      <c r="D8" s="55"/>
      <c r="E8" s="55"/>
      <c r="F8" s="55"/>
      <c r="G8" s="55"/>
      <c r="H8" s="55"/>
    </row>
    <row r="9" spans="2:13" x14ac:dyDescent="0.25">
      <c r="B9" s="740" t="s">
        <v>322</v>
      </c>
      <c r="C9" s="742" t="s">
        <v>2</v>
      </c>
      <c r="D9" s="55"/>
      <c r="E9" s="55"/>
      <c r="F9" s="55"/>
      <c r="G9" s="55"/>
      <c r="H9" s="55"/>
    </row>
    <row r="10" spans="2:13" x14ac:dyDescent="0.25">
      <c r="B10" s="736" t="s">
        <v>323</v>
      </c>
      <c r="C10" s="764">
        <v>4429713</v>
      </c>
      <c r="D10" s="55"/>
      <c r="E10" s="55"/>
      <c r="F10" s="55"/>
      <c r="G10" s="55"/>
      <c r="H10" s="55"/>
    </row>
    <row r="11" spans="2:13" x14ac:dyDescent="0.25">
      <c r="B11" s="746" t="s">
        <v>324</v>
      </c>
      <c r="C11" s="767">
        <v>414423</v>
      </c>
      <c r="D11" s="55"/>
      <c r="E11" s="55"/>
      <c r="F11" s="55"/>
      <c r="G11" s="55"/>
      <c r="H11" s="55"/>
    </row>
    <row r="12" spans="2:13" x14ac:dyDescent="0.25">
      <c r="B12" s="746" t="s">
        <v>325</v>
      </c>
      <c r="C12" s="767">
        <v>3761179</v>
      </c>
      <c r="D12" s="55"/>
      <c r="E12" s="55"/>
      <c r="F12" s="55"/>
      <c r="G12" s="55"/>
      <c r="H12" s="55"/>
    </row>
    <row r="13" spans="2:13" x14ac:dyDescent="0.25">
      <c r="B13" s="746" t="s">
        <v>326</v>
      </c>
      <c r="C13" s="767">
        <v>2195052.61</v>
      </c>
      <c r="D13" s="55"/>
      <c r="E13" s="55"/>
      <c r="F13" s="55"/>
      <c r="G13" s="55"/>
      <c r="H13" s="55"/>
    </row>
    <row r="14" spans="2:13" x14ac:dyDescent="0.25">
      <c r="B14" s="746" t="s">
        <v>327</v>
      </c>
      <c r="C14" s="767">
        <v>292113</v>
      </c>
      <c r="D14" s="55"/>
      <c r="E14" s="55"/>
      <c r="F14" s="55"/>
      <c r="G14" s="55"/>
      <c r="H14" s="55"/>
    </row>
    <row r="15" spans="2:13" x14ac:dyDescent="0.25">
      <c r="B15" s="746" t="s">
        <v>328</v>
      </c>
      <c r="C15" s="767">
        <v>515029</v>
      </c>
      <c r="D15" s="55"/>
      <c r="E15" s="55"/>
      <c r="F15" s="55"/>
      <c r="G15" s="55"/>
      <c r="H15" s="55"/>
    </row>
    <row r="16" spans="2:13" x14ac:dyDescent="0.25">
      <c r="B16" s="746" t="s">
        <v>329</v>
      </c>
      <c r="C16" s="767">
        <v>197000</v>
      </c>
      <c r="D16" s="55"/>
      <c r="E16" s="55"/>
      <c r="F16" s="55"/>
      <c r="G16" s="55"/>
      <c r="H16" s="55"/>
    </row>
    <row r="17" spans="2:8" x14ac:dyDescent="0.25">
      <c r="B17" s="746" t="s">
        <v>330</v>
      </c>
      <c r="C17" s="767">
        <v>156270</v>
      </c>
      <c r="D17" s="55"/>
      <c r="E17" s="55"/>
      <c r="F17" s="55"/>
      <c r="G17" s="55"/>
      <c r="H17" s="55"/>
    </row>
    <row r="18" spans="2:8" x14ac:dyDescent="0.25">
      <c r="B18" s="746" t="s">
        <v>331</v>
      </c>
      <c r="C18" s="767">
        <v>396792</v>
      </c>
      <c r="D18" s="55"/>
      <c r="E18" s="55"/>
      <c r="F18" s="55"/>
      <c r="G18" s="55"/>
      <c r="H18" s="55"/>
    </row>
    <row r="19" spans="2:8" x14ac:dyDescent="0.25">
      <c r="B19" s="746" t="s">
        <v>473</v>
      </c>
      <c r="C19" s="767">
        <v>750000</v>
      </c>
      <c r="D19" s="55"/>
      <c r="E19" s="55"/>
      <c r="F19" s="55"/>
      <c r="G19" s="55"/>
      <c r="H19" s="55"/>
    </row>
    <row r="20" spans="2:8" x14ac:dyDescent="0.25">
      <c r="B20" s="746" t="s">
        <v>475</v>
      </c>
      <c r="C20" s="767">
        <v>17000</v>
      </c>
      <c r="D20" s="55"/>
      <c r="E20" s="55"/>
      <c r="F20" s="55"/>
      <c r="G20" s="55"/>
      <c r="H20" s="55"/>
    </row>
    <row r="21" spans="2:8" x14ac:dyDescent="0.25">
      <c r="B21" s="746" t="s">
        <v>478</v>
      </c>
      <c r="C21" s="767">
        <v>80400</v>
      </c>
      <c r="D21" s="55"/>
      <c r="E21" s="55"/>
      <c r="F21" s="55"/>
    </row>
    <row r="22" spans="2:8" x14ac:dyDescent="0.25">
      <c r="B22" s="746" t="s">
        <v>607</v>
      </c>
      <c r="C22" s="767">
        <v>43482</v>
      </c>
    </row>
    <row r="23" spans="2:8" x14ac:dyDescent="0.25">
      <c r="B23" s="746" t="s">
        <v>681</v>
      </c>
      <c r="C23" s="767">
        <v>711973</v>
      </c>
    </row>
    <row r="24" spans="2:8" x14ac:dyDescent="0.25">
      <c r="B24" s="746" t="s">
        <v>399</v>
      </c>
      <c r="C24" s="767">
        <v>346135</v>
      </c>
    </row>
    <row r="25" spans="2:8" x14ac:dyDescent="0.25">
      <c r="B25" s="746" t="s">
        <v>805</v>
      </c>
      <c r="C25" s="767">
        <v>400000</v>
      </c>
    </row>
    <row r="26" spans="2:8" x14ac:dyDescent="0.25">
      <c r="B26" s="746" t="s">
        <v>808</v>
      </c>
      <c r="C26" s="767"/>
      <c r="D26" s="57"/>
      <c r="E26" s="57"/>
    </row>
    <row r="27" spans="2:8" x14ac:dyDescent="0.25">
      <c r="B27" s="746" t="s">
        <v>424</v>
      </c>
      <c r="C27" s="767">
        <v>399283</v>
      </c>
      <c r="D27" s="57"/>
      <c r="E27" s="57"/>
    </row>
    <row r="28" spans="2:8" x14ac:dyDescent="0.25">
      <c r="B28" s="773" t="s">
        <v>73</v>
      </c>
      <c r="C28" s="774">
        <v>15105844.609999999</v>
      </c>
      <c r="D28" s="57"/>
      <c r="E28" s="57"/>
    </row>
    <row r="29" spans="2:8" x14ac:dyDescent="0.25">
      <c r="B29" s="56"/>
      <c r="C29" s="56"/>
      <c r="D29" s="57"/>
      <c r="E29" s="57"/>
    </row>
    <row r="30" spans="2:8" x14ac:dyDescent="0.25">
      <c r="B30" s="56"/>
      <c r="C30" s="56"/>
      <c r="D30" s="57"/>
      <c r="E30" s="57"/>
    </row>
    <row r="31" spans="2:8" s="261" customFormat="1" ht="16.5" thickBot="1" x14ac:dyDescent="0.3">
      <c r="B31" s="272" t="s">
        <v>384</v>
      </c>
      <c r="C31" s="262" t="s">
        <v>262</v>
      </c>
    </row>
    <row r="32" spans="2:8" s="261" customFormat="1" ht="16.5" thickBot="1" x14ac:dyDescent="0.3">
      <c r="B32" s="820" t="s">
        <v>634</v>
      </c>
      <c r="C32" s="821"/>
    </row>
    <row r="33" spans="2:8" s="261" customFormat="1" ht="30" x14ac:dyDescent="0.25">
      <c r="B33" s="273" t="s">
        <v>635</v>
      </c>
      <c r="C33" s="263"/>
      <c r="D33"/>
      <c r="E33"/>
      <c r="F33"/>
      <c r="G33"/>
      <c r="H33" s="264"/>
    </row>
    <row r="34" spans="2:8" s="261" customFormat="1" x14ac:dyDescent="0.25">
      <c r="B34" s="273" t="s">
        <v>322</v>
      </c>
      <c r="C34" s="265" t="s">
        <v>2</v>
      </c>
      <c r="D34"/>
      <c r="E34"/>
      <c r="F34"/>
      <c r="G34"/>
      <c r="H34" s="264"/>
    </row>
    <row r="35" spans="2:8" s="261" customFormat="1" x14ac:dyDescent="0.25">
      <c r="B35" s="266" t="s">
        <v>323</v>
      </c>
      <c r="C35" s="267">
        <v>723675.93633648218</v>
      </c>
      <c r="D35"/>
      <c r="E35"/>
      <c r="F35"/>
      <c r="G35"/>
      <c r="H35" s="264"/>
    </row>
    <row r="36" spans="2:8" s="261" customFormat="1" x14ac:dyDescent="0.25">
      <c r="B36" s="268" t="s">
        <v>325</v>
      </c>
      <c r="C36" s="269">
        <v>585345.41666666674</v>
      </c>
      <c r="D36"/>
      <c r="E36"/>
      <c r="F36"/>
      <c r="G36"/>
      <c r="H36" s="264"/>
    </row>
    <row r="37" spans="2:8" s="261" customFormat="1" x14ac:dyDescent="0.25">
      <c r="B37" s="268" t="s">
        <v>326</v>
      </c>
      <c r="C37" s="269">
        <v>1022388.1533101045</v>
      </c>
      <c r="D37"/>
      <c r="E37"/>
      <c r="F37"/>
      <c r="G37"/>
      <c r="H37" s="264"/>
    </row>
    <row r="38" spans="2:8" s="261" customFormat="1" x14ac:dyDescent="0.25">
      <c r="B38" s="268" t="s">
        <v>331</v>
      </c>
      <c r="C38" s="269">
        <v>37538.200440528635</v>
      </c>
      <c r="D38"/>
      <c r="E38"/>
      <c r="F38"/>
      <c r="G38"/>
      <c r="H38" s="264"/>
    </row>
    <row r="39" spans="2:8" s="261" customFormat="1" x14ac:dyDescent="0.25">
      <c r="B39" s="268" t="s">
        <v>607</v>
      </c>
      <c r="C39" s="269">
        <v>43482</v>
      </c>
      <c r="D39"/>
      <c r="E39"/>
      <c r="F39"/>
      <c r="G39"/>
      <c r="H39" s="264"/>
    </row>
    <row r="40" spans="2:8" s="261" customFormat="1" x14ac:dyDescent="0.25">
      <c r="B40" s="268" t="s">
        <v>328</v>
      </c>
      <c r="C40" s="269">
        <v>100963.83480176212</v>
      </c>
      <c r="D40"/>
      <c r="E40"/>
      <c r="F40"/>
      <c r="G40"/>
      <c r="H40" s="264"/>
    </row>
    <row r="41" spans="2:8" s="261" customFormat="1" x14ac:dyDescent="0.25">
      <c r="B41" s="268" t="s">
        <v>475</v>
      </c>
      <c r="C41" s="269">
        <v>17000</v>
      </c>
      <c r="D41"/>
      <c r="E41"/>
      <c r="F41"/>
      <c r="G41"/>
      <c r="H41" s="264"/>
    </row>
    <row r="42" spans="2:8" s="261" customFormat="1" x14ac:dyDescent="0.25">
      <c r="B42" s="268" t="s">
        <v>330</v>
      </c>
      <c r="C42" s="269">
        <v>50000</v>
      </c>
      <c r="D42"/>
      <c r="E42"/>
      <c r="F42"/>
      <c r="G42"/>
      <c r="H42" s="264"/>
    </row>
    <row r="43" spans="2:8" s="261" customFormat="1" x14ac:dyDescent="0.25">
      <c r="B43" s="268" t="s">
        <v>399</v>
      </c>
      <c r="C43" s="269">
        <v>78945</v>
      </c>
      <c r="D43"/>
      <c r="E43"/>
      <c r="F43"/>
      <c r="G43"/>
      <c r="H43" s="264"/>
    </row>
    <row r="44" spans="2:8" s="261" customFormat="1" x14ac:dyDescent="0.25">
      <c r="B44" s="268" t="s">
        <v>424</v>
      </c>
      <c r="C44" s="269">
        <v>79925.586080586087</v>
      </c>
      <c r="D44"/>
      <c r="E44"/>
      <c r="F44"/>
      <c r="G44"/>
      <c r="H44" s="264"/>
    </row>
    <row r="45" spans="2:8" s="261" customFormat="1" x14ac:dyDescent="0.25">
      <c r="B45" s="270" t="s">
        <v>73</v>
      </c>
      <c r="C45" s="271">
        <v>2739264.12763613</v>
      </c>
      <c r="D45"/>
      <c r="E45"/>
      <c r="F45"/>
      <c r="G45"/>
      <c r="H45" s="264"/>
    </row>
    <row r="46" spans="2:8" x14ac:dyDescent="0.25">
      <c r="B46"/>
      <c r="C46"/>
      <c r="D46" s="57"/>
      <c r="E46" s="57"/>
    </row>
    <row r="47" spans="2:8" x14ac:dyDescent="0.25">
      <c r="B47"/>
      <c r="C47"/>
      <c r="D47" s="57"/>
      <c r="E47" s="57"/>
    </row>
    <row r="48" spans="2:8" x14ac:dyDescent="0.25">
      <c r="B48" s="274"/>
      <c r="C48" s="275"/>
      <c r="D48" s="57"/>
      <c r="E48" s="57"/>
    </row>
    <row r="49" spans="2:8" x14ac:dyDescent="0.25">
      <c r="B49" s="274"/>
      <c r="C49" s="275"/>
      <c r="D49" s="57"/>
      <c r="E49" s="57"/>
    </row>
    <row r="50" spans="2:8" x14ac:dyDescent="0.25">
      <c r="B50" s="274"/>
      <c r="C50" s="275"/>
      <c r="D50" s="57"/>
      <c r="E50" s="57"/>
    </row>
    <row r="51" spans="2:8" x14ac:dyDescent="0.25">
      <c r="B51" s="274"/>
      <c r="C51" s="275"/>
      <c r="D51" s="57"/>
      <c r="E51" s="57"/>
    </row>
    <row r="52" spans="2:8" x14ac:dyDescent="0.25">
      <c r="B52" s="56"/>
      <c r="C52" s="56"/>
      <c r="D52" s="57"/>
      <c r="E52" s="57"/>
    </row>
    <row r="53" spans="2:8" x14ac:dyDescent="0.25">
      <c r="B53" s="56"/>
      <c r="C53" s="56"/>
      <c r="D53" s="57"/>
      <c r="E53" s="57"/>
    </row>
    <row r="54" spans="2:8" ht="16.5" thickBot="1" x14ac:dyDescent="0.3">
      <c r="B54" s="734" t="s">
        <v>322</v>
      </c>
      <c r="C54" s="755" t="s">
        <v>262</v>
      </c>
    </row>
    <row r="55" spans="2:8" ht="16.5" thickBot="1" x14ac:dyDescent="0.3">
      <c r="B55" s="814" t="s">
        <v>332</v>
      </c>
      <c r="C55" s="815"/>
    </row>
    <row r="56" spans="2:8" ht="30" x14ac:dyDescent="0.25">
      <c r="B56" s="740" t="s">
        <v>321</v>
      </c>
      <c r="C56" s="772"/>
      <c r="D56" s="55"/>
      <c r="E56" s="55"/>
      <c r="F56" s="58"/>
      <c r="G56" s="55"/>
      <c r="H56" s="55"/>
    </row>
    <row r="57" spans="2:8" x14ac:dyDescent="0.25">
      <c r="B57" s="737" t="s">
        <v>320</v>
      </c>
      <c r="C57" s="742" t="s">
        <v>2</v>
      </c>
      <c r="D57" s="55"/>
      <c r="E57" s="55"/>
      <c r="F57" s="55"/>
      <c r="G57" s="55"/>
      <c r="H57" s="55"/>
    </row>
    <row r="58" spans="2:8" x14ac:dyDescent="0.25">
      <c r="B58" s="736">
        <v>2012</v>
      </c>
      <c r="C58" s="764">
        <v>3335112.61</v>
      </c>
      <c r="D58" s="55"/>
      <c r="E58" s="55"/>
      <c r="F58" s="55"/>
      <c r="G58" s="55"/>
      <c r="H58" s="55"/>
    </row>
    <row r="59" spans="2:8" x14ac:dyDescent="0.25">
      <c r="B59" s="746">
        <v>2013</v>
      </c>
      <c r="C59" s="767">
        <v>4596720</v>
      </c>
      <c r="D59" s="55"/>
      <c r="E59" s="55"/>
      <c r="F59" s="55"/>
      <c r="G59" s="55"/>
      <c r="H59" s="55"/>
    </row>
    <row r="60" spans="2:8" x14ac:dyDescent="0.25">
      <c r="B60" s="746">
        <v>2014</v>
      </c>
      <c r="C60" s="767">
        <v>4695578</v>
      </c>
      <c r="D60" s="55"/>
      <c r="E60" s="55"/>
      <c r="F60" s="55"/>
      <c r="G60" s="55"/>
      <c r="H60" s="55"/>
    </row>
    <row r="61" spans="2:8" x14ac:dyDescent="0.25">
      <c r="B61" s="746">
        <v>2015</v>
      </c>
      <c r="C61" s="767">
        <v>2478434</v>
      </c>
      <c r="D61" s="55"/>
      <c r="E61" s="55"/>
      <c r="F61" s="55"/>
      <c r="G61" s="55"/>
      <c r="H61" s="55"/>
    </row>
    <row r="62" spans="2:8" x14ac:dyDescent="0.25">
      <c r="B62" s="773" t="s">
        <v>73</v>
      </c>
      <c r="C62" s="774">
        <v>15105844.609999999</v>
      </c>
      <c r="D62" s="55"/>
      <c r="E62" s="55"/>
      <c r="F62" s="55"/>
      <c r="G62" s="55"/>
      <c r="H62" s="55"/>
    </row>
    <row r="63" spans="2:8" x14ac:dyDescent="0.25">
      <c r="B63" s="55"/>
      <c r="C63" s="55"/>
      <c r="D63" s="55"/>
      <c r="E63" s="55"/>
      <c r="F63" s="55"/>
      <c r="G63" s="55"/>
      <c r="H63" s="55"/>
    </row>
    <row r="64" spans="2:8" x14ac:dyDescent="0.25">
      <c r="B64" s="55"/>
      <c r="C64" s="55"/>
      <c r="D64" s="55"/>
      <c r="E64" s="55"/>
      <c r="F64" s="55"/>
      <c r="G64" s="55"/>
      <c r="H64" s="55"/>
    </row>
    <row r="65" spans="2:21" x14ac:dyDescent="0.25">
      <c r="B65" s="55"/>
      <c r="C65" s="55"/>
      <c r="D65" s="55"/>
      <c r="E65" s="55"/>
      <c r="F65" s="55"/>
      <c r="G65" s="55"/>
      <c r="H65" s="55"/>
    </row>
    <row r="66" spans="2:21" x14ac:dyDescent="0.25">
      <c r="B66" s="55"/>
      <c r="C66" s="55"/>
      <c r="D66" s="55"/>
      <c r="E66" s="55"/>
      <c r="F66" s="55"/>
      <c r="G66" s="55"/>
      <c r="H66" s="55"/>
    </row>
    <row r="67" spans="2:21" ht="16.5" thickBot="1" x14ac:dyDescent="0.3">
      <c r="B67"/>
      <c r="C67"/>
      <c r="D67" s="55"/>
      <c r="E67" s="55"/>
      <c r="F67" s="55"/>
      <c r="G67" s="55"/>
      <c r="H67" s="55"/>
    </row>
    <row r="68" spans="2:21" ht="16.5" thickBot="1" x14ac:dyDescent="0.3">
      <c r="B68" s="814" t="s">
        <v>333</v>
      </c>
      <c r="C68" s="815"/>
    </row>
    <row r="69" spans="2:21" x14ac:dyDescent="0.25">
      <c r="B69" s="756"/>
      <c r="C69" s="740" t="s">
        <v>322</v>
      </c>
      <c r="D69" s="760"/>
      <c r="E69" s="760"/>
      <c r="F69" s="760"/>
      <c r="G69" s="760"/>
      <c r="H69" s="760"/>
      <c r="I69" s="760"/>
      <c r="J69" s="760"/>
      <c r="K69" s="760"/>
      <c r="L69" s="760"/>
      <c r="M69" s="760"/>
      <c r="N69" s="760"/>
      <c r="O69" s="760"/>
      <c r="P69" s="760"/>
      <c r="Q69" s="760"/>
      <c r="R69" s="760"/>
      <c r="S69" s="760"/>
      <c r="T69" s="760"/>
      <c r="U69" s="761"/>
    </row>
    <row r="70" spans="2:21" x14ac:dyDescent="0.25">
      <c r="B70" s="737" t="s">
        <v>75</v>
      </c>
      <c r="C70" s="736" t="s">
        <v>323</v>
      </c>
      <c r="D70" s="741" t="s">
        <v>324</v>
      </c>
      <c r="E70" s="741" t="s">
        <v>325</v>
      </c>
      <c r="F70" s="741" t="s">
        <v>326</v>
      </c>
      <c r="G70" s="741" t="s">
        <v>327</v>
      </c>
      <c r="H70" s="741" t="s">
        <v>328</v>
      </c>
      <c r="I70" s="741" t="s">
        <v>329</v>
      </c>
      <c r="J70" s="741" t="s">
        <v>330</v>
      </c>
      <c r="K70" s="741" t="s">
        <v>331</v>
      </c>
      <c r="L70" s="741" t="s">
        <v>473</v>
      </c>
      <c r="M70" s="741" t="s">
        <v>475</v>
      </c>
      <c r="N70" s="741" t="s">
        <v>478</v>
      </c>
      <c r="O70" s="741" t="s">
        <v>607</v>
      </c>
      <c r="P70" s="741" t="s">
        <v>681</v>
      </c>
      <c r="Q70" s="741" t="s">
        <v>399</v>
      </c>
      <c r="R70" s="741" t="s">
        <v>805</v>
      </c>
      <c r="S70" s="741" t="s">
        <v>808</v>
      </c>
      <c r="T70" s="741" t="s">
        <v>424</v>
      </c>
      <c r="U70" s="742" t="s">
        <v>73</v>
      </c>
    </row>
    <row r="71" spans="2:21" x14ac:dyDescent="0.25">
      <c r="B71" s="736" t="s">
        <v>682</v>
      </c>
      <c r="C71" s="762">
        <v>2174530.0636635181</v>
      </c>
      <c r="D71" s="763">
        <v>338770</v>
      </c>
      <c r="E71" s="763">
        <v>1067394.5833333333</v>
      </c>
      <c r="F71" s="763">
        <v>1172664.4566898956</v>
      </c>
      <c r="G71" s="763">
        <v>292113</v>
      </c>
      <c r="H71" s="763">
        <v>414065.16519823787</v>
      </c>
      <c r="I71" s="763">
        <v>197000</v>
      </c>
      <c r="J71" s="763">
        <v>106270</v>
      </c>
      <c r="K71" s="763">
        <v>153948.79955947137</v>
      </c>
      <c r="L71" s="763">
        <v>0</v>
      </c>
      <c r="M71" s="763">
        <v>0</v>
      </c>
      <c r="N71" s="763">
        <v>0</v>
      </c>
      <c r="O71" s="763">
        <v>0</v>
      </c>
      <c r="P71" s="763">
        <v>0</v>
      </c>
      <c r="Q71" s="763">
        <v>0</v>
      </c>
      <c r="R71" s="763">
        <v>0</v>
      </c>
      <c r="S71" s="763">
        <v>0</v>
      </c>
      <c r="T71" s="763">
        <v>165239.41391941393</v>
      </c>
      <c r="U71" s="764">
        <v>6081995.4823638685</v>
      </c>
    </row>
    <row r="72" spans="2:21" x14ac:dyDescent="0.25">
      <c r="B72" s="746" t="s">
        <v>683</v>
      </c>
      <c r="C72" s="765">
        <v>1331418.2826844645</v>
      </c>
      <c r="D72" s="766">
        <v>0</v>
      </c>
      <c r="E72" s="766">
        <v>968695.31498302927</v>
      </c>
      <c r="F72" s="766">
        <v>1022388.1533101045</v>
      </c>
      <c r="G72" s="766">
        <v>0</v>
      </c>
      <c r="H72" s="766">
        <v>100963.83480176212</v>
      </c>
      <c r="I72" s="766">
        <v>0</v>
      </c>
      <c r="J72" s="766">
        <v>50000</v>
      </c>
      <c r="K72" s="766">
        <v>37538.200440528635</v>
      </c>
      <c r="L72" s="766">
        <v>564560.43956043955</v>
      </c>
      <c r="M72" s="766">
        <v>17000</v>
      </c>
      <c r="N72" s="766">
        <v>80400</v>
      </c>
      <c r="O72" s="766">
        <v>43482</v>
      </c>
      <c r="P72" s="766">
        <v>439801.04303797468</v>
      </c>
      <c r="Q72" s="766">
        <v>161000.81218274112</v>
      </c>
      <c r="R72" s="766">
        <v>0</v>
      </c>
      <c r="S72" s="766">
        <v>0</v>
      </c>
      <c r="T72" s="766">
        <v>79925.586080586087</v>
      </c>
      <c r="U72" s="767">
        <v>4897173.6670816308</v>
      </c>
    </row>
    <row r="73" spans="2:21" x14ac:dyDescent="0.25">
      <c r="B73" s="750" t="s">
        <v>716</v>
      </c>
      <c r="C73" s="768">
        <v>923764.65365201782</v>
      </c>
      <c r="D73" s="769">
        <v>75653</v>
      </c>
      <c r="E73" s="769">
        <v>1725089.1016836374</v>
      </c>
      <c r="F73" s="769">
        <v>0</v>
      </c>
      <c r="G73" s="769">
        <v>0</v>
      </c>
      <c r="H73" s="769">
        <v>0</v>
      </c>
      <c r="I73" s="769">
        <v>0</v>
      </c>
      <c r="J73" s="769">
        <v>0</v>
      </c>
      <c r="K73" s="769">
        <v>205305</v>
      </c>
      <c r="L73" s="769">
        <v>185439.56043956045</v>
      </c>
      <c r="M73" s="769">
        <v>0</v>
      </c>
      <c r="N73" s="769">
        <v>0</v>
      </c>
      <c r="O73" s="769">
        <v>0</v>
      </c>
      <c r="P73" s="769">
        <v>272171.95696202532</v>
      </c>
      <c r="Q73" s="769">
        <v>185134.18781725888</v>
      </c>
      <c r="R73" s="769">
        <v>400000</v>
      </c>
      <c r="S73" s="769">
        <v>0</v>
      </c>
      <c r="T73" s="769">
        <v>154118</v>
      </c>
      <c r="U73" s="770">
        <v>4126675.4605544996</v>
      </c>
    </row>
    <row r="90" spans="2:8" ht="16.5" thickBot="1" x14ac:dyDescent="0.3"/>
    <row r="91" spans="2:8" ht="16.5" thickBot="1" x14ac:dyDescent="0.3">
      <c r="B91" s="814" t="s">
        <v>334</v>
      </c>
      <c r="C91" s="815"/>
    </row>
    <row r="92" spans="2:8" x14ac:dyDescent="0.25">
      <c r="B92" s="754" t="s">
        <v>320</v>
      </c>
      <c r="C92" s="755" t="s">
        <v>74</v>
      </c>
      <c r="D92" s="55"/>
      <c r="E92" s="55"/>
      <c r="F92" s="55"/>
      <c r="G92" s="55"/>
      <c r="H92" s="55"/>
    </row>
    <row r="93" spans="2:8" x14ac:dyDescent="0.25">
      <c r="D93" s="55"/>
      <c r="E93" s="55"/>
      <c r="F93" s="55"/>
      <c r="G93" s="55"/>
      <c r="H93" s="55"/>
    </row>
    <row r="94" spans="2:8" x14ac:dyDescent="0.25">
      <c r="B94" s="740" t="s">
        <v>75</v>
      </c>
      <c r="C94" s="742" t="s">
        <v>2</v>
      </c>
      <c r="D94" s="55"/>
      <c r="E94" s="58"/>
      <c r="F94" s="55"/>
      <c r="G94" s="55"/>
      <c r="H94" s="55"/>
    </row>
    <row r="95" spans="2:8" x14ac:dyDescent="0.25">
      <c r="B95" s="736" t="s">
        <v>335</v>
      </c>
      <c r="C95" s="757">
        <v>0.1938129196660123</v>
      </c>
      <c r="D95" s="55"/>
      <c r="E95" s="55"/>
      <c r="F95" s="55"/>
      <c r="G95" s="55"/>
      <c r="H95" s="55"/>
    </row>
    <row r="96" spans="2:8" x14ac:dyDescent="0.25">
      <c r="B96" s="746" t="s">
        <v>336</v>
      </c>
      <c r="C96" s="771">
        <v>0.5113476526802645</v>
      </c>
      <c r="D96" s="55"/>
      <c r="E96" s="55"/>
      <c r="F96" s="55"/>
      <c r="G96" s="55"/>
      <c r="H96" s="55"/>
    </row>
    <row r="97" spans="2:8" x14ac:dyDescent="0.25">
      <c r="B97" s="750" t="s">
        <v>337</v>
      </c>
      <c r="C97" s="759">
        <v>0.31563953694991337</v>
      </c>
      <c r="D97" s="55"/>
      <c r="E97" s="55"/>
      <c r="F97" s="55"/>
      <c r="G97" s="55"/>
      <c r="H97" s="55"/>
    </row>
    <row r="98" spans="2:8" x14ac:dyDescent="0.25">
      <c r="B98" s="59"/>
      <c r="C98" s="60"/>
      <c r="D98" s="55"/>
      <c r="E98" s="55"/>
      <c r="F98" s="55"/>
      <c r="G98" s="55"/>
      <c r="H98" s="55"/>
    </row>
    <row r="99" spans="2:8" x14ac:dyDescent="0.25">
      <c r="B99" s="59"/>
      <c r="C99" s="60"/>
      <c r="D99" s="55"/>
      <c r="E99" s="55"/>
      <c r="F99" s="55"/>
      <c r="G99" s="55"/>
      <c r="H99" s="55"/>
    </row>
    <row r="100" spans="2:8" x14ac:dyDescent="0.25">
      <c r="B100" s="59"/>
      <c r="C100" s="60"/>
      <c r="D100" s="55"/>
      <c r="E100" s="55"/>
      <c r="F100" s="55"/>
      <c r="G100" s="55"/>
      <c r="H100" s="55"/>
    </row>
    <row r="104" spans="2:8" ht="16.5" thickBot="1" x14ac:dyDescent="0.3">
      <c r="D104" s="55"/>
      <c r="E104" s="55"/>
      <c r="F104" s="55"/>
      <c r="G104" s="55"/>
      <c r="H104" s="55"/>
    </row>
    <row r="105" spans="2:8" ht="16.5" thickBot="1" x14ac:dyDescent="0.3">
      <c r="B105" s="814" t="s">
        <v>334</v>
      </c>
      <c r="C105" s="815"/>
      <c r="D105" s="55"/>
      <c r="E105" s="55"/>
      <c r="F105" s="55"/>
      <c r="G105" s="55"/>
      <c r="H105" s="55"/>
    </row>
    <row r="106" spans="2:8" x14ac:dyDescent="0.25">
      <c r="B106" s="754" t="s">
        <v>320</v>
      </c>
      <c r="C106" s="755" t="s">
        <v>74</v>
      </c>
      <c r="D106" s="55"/>
      <c r="E106" s="58"/>
      <c r="F106" s="55"/>
      <c r="G106" s="55"/>
      <c r="H106" s="55"/>
    </row>
    <row r="107" spans="2:8" x14ac:dyDescent="0.25">
      <c r="D107" s="55"/>
      <c r="E107" s="55"/>
      <c r="F107" s="55"/>
      <c r="G107" s="55"/>
      <c r="H107" s="55"/>
    </row>
    <row r="108" spans="2:8" x14ac:dyDescent="0.25">
      <c r="B108" s="740" t="s">
        <v>75</v>
      </c>
      <c r="C108" s="742" t="s">
        <v>2</v>
      </c>
      <c r="D108" s="55"/>
      <c r="E108" s="55"/>
      <c r="F108" s="55"/>
      <c r="G108" s="55"/>
      <c r="H108" s="55"/>
    </row>
    <row r="109" spans="2:8" x14ac:dyDescent="0.25">
      <c r="B109" s="736" t="s">
        <v>338</v>
      </c>
      <c r="C109" s="757">
        <v>0.45509928457266513</v>
      </c>
      <c r="D109" s="55"/>
      <c r="E109" s="55"/>
      <c r="F109" s="55"/>
      <c r="G109" s="55"/>
      <c r="H109" s="55"/>
    </row>
    <row r="110" spans="2:8" x14ac:dyDescent="0.25">
      <c r="B110" s="750" t="s">
        <v>339</v>
      </c>
      <c r="C110" s="759">
        <v>357.95309961793021</v>
      </c>
      <c r="D110" s="55"/>
      <c r="E110" s="55"/>
      <c r="F110" s="55"/>
      <c r="G110" s="55"/>
      <c r="H110" s="55"/>
    </row>
    <row r="111" spans="2:8" x14ac:dyDescent="0.25">
      <c r="B111" s="55"/>
      <c r="C111" s="55"/>
      <c r="D111" s="55"/>
      <c r="E111" s="55"/>
      <c r="F111" s="55"/>
      <c r="G111" s="55"/>
      <c r="H111" s="55"/>
    </row>
    <row r="112" spans="2:8" x14ac:dyDescent="0.25">
      <c r="B112" s="55"/>
      <c r="C112" s="55"/>
      <c r="D112" s="55"/>
      <c r="E112" s="55"/>
      <c r="F112" s="55"/>
      <c r="G112" s="55"/>
      <c r="H112" s="55"/>
    </row>
    <row r="113" spans="2:9" x14ac:dyDescent="0.25">
      <c r="B113" s="55"/>
      <c r="C113" s="55"/>
      <c r="D113" s="55"/>
      <c r="E113" s="55"/>
      <c r="F113" s="55"/>
      <c r="G113" s="55"/>
      <c r="H113" s="55"/>
    </row>
    <row r="114" spans="2:9" x14ac:dyDescent="0.25">
      <c r="B114" s="55"/>
      <c r="C114" s="55"/>
      <c r="D114" s="55"/>
      <c r="E114" s="55"/>
      <c r="F114" s="55"/>
      <c r="G114" s="55"/>
      <c r="H114" s="55"/>
    </row>
    <row r="117" spans="2:9" x14ac:dyDescent="0.25">
      <c r="B117" s="52"/>
      <c r="C117" s="52"/>
    </row>
    <row r="118" spans="2:9" x14ac:dyDescent="0.25">
      <c r="B118" s="52"/>
      <c r="C118" s="52"/>
    </row>
    <row r="119" spans="2:9" ht="18.75" x14ac:dyDescent="0.25">
      <c r="I119" s="61"/>
    </row>
    <row r="120" spans="2:9" ht="16.5" thickBot="1" x14ac:dyDescent="0.3">
      <c r="B120" s="52"/>
      <c r="C120" s="52"/>
      <c r="D120" s="55"/>
      <c r="E120" s="55"/>
      <c r="F120" s="55"/>
      <c r="G120" s="55"/>
      <c r="H120" s="55"/>
    </row>
    <row r="121" spans="2:9" ht="16.5" thickBot="1" x14ac:dyDescent="0.3">
      <c r="B121" s="814" t="s">
        <v>340</v>
      </c>
      <c r="C121" s="815"/>
      <c r="D121" s="55"/>
      <c r="E121" s="55"/>
      <c r="F121" s="55"/>
      <c r="G121" s="55"/>
      <c r="H121" s="55"/>
    </row>
    <row r="122" spans="2:9" x14ac:dyDescent="0.25">
      <c r="B122" s="754" t="s">
        <v>320</v>
      </c>
      <c r="C122" s="755" t="s">
        <v>74</v>
      </c>
      <c r="D122" s="55"/>
      <c r="E122" s="55"/>
      <c r="F122" s="55"/>
      <c r="G122" s="55"/>
      <c r="H122" s="55"/>
    </row>
    <row r="123" spans="2:9" x14ac:dyDescent="0.25">
      <c r="D123" s="55"/>
      <c r="E123" s="55"/>
      <c r="F123" s="55"/>
      <c r="G123" s="55"/>
      <c r="H123" s="55"/>
    </row>
    <row r="124" spans="2:9" x14ac:dyDescent="0.25">
      <c r="B124" s="740" t="s">
        <v>75</v>
      </c>
      <c r="C124" s="742" t="s">
        <v>2</v>
      </c>
      <c r="D124" s="55"/>
      <c r="E124" s="55"/>
      <c r="F124" s="55"/>
      <c r="G124" s="55"/>
      <c r="H124" s="55"/>
    </row>
    <row r="125" spans="2:9" ht="30" x14ac:dyDescent="0.25">
      <c r="B125" s="756" t="s">
        <v>341</v>
      </c>
      <c r="C125" s="757">
        <v>3.6226415094339624E-2</v>
      </c>
      <c r="D125" s="55"/>
      <c r="E125" s="55"/>
      <c r="F125" s="55"/>
      <c r="G125" s="55"/>
      <c r="H125" s="55"/>
    </row>
    <row r="126" spans="2:9" ht="30" x14ac:dyDescent="0.25">
      <c r="B126" s="758" t="s">
        <v>342</v>
      </c>
      <c r="C126" s="759">
        <v>0.96490909090909094</v>
      </c>
      <c r="D126" s="55"/>
      <c r="E126" s="55"/>
      <c r="F126" s="55"/>
      <c r="G126" s="55"/>
      <c r="H126" s="55"/>
    </row>
    <row r="127" spans="2:9" x14ac:dyDescent="0.25">
      <c r="B127"/>
      <c r="C127"/>
      <c r="D127" s="55"/>
      <c r="E127" s="55"/>
      <c r="F127" s="55"/>
      <c r="G127" s="55"/>
      <c r="H127" s="55"/>
    </row>
    <row r="128" spans="2:9" x14ac:dyDescent="0.25">
      <c r="B128" s="59"/>
      <c r="C128" s="60"/>
      <c r="D128" s="55"/>
      <c r="E128" s="55"/>
      <c r="F128" s="55"/>
      <c r="G128" s="55"/>
      <c r="H128" s="55"/>
    </row>
    <row r="129" spans="2:14" x14ac:dyDescent="0.25">
      <c r="B129" s="59"/>
      <c r="C129" s="60"/>
      <c r="D129" s="55"/>
      <c r="E129" s="55"/>
      <c r="F129" s="55"/>
      <c r="G129" s="55"/>
      <c r="H129" s="55"/>
    </row>
    <row r="134" spans="2:14" ht="18.75" x14ac:dyDescent="0.25">
      <c r="N134" s="61"/>
    </row>
    <row r="136" spans="2:14" ht="16.5" thickBot="1" x14ac:dyDescent="0.3"/>
    <row r="137" spans="2:14" ht="16.5" thickBot="1" x14ac:dyDescent="0.3">
      <c r="B137" s="814" t="s">
        <v>343</v>
      </c>
      <c r="C137" s="815"/>
    </row>
    <row r="138" spans="2:14" x14ac:dyDescent="0.25">
      <c r="B138" s="754" t="s">
        <v>320</v>
      </c>
      <c r="C138" s="755" t="s">
        <v>74</v>
      </c>
    </row>
    <row r="140" spans="2:14" x14ac:dyDescent="0.25">
      <c r="B140" s="740" t="s">
        <v>75</v>
      </c>
      <c r="C140" s="742" t="s">
        <v>2</v>
      </c>
      <c r="D140" s="55"/>
      <c r="E140" s="55"/>
      <c r="F140" s="55"/>
      <c r="G140" s="55"/>
      <c r="H140" s="55"/>
    </row>
    <row r="141" spans="2:14" ht="30" x14ac:dyDescent="0.25">
      <c r="B141" s="756" t="s">
        <v>344</v>
      </c>
      <c r="C141" s="757">
        <v>0.33978156056371661</v>
      </c>
      <c r="D141" s="55"/>
      <c r="E141" s="55"/>
      <c r="F141" s="55"/>
      <c r="G141" s="55"/>
      <c r="H141" s="55"/>
    </row>
    <row r="142" spans="2:14" ht="30" x14ac:dyDescent="0.25">
      <c r="B142" s="775" t="s">
        <v>345</v>
      </c>
      <c r="C142" s="771">
        <v>0.28053791756058799</v>
      </c>
      <c r="D142" s="55"/>
      <c r="E142" s="55"/>
      <c r="F142" s="55"/>
      <c r="G142" s="55"/>
      <c r="H142" s="55"/>
    </row>
    <row r="143" spans="2:14" x14ac:dyDescent="0.25">
      <c r="B143" s="758" t="s">
        <v>346</v>
      </c>
      <c r="C143" s="759">
        <v>0.35099321453511412</v>
      </c>
      <c r="D143" s="55"/>
      <c r="E143" s="55"/>
      <c r="F143" s="55"/>
      <c r="G143" s="55"/>
      <c r="H143" s="55"/>
    </row>
    <row r="144" spans="2:14" x14ac:dyDescent="0.25">
      <c r="B144" s="55"/>
      <c r="C144" s="55"/>
      <c r="D144" s="55"/>
      <c r="E144" s="55"/>
      <c r="F144" s="55"/>
      <c r="G144" s="55"/>
      <c r="H144" s="55"/>
    </row>
    <row r="145" spans="2:8" x14ac:dyDescent="0.25">
      <c r="B145" s="819"/>
      <c r="C145" s="819"/>
      <c r="D145" s="55"/>
      <c r="E145" s="55"/>
      <c r="F145" s="55"/>
      <c r="G145" s="55"/>
      <c r="H145" s="55"/>
    </row>
    <row r="146" spans="2:8" x14ac:dyDescent="0.25">
      <c r="B146" s="59"/>
      <c r="C146" s="60"/>
      <c r="D146" s="55"/>
      <c r="E146" s="55"/>
      <c r="F146" s="55"/>
      <c r="G146" s="55"/>
      <c r="H146" s="55"/>
    </row>
    <row r="147" spans="2:8" x14ac:dyDescent="0.25">
      <c r="B147" s="59"/>
      <c r="C147" s="60"/>
      <c r="D147" s="55"/>
      <c r="E147" s="55"/>
      <c r="F147" s="55"/>
      <c r="G147" s="55"/>
      <c r="H147" s="55"/>
    </row>
    <row r="148" spans="2:8" x14ac:dyDescent="0.25">
      <c r="B148" s="59"/>
      <c r="C148" s="60"/>
      <c r="D148" s="55"/>
      <c r="E148" s="55"/>
      <c r="F148" s="55"/>
      <c r="G148" s="55"/>
      <c r="H148" s="55"/>
    </row>
    <row r="149" spans="2:8" ht="16.5" thickBot="1" x14ac:dyDescent="0.3"/>
    <row r="150" spans="2:8" ht="16.5" thickBot="1" x14ac:dyDescent="0.3">
      <c r="B150" s="814" t="s">
        <v>347</v>
      </c>
      <c r="C150" s="815"/>
    </row>
    <row r="151" spans="2:8" x14ac:dyDescent="0.25">
      <c r="B151" s="55"/>
      <c r="C151" s="55"/>
    </row>
    <row r="153" spans="2:8" x14ac:dyDescent="0.25">
      <c r="B153" s="736"/>
      <c r="C153" s="737" t="s">
        <v>320</v>
      </c>
      <c r="D153" s="738"/>
      <c r="E153" s="738"/>
      <c r="F153" s="738"/>
      <c r="G153" s="739"/>
      <c r="H153" s="55"/>
    </row>
    <row r="154" spans="2:8" x14ac:dyDescent="0.25">
      <c r="B154" s="740" t="s">
        <v>75</v>
      </c>
      <c r="C154" s="736">
        <v>2012</v>
      </c>
      <c r="D154" s="741">
        <v>2013</v>
      </c>
      <c r="E154" s="741">
        <v>2014</v>
      </c>
      <c r="F154" s="741">
        <v>2015</v>
      </c>
      <c r="G154" s="742" t="s">
        <v>73</v>
      </c>
      <c r="H154" s="55"/>
    </row>
    <row r="155" spans="2:8" x14ac:dyDescent="0.25">
      <c r="B155" s="736" t="s">
        <v>348</v>
      </c>
      <c r="C155" s="743">
        <v>273381</v>
      </c>
      <c r="D155" s="744">
        <v>57928</v>
      </c>
      <c r="E155" s="744">
        <v>136152</v>
      </c>
      <c r="F155" s="744">
        <v>74915</v>
      </c>
      <c r="G155" s="745">
        <v>542376</v>
      </c>
      <c r="H155" s="55"/>
    </row>
    <row r="156" spans="2:8" x14ac:dyDescent="0.25">
      <c r="B156" s="746" t="s">
        <v>349</v>
      </c>
      <c r="C156" s="747">
        <v>269017</v>
      </c>
      <c r="D156" s="748">
        <v>72891</v>
      </c>
      <c r="E156" s="748">
        <v>139508</v>
      </c>
      <c r="F156" s="748">
        <v>64953</v>
      </c>
      <c r="G156" s="749">
        <v>546369</v>
      </c>
      <c r="H156" s="55"/>
    </row>
    <row r="157" spans="2:8" x14ac:dyDescent="0.25">
      <c r="B157" s="750" t="s">
        <v>350</v>
      </c>
      <c r="C157" s="751">
        <v>292077</v>
      </c>
      <c r="D157" s="752">
        <v>79187</v>
      </c>
      <c r="E157" s="752">
        <v>141595</v>
      </c>
      <c r="F157" s="752">
        <v>81577</v>
      </c>
      <c r="G157" s="753">
        <v>594436</v>
      </c>
    </row>
    <row r="158" spans="2:8" ht="31.15" customHeight="1" x14ac:dyDescent="0.25">
      <c r="B158" s="819"/>
      <c r="C158" s="819"/>
    </row>
    <row r="165" spans="2:8" ht="16.5" thickBot="1" x14ac:dyDescent="0.3"/>
    <row r="166" spans="2:8" ht="16.5" thickBot="1" x14ac:dyDescent="0.3">
      <c r="B166" s="814" t="s">
        <v>351</v>
      </c>
      <c r="C166" s="815"/>
    </row>
    <row r="167" spans="2:8" x14ac:dyDescent="0.25">
      <c r="B167" s="734" t="s">
        <v>352</v>
      </c>
      <c r="C167" s="735" t="s">
        <v>74</v>
      </c>
    </row>
    <row r="169" spans="2:8" x14ac:dyDescent="0.25">
      <c r="B169" s="736"/>
      <c r="C169" s="737" t="s">
        <v>320</v>
      </c>
      <c r="D169" s="738"/>
      <c r="E169" s="738"/>
      <c r="F169" s="738"/>
      <c r="G169" s="739"/>
      <c r="H169" s="55"/>
    </row>
    <row r="170" spans="2:8" x14ac:dyDescent="0.25">
      <c r="B170" s="740" t="s">
        <v>75</v>
      </c>
      <c r="C170" s="736">
        <v>2012</v>
      </c>
      <c r="D170" s="741">
        <v>2013</v>
      </c>
      <c r="E170" s="741">
        <v>2014</v>
      </c>
      <c r="F170" s="741">
        <v>2015</v>
      </c>
      <c r="G170" s="742" t="s">
        <v>73</v>
      </c>
      <c r="H170" s="55"/>
    </row>
    <row r="171" spans="2:8" x14ac:dyDescent="0.25">
      <c r="B171" s="736" t="s">
        <v>353</v>
      </c>
      <c r="C171" s="743">
        <v>2500</v>
      </c>
      <c r="D171" s="744">
        <v>22000</v>
      </c>
      <c r="E171" s="744">
        <v>0</v>
      </c>
      <c r="F171" s="744">
        <v>1910</v>
      </c>
      <c r="G171" s="745">
        <v>26410</v>
      </c>
      <c r="H171" s="55"/>
    </row>
    <row r="172" spans="2:8" x14ac:dyDescent="0.25">
      <c r="B172" s="746" t="s">
        <v>354</v>
      </c>
      <c r="C172" s="747">
        <v>2500</v>
      </c>
      <c r="D172" s="748">
        <v>8788</v>
      </c>
      <c r="E172" s="748">
        <v>0</v>
      </c>
      <c r="F172" s="748">
        <v>1910</v>
      </c>
      <c r="G172" s="749">
        <v>13198</v>
      </c>
      <c r="H172" s="55"/>
    </row>
    <row r="173" spans="2:8" x14ac:dyDescent="0.25">
      <c r="B173" s="750" t="s">
        <v>355</v>
      </c>
      <c r="C173" s="751">
        <v>2500</v>
      </c>
      <c r="D173" s="752">
        <v>30788</v>
      </c>
      <c r="E173" s="752">
        <v>2418</v>
      </c>
      <c r="F173" s="752">
        <v>1910</v>
      </c>
      <c r="G173" s="753">
        <v>37616</v>
      </c>
    </row>
    <row r="179" spans="2:8" x14ac:dyDescent="0.25">
      <c r="B179" s="55"/>
      <c r="C179" s="55"/>
      <c r="D179" s="55"/>
      <c r="E179" s="55"/>
      <c r="F179" s="55"/>
      <c r="G179" s="55"/>
      <c r="H179" s="55"/>
    </row>
    <row r="180" spans="2:8" x14ac:dyDescent="0.25">
      <c r="B180" s="55"/>
      <c r="C180" s="55"/>
      <c r="D180" s="55"/>
      <c r="E180" s="55"/>
      <c r="F180" s="55"/>
      <c r="G180" s="55"/>
      <c r="H180" s="55"/>
    </row>
    <row r="181" spans="2:8" x14ac:dyDescent="0.25">
      <c r="B181" s="55"/>
      <c r="C181" s="55"/>
      <c r="D181" s="55"/>
      <c r="E181" s="55"/>
      <c r="F181" s="55"/>
      <c r="G181" s="55"/>
      <c r="H181" s="55"/>
    </row>
    <row r="182" spans="2:8" x14ac:dyDescent="0.25">
      <c r="B182" s="55"/>
      <c r="C182" s="55"/>
      <c r="D182" s="55"/>
      <c r="E182" s="55"/>
      <c r="F182" s="55"/>
      <c r="G182" s="55"/>
      <c r="H182" s="55"/>
    </row>
    <row r="183" spans="2:8" x14ac:dyDescent="0.25">
      <c r="B183" s="55"/>
      <c r="C183" s="55"/>
      <c r="D183" s="55"/>
      <c r="E183" s="55"/>
      <c r="F183" s="55"/>
      <c r="G183" s="55"/>
      <c r="H183" s="55"/>
    </row>
    <row r="184" spans="2:8" x14ac:dyDescent="0.25">
      <c r="B184" s="55"/>
      <c r="C184" s="55"/>
      <c r="D184" s="55"/>
      <c r="E184" s="55"/>
      <c r="F184" s="55"/>
      <c r="G184" s="55"/>
      <c r="H184" s="55"/>
    </row>
    <row r="185" spans="2:8" x14ac:dyDescent="0.25">
      <c r="B185" s="55"/>
      <c r="C185" s="55"/>
      <c r="D185" s="55"/>
      <c r="E185" s="55"/>
      <c r="F185" s="55"/>
      <c r="G185" s="55"/>
      <c r="H185" s="55"/>
    </row>
    <row r="186" spans="2:8" x14ac:dyDescent="0.25">
      <c r="B186" s="55"/>
      <c r="C186" s="55"/>
      <c r="D186" s="55"/>
      <c r="E186" s="55"/>
      <c r="F186" s="55"/>
      <c r="G186" s="55"/>
      <c r="H186" s="55"/>
    </row>
    <row r="187" spans="2:8" x14ac:dyDescent="0.25">
      <c r="B187" s="55"/>
      <c r="C187" s="55"/>
      <c r="D187" s="55"/>
      <c r="E187" s="55"/>
      <c r="F187" s="55"/>
      <c r="G187" s="55"/>
      <c r="H187" s="55"/>
    </row>
    <row r="188" spans="2:8" x14ac:dyDescent="0.25">
      <c r="B188" s="55"/>
      <c r="C188" s="55"/>
      <c r="D188" s="55"/>
    </row>
    <row r="189" spans="2:8" x14ac:dyDescent="0.25">
      <c r="B189" s="55"/>
      <c r="C189" s="55"/>
      <c r="D189" s="55"/>
    </row>
    <row r="190" spans="2:8" x14ac:dyDescent="0.25">
      <c r="B190" s="55"/>
      <c r="C190" s="55"/>
      <c r="D190" s="55"/>
    </row>
    <row r="191" spans="2:8" x14ac:dyDescent="0.25">
      <c r="B191" s="55"/>
      <c r="C191" s="55"/>
      <c r="D191" s="55"/>
    </row>
    <row r="192" spans="2:8" x14ac:dyDescent="0.25">
      <c r="B192" s="55"/>
      <c r="C192" s="55"/>
      <c r="D192" s="55"/>
    </row>
    <row r="193" spans="2:4" x14ac:dyDescent="0.25">
      <c r="B193" s="55"/>
      <c r="C193" s="55"/>
      <c r="D193" s="55"/>
    </row>
    <row r="194" spans="2:4" x14ac:dyDescent="0.25">
      <c r="B194" s="55"/>
      <c r="C194" s="55"/>
      <c r="D194" s="55"/>
    </row>
    <row r="195" spans="2:4" x14ac:dyDescent="0.25">
      <c r="B195" s="55"/>
      <c r="C195" s="55"/>
      <c r="D195" s="55"/>
    </row>
    <row r="196" spans="2:4" x14ac:dyDescent="0.25">
      <c r="B196" s="55"/>
      <c r="C196" s="55"/>
      <c r="D196" s="55"/>
    </row>
    <row r="197" spans="2:4" x14ac:dyDescent="0.25">
      <c r="B197" s="55"/>
      <c r="C197" s="55"/>
      <c r="D197" s="55"/>
    </row>
    <row r="198" spans="2:4" x14ac:dyDescent="0.25">
      <c r="B198" s="55"/>
      <c r="C198" s="55"/>
      <c r="D198" s="55"/>
    </row>
  </sheetData>
  <mergeCells count="13">
    <mergeCell ref="B166:C166"/>
    <mergeCell ref="B2:M2"/>
    <mergeCell ref="B5:C5"/>
    <mergeCell ref="B55:C55"/>
    <mergeCell ref="B68:C68"/>
    <mergeCell ref="B91:C91"/>
    <mergeCell ref="B105:C105"/>
    <mergeCell ref="B121:C121"/>
    <mergeCell ref="B137:C137"/>
    <mergeCell ref="B145:C145"/>
    <mergeCell ref="B150:C150"/>
    <mergeCell ref="B158:C158"/>
    <mergeCell ref="B32:C32"/>
  </mergeCells>
  <pageMargins left="0.7" right="0.7" top="0.75" bottom="0.75" header="0.3" footer="0.3"/>
  <pageSetup orientation="portrait"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1"/>
  <sheetViews>
    <sheetView zoomScaleNormal="100" workbookViewId="0">
      <selection activeCell="C34" sqref="C34"/>
    </sheetView>
  </sheetViews>
  <sheetFormatPr defaultColWidth="8.85546875" defaultRowHeight="15" x14ac:dyDescent="0.25"/>
  <cols>
    <col min="1" max="1" width="4.7109375" style="41" customWidth="1"/>
    <col min="2" max="2" width="33.28515625" style="41" customWidth="1"/>
    <col min="3" max="3" width="27.140625" style="50" customWidth="1"/>
    <col min="4" max="5" width="27.140625" style="41" customWidth="1"/>
    <col min="6" max="6" width="15.85546875" style="41" customWidth="1"/>
    <col min="7" max="7" width="67.7109375" style="41" customWidth="1"/>
    <col min="8" max="16384" width="8.85546875" style="41"/>
  </cols>
  <sheetData>
    <row r="1" spans="2:9" x14ac:dyDescent="0.25">
      <c r="C1" s="41"/>
    </row>
    <row r="2" spans="2:9" ht="44.45" customHeight="1" x14ac:dyDescent="0.25">
      <c r="B2" s="822" t="s">
        <v>431</v>
      </c>
      <c r="C2" s="822"/>
      <c r="D2" s="822"/>
      <c r="E2" s="822"/>
      <c r="F2" s="822"/>
      <c r="G2" s="822"/>
    </row>
    <row r="3" spans="2:9" ht="21" customHeight="1" x14ac:dyDescent="0.25">
      <c r="C3" s="41"/>
    </row>
    <row r="4" spans="2:9" ht="25.15" customHeight="1" x14ac:dyDescent="0.25">
      <c r="B4" s="42" t="s">
        <v>432</v>
      </c>
      <c r="C4" s="43"/>
      <c r="D4" s="43"/>
      <c r="E4" s="43"/>
      <c r="F4" s="43"/>
      <c r="G4" s="42"/>
      <c r="H4" s="44"/>
      <c r="I4" s="44"/>
    </row>
    <row r="5" spans="2:9" ht="15.75" thickBot="1" x14ac:dyDescent="0.3">
      <c r="C5" s="41"/>
    </row>
    <row r="6" spans="2:9" ht="27" customHeight="1" x14ac:dyDescent="0.25">
      <c r="B6" s="823" t="s">
        <v>786</v>
      </c>
      <c r="C6" s="824"/>
      <c r="D6" s="604" t="s">
        <v>737</v>
      </c>
      <c r="E6" s="604" t="s">
        <v>433</v>
      </c>
      <c r="F6" s="605" t="s">
        <v>434</v>
      </c>
      <c r="G6" s="606" t="s">
        <v>435</v>
      </c>
    </row>
    <row r="7" spans="2:9" ht="27" customHeight="1" x14ac:dyDescent="0.25">
      <c r="B7" s="600" t="s">
        <v>445</v>
      </c>
      <c r="C7" s="601">
        <v>42000</v>
      </c>
      <c r="D7" s="601">
        <f>SUMIFS(Database!K5:K497,Database!I5:I497,"GCA",Database!H5:H497,"Camp")</f>
        <v>45633</v>
      </c>
      <c r="E7" s="601">
        <f>SUMIFS(Database!K5:K497,Database!I5:I497,"GCA",Database!H5:H497,"Camp")-SUMIFS(Database!K5:K497,Database!I5:I497,"GCA",Database!H5:H497,"Camp",Database!P5:P497,"None")</f>
        <v>45392</v>
      </c>
      <c r="F7" s="602">
        <f t="shared" ref="F7:F12" si="0">E7/D7</f>
        <v>0.9947187342493371</v>
      </c>
      <c r="G7" s="603" t="s">
        <v>436</v>
      </c>
    </row>
    <row r="8" spans="2:9" ht="27" customHeight="1" x14ac:dyDescent="0.25">
      <c r="B8" s="595" t="s">
        <v>446</v>
      </c>
      <c r="C8" s="45">
        <v>33500</v>
      </c>
      <c r="D8" s="45">
        <f>SUMIFS(Database!K5:K497,Database!I5:I497,"NGCA",Database!H5:H497,"Camp")</f>
        <v>30327</v>
      </c>
      <c r="E8" s="45">
        <f>SUMIFS(Database!K5:K497,Database!I5:I497,"NGCA",Database!H5:H497,"Camp")-SUMIFS(Database!K5:K497,Database!I5:I497,"NGCA",Database!H5:H497,"Camp",Database!P5:P497,"None")</f>
        <v>30327</v>
      </c>
      <c r="F8" s="46">
        <f t="shared" si="0"/>
        <v>1</v>
      </c>
      <c r="G8" s="596"/>
    </row>
    <row r="9" spans="2:9" ht="27" customHeight="1" x14ac:dyDescent="0.25">
      <c r="B9" s="595" t="s">
        <v>721</v>
      </c>
      <c r="C9" s="45">
        <v>10000</v>
      </c>
      <c r="D9" s="45">
        <f>SUMIFS(Database!K5:K497,Database!H5:H497,"Village")</f>
        <v>7864</v>
      </c>
      <c r="E9" s="45">
        <f>SUMIFS(Database!K5:K497,Database!H5:H497,"Village")-SUMIFS(Database!K5:K497,Database!H5:H497,"Village",Database!P5:P497,"None")</f>
        <v>6336</v>
      </c>
      <c r="F9" s="46">
        <f t="shared" si="0"/>
        <v>0.80569684638860628</v>
      </c>
      <c r="G9" s="596"/>
    </row>
    <row r="10" spans="2:9" ht="27" customHeight="1" x14ac:dyDescent="0.25">
      <c r="B10" s="595" t="s">
        <v>448</v>
      </c>
      <c r="C10" s="45">
        <v>20000</v>
      </c>
      <c r="D10" s="45">
        <v>20000</v>
      </c>
      <c r="E10" s="62">
        <v>2500</v>
      </c>
      <c r="F10" s="46">
        <f t="shared" si="0"/>
        <v>0.125</v>
      </c>
      <c r="G10" s="597" t="s">
        <v>722</v>
      </c>
    </row>
    <row r="11" spans="2:9" ht="27" customHeight="1" x14ac:dyDescent="0.25">
      <c r="B11" s="595" t="s">
        <v>447</v>
      </c>
      <c r="C11" s="45">
        <v>10000</v>
      </c>
      <c r="D11" s="45">
        <v>10000</v>
      </c>
      <c r="E11" s="47">
        <f>SUMIFS(Database!K5:K497,Database!H5:H497,"School")-SUMIFS(Database!K5:K497,Database!H5:H497,"School",Database!P5:P497,"None")</f>
        <v>2014</v>
      </c>
      <c r="F11" s="46">
        <f t="shared" si="0"/>
        <v>0.2014</v>
      </c>
      <c r="G11" s="598"/>
    </row>
    <row r="12" spans="2:9" ht="27" customHeight="1" thickBot="1" x14ac:dyDescent="0.3">
      <c r="B12" s="638" t="s">
        <v>2</v>
      </c>
      <c r="C12" s="639">
        <f>SUM(C7:C11)</f>
        <v>115500</v>
      </c>
      <c r="D12" s="639">
        <f t="shared" ref="D12:E12" si="1">SUM(D7:D11)</f>
        <v>113824</v>
      </c>
      <c r="E12" s="640">
        <f t="shared" si="1"/>
        <v>86569</v>
      </c>
      <c r="F12" s="641">
        <f t="shared" si="0"/>
        <v>0.76055137756536406</v>
      </c>
      <c r="G12" s="599"/>
    </row>
    <row r="13" spans="2:9" x14ac:dyDescent="0.25">
      <c r="C13" s="48"/>
    </row>
    <row r="14" spans="2:9" x14ac:dyDescent="0.25">
      <c r="C14" s="48"/>
    </row>
    <row r="15" spans="2:9" ht="28.15" customHeight="1" x14ac:dyDescent="0.25">
      <c r="B15" s="42" t="s">
        <v>437</v>
      </c>
      <c r="C15" s="43"/>
      <c r="D15" s="43"/>
      <c r="E15" s="43"/>
      <c r="F15" s="43"/>
      <c r="G15" s="42"/>
      <c r="H15" s="49"/>
      <c r="I15" s="49"/>
    </row>
    <row r="16" spans="2:9" ht="15.75" thickBot="1" x14ac:dyDescent="0.3">
      <c r="C16" s="48"/>
    </row>
    <row r="17" spans="2:7" ht="58.9" customHeight="1" x14ac:dyDescent="0.25">
      <c r="B17" s="611" t="s">
        <v>438</v>
      </c>
      <c r="C17" s="612" t="s">
        <v>439</v>
      </c>
      <c r="D17" s="604" t="s">
        <v>440</v>
      </c>
      <c r="E17" s="613" t="s">
        <v>791</v>
      </c>
      <c r="F17" s="613" t="s">
        <v>441</v>
      </c>
      <c r="G17" s="606" t="s">
        <v>435</v>
      </c>
    </row>
    <row r="18" spans="2:7" ht="50.25" customHeight="1" x14ac:dyDescent="0.25">
      <c r="B18" s="614" t="s">
        <v>782</v>
      </c>
      <c r="C18" s="625">
        <f>SUM(C19:C22)</f>
        <v>113824</v>
      </c>
      <c r="D18" s="625">
        <f>SUM(D19:D22)</f>
        <v>83700.666666666672</v>
      </c>
      <c r="E18" s="615">
        <f>D18/C18</f>
        <v>0.73535165401555624</v>
      </c>
      <c r="F18" s="616"/>
      <c r="G18" s="617"/>
    </row>
    <row r="19" spans="2:7" ht="31.5" customHeight="1" x14ac:dyDescent="0.25">
      <c r="B19" s="618" t="s">
        <v>787</v>
      </c>
      <c r="C19" s="626">
        <f>SUMIFS(Database!K5:K497,Database!I5:I497,"GCA")-SUMIFS(Database!K5:K497,Database!H5:H497,"School",Database!I5:I497,"GCA")</f>
        <v>49184</v>
      </c>
      <c r="D19" s="626">
        <f>SUMIFS(Database!AH5:AH497,Database!I5:I497,"GCA")-SUMIFS(Database!AH5:AH497,Database!H5:H497,"School",Database!I5:I497,"GCA")</f>
        <v>44856.666666666672</v>
      </c>
      <c r="E19" s="276">
        <f t="shared" ref="E19:E22" si="2">D19/C19</f>
        <v>0.9120174582520062</v>
      </c>
      <c r="F19" s="277" t="s">
        <v>442</v>
      </c>
      <c r="G19" s="608"/>
    </row>
    <row r="20" spans="2:7" ht="31.5" customHeight="1" x14ac:dyDescent="0.25">
      <c r="B20" s="633" t="s">
        <v>788</v>
      </c>
      <c r="C20" s="634">
        <f>SUMIFS(Database!K5:K497,Database!I5:I497,"NGCA")-SUMIFS(Database!K5:K497,Database!H5:H497,"School",Database!I5:I497,"NGCA")</f>
        <v>34640</v>
      </c>
      <c r="D20" s="634">
        <f>SUMIFS(Database!AH5:AH497,Database!I5:I497,"NGCA")-SUMIFS(Database!AH5:AH497,Database!H5:H497,"School",Database!I5:I497,"NGCA")</f>
        <v>34194</v>
      </c>
      <c r="E20" s="635">
        <f t="shared" si="2"/>
        <v>0.98712471131639723</v>
      </c>
      <c r="F20" s="636" t="s">
        <v>442</v>
      </c>
      <c r="G20" s="637"/>
    </row>
    <row r="21" spans="2:7" ht="31.5" customHeight="1" x14ac:dyDescent="0.25">
      <c r="B21" s="633" t="s">
        <v>447</v>
      </c>
      <c r="C21" s="634">
        <f>D11</f>
        <v>10000</v>
      </c>
      <c r="D21" s="634">
        <f>SUMIFS(Database!AH5:AH497,Database!H5:H497,"School")</f>
        <v>2150</v>
      </c>
      <c r="E21" s="635">
        <f t="shared" si="2"/>
        <v>0.215</v>
      </c>
      <c r="F21" s="636" t="s">
        <v>789</v>
      </c>
      <c r="G21" s="637"/>
    </row>
    <row r="22" spans="2:7" ht="31.5" customHeight="1" thickBot="1" x14ac:dyDescent="0.3">
      <c r="B22" s="628" t="s">
        <v>785</v>
      </c>
      <c r="C22" s="629">
        <f>D10</f>
        <v>20000</v>
      </c>
      <c r="D22" s="629">
        <f>E10</f>
        <v>2500</v>
      </c>
      <c r="E22" s="630">
        <f t="shared" si="2"/>
        <v>0.125</v>
      </c>
      <c r="F22" s="631" t="s">
        <v>790</v>
      </c>
      <c r="G22" s="632"/>
    </row>
    <row r="24" spans="2:7" ht="15.75" thickBot="1" x14ac:dyDescent="0.3"/>
    <row r="25" spans="2:7" ht="27.6" customHeight="1" x14ac:dyDescent="0.25">
      <c r="B25" s="620" t="s">
        <v>443</v>
      </c>
      <c r="C25" s="621" t="s">
        <v>439</v>
      </c>
      <c r="D25" s="622" t="s">
        <v>440</v>
      </c>
      <c r="E25" s="623" t="s">
        <v>792</v>
      </c>
      <c r="F25" s="623" t="s">
        <v>441</v>
      </c>
      <c r="G25" s="624" t="s">
        <v>435</v>
      </c>
    </row>
    <row r="26" spans="2:7" ht="67.150000000000006" customHeight="1" x14ac:dyDescent="0.25">
      <c r="B26" s="614" t="s">
        <v>783</v>
      </c>
      <c r="C26" s="625">
        <f>SUM(C27:C30)</f>
        <v>113824</v>
      </c>
      <c r="D26" s="625">
        <f>SUM(D27:D30)</f>
        <v>77446</v>
      </c>
      <c r="E26" s="615">
        <f>D26/C26</f>
        <v>0.6804013213382063</v>
      </c>
      <c r="F26" s="616"/>
      <c r="G26" s="617"/>
    </row>
    <row r="27" spans="2:7" ht="31.5" customHeight="1" x14ac:dyDescent="0.25">
      <c r="B27" s="618" t="s">
        <v>787</v>
      </c>
      <c r="C27" s="626">
        <f>SUMIFS(Database!K5:K497,Database!I5:I497,"GCA")-SUMIFS(Database!K5:K497,Database!H5:H497,"School",Database!I5:I497,"GCA")</f>
        <v>49184</v>
      </c>
      <c r="D27" s="626">
        <f>SUMIFS(Database!AW5:AW497,Database!I5:I497,"GCA")-SUMIFS(Database!AW5:AW497,Database!H5:H497,"School",Database!I5:I497,"GCA")</f>
        <v>39576</v>
      </c>
      <c r="E27" s="276">
        <f t="shared" ref="E27:E30" si="3">D27/C27</f>
        <v>0.80465191932335722</v>
      </c>
      <c r="F27" s="277" t="s">
        <v>442</v>
      </c>
      <c r="G27" s="608"/>
    </row>
    <row r="28" spans="2:7" ht="31.5" customHeight="1" x14ac:dyDescent="0.25">
      <c r="B28" s="633" t="s">
        <v>788</v>
      </c>
      <c r="C28" s="634">
        <f>SUMIFS(Database!K5:K497,Database!I5:I497,"NGCA")-SUMIFS(Database!K5:K497,Database!H5:H497,"School",Database!I5:I497,"NGCA")</f>
        <v>34640</v>
      </c>
      <c r="D28" s="634">
        <f>SUMIFS(Database!AW5:AW497,Database!I5:I497,"NGCA")-SUMIFS(Database!AW5:AW497,Database!H5:H497,"School",Database!I5:I497,"NGCA")</f>
        <v>33465</v>
      </c>
      <c r="E28" s="635">
        <f t="shared" si="3"/>
        <v>0.9660796766743649</v>
      </c>
      <c r="F28" s="636" t="s">
        <v>442</v>
      </c>
      <c r="G28" s="637"/>
    </row>
    <row r="29" spans="2:7" ht="31.5" customHeight="1" x14ac:dyDescent="0.25">
      <c r="B29" s="633" t="s">
        <v>447</v>
      </c>
      <c r="C29" s="634">
        <f>D11</f>
        <v>10000</v>
      </c>
      <c r="D29" s="634">
        <f>SUMIFS(Database!AW5:AW497,Database!H5:H497,"School")</f>
        <v>1905</v>
      </c>
      <c r="E29" s="635">
        <f t="shared" si="3"/>
        <v>0.1905</v>
      </c>
      <c r="F29" s="636" t="s">
        <v>789</v>
      </c>
      <c r="G29" s="637"/>
    </row>
    <row r="30" spans="2:7" ht="31.5" customHeight="1" thickBot="1" x14ac:dyDescent="0.3">
      <c r="B30" s="628" t="s">
        <v>785</v>
      </c>
      <c r="C30" s="629">
        <f>D10</f>
        <v>20000</v>
      </c>
      <c r="D30" s="629">
        <f>E10</f>
        <v>2500</v>
      </c>
      <c r="E30" s="630">
        <f t="shared" si="3"/>
        <v>0.125</v>
      </c>
      <c r="F30" s="631" t="s">
        <v>790</v>
      </c>
      <c r="G30" s="632"/>
    </row>
    <row r="32" spans="2:7" ht="15.75" thickBot="1" x14ac:dyDescent="0.3"/>
    <row r="33" spans="2:9" ht="27.6" customHeight="1" x14ac:dyDescent="0.25">
      <c r="B33" s="620" t="s">
        <v>444</v>
      </c>
      <c r="C33" s="621" t="s">
        <v>439</v>
      </c>
      <c r="D33" s="622" t="s">
        <v>440</v>
      </c>
      <c r="E33" s="623" t="s">
        <v>792</v>
      </c>
      <c r="F33" s="623" t="s">
        <v>441</v>
      </c>
      <c r="G33" s="624" t="s">
        <v>435</v>
      </c>
    </row>
    <row r="34" spans="2:9" ht="67.150000000000006" customHeight="1" x14ac:dyDescent="0.25">
      <c r="B34" s="614" t="s">
        <v>784</v>
      </c>
      <c r="C34" s="625">
        <f>SUM(C35:C38)</f>
        <v>113824</v>
      </c>
      <c r="D34" s="625">
        <f>SUM(D35:D38)</f>
        <v>50070.67</v>
      </c>
      <c r="E34" s="615">
        <f>D34/C34</f>
        <v>0.43989554048355356</v>
      </c>
      <c r="F34" s="616" t="s">
        <v>442</v>
      </c>
      <c r="G34" s="617"/>
    </row>
    <row r="35" spans="2:9" ht="31.5" customHeight="1" x14ac:dyDescent="0.25">
      <c r="B35" s="618" t="s">
        <v>787</v>
      </c>
      <c r="C35" s="626">
        <f>SUMIFS(Database!K5:K497,Database!I5:I497,"GCA")-SUMIFS(Database!K5:K497,Database!H5:H497,"School",Database!I5:I497,"GCA")</f>
        <v>49184</v>
      </c>
      <c r="D35" s="626">
        <f>D7*E35</f>
        <v>29205.119999999999</v>
      </c>
      <c r="E35" s="276">
        <v>0.64</v>
      </c>
      <c r="F35" s="277" t="s">
        <v>442</v>
      </c>
      <c r="G35" s="608" t="s">
        <v>793</v>
      </c>
    </row>
    <row r="36" spans="2:9" ht="31.5" customHeight="1" x14ac:dyDescent="0.25">
      <c r="B36" s="633" t="s">
        <v>788</v>
      </c>
      <c r="C36" s="634">
        <f>SUMIFS(Database!K5:K497,Database!I5:I497,"NGCA")-SUMIFS(Database!K5:K497,Database!H5:H497,"School",Database!I5:I497,"NGCA")</f>
        <v>34640</v>
      </c>
      <c r="D36" s="626">
        <f>D8*E36</f>
        <v>13647.15</v>
      </c>
      <c r="E36" s="635">
        <v>0.45</v>
      </c>
      <c r="F36" s="636" t="s">
        <v>442</v>
      </c>
      <c r="G36" s="637" t="s">
        <v>865</v>
      </c>
    </row>
    <row r="37" spans="2:9" ht="31.5" customHeight="1" x14ac:dyDescent="0.25">
      <c r="B37" s="633" t="s">
        <v>447</v>
      </c>
      <c r="C37" s="634">
        <f>D11</f>
        <v>10000</v>
      </c>
      <c r="D37" s="626">
        <f>D9*E37</f>
        <v>4718.3999999999996</v>
      </c>
      <c r="E37" s="635">
        <v>0.6</v>
      </c>
      <c r="F37" s="636" t="s">
        <v>789</v>
      </c>
      <c r="G37" s="637" t="s">
        <v>865</v>
      </c>
    </row>
    <row r="38" spans="2:9" ht="31.5" customHeight="1" thickBot="1" x14ac:dyDescent="0.3">
      <c r="B38" s="628" t="s">
        <v>785</v>
      </c>
      <c r="C38" s="629">
        <f>D10</f>
        <v>20000</v>
      </c>
      <c r="D38" s="629">
        <f>E10</f>
        <v>2500</v>
      </c>
      <c r="E38" s="630">
        <f t="shared" ref="E38" si="4">D38/C38</f>
        <v>0.125</v>
      </c>
      <c r="F38" s="631" t="s">
        <v>790</v>
      </c>
      <c r="G38" s="632"/>
    </row>
    <row r="39" spans="2:9" x14ac:dyDescent="0.25">
      <c r="F39" s="51"/>
    </row>
    <row r="40" spans="2:9" x14ac:dyDescent="0.25">
      <c r="F40" s="51"/>
    </row>
    <row r="41" spans="2:9" ht="21" x14ac:dyDescent="0.25">
      <c r="G41" s="825"/>
      <c r="H41" s="826"/>
      <c r="I41" s="826"/>
    </row>
    <row r="42" spans="2:9" s="300" customFormat="1" ht="25.15" customHeight="1" x14ac:dyDescent="0.25">
      <c r="B42" s="301" t="s">
        <v>684</v>
      </c>
      <c r="C42" s="302"/>
      <c r="D42" s="302"/>
      <c r="E42" s="302"/>
      <c r="F42" s="302"/>
      <c r="G42" s="301"/>
      <c r="H42" s="303"/>
      <c r="I42" s="303"/>
    </row>
    <row r="45" spans="2:9" x14ac:dyDescent="0.25">
      <c r="B45" s="304" t="s">
        <v>685</v>
      </c>
      <c r="C45" s="305"/>
      <c r="D45" s="306" t="s">
        <v>686</v>
      </c>
    </row>
    <row r="46" spans="2:9" x14ac:dyDescent="0.25">
      <c r="B46" s="307" t="s">
        <v>687</v>
      </c>
      <c r="C46" s="308">
        <f>F12</f>
        <v>0.76055137756536406</v>
      </c>
      <c r="D46" s="309">
        <v>0.4</v>
      </c>
    </row>
    <row r="47" spans="2:9" x14ac:dyDescent="0.25">
      <c r="B47" s="310" t="s">
        <v>688</v>
      </c>
      <c r="C47" s="311">
        <f>1-C46</f>
        <v>0.23944862243463594</v>
      </c>
      <c r="D47" s="312">
        <v>0.3</v>
      </c>
    </row>
    <row r="48" spans="2:9" x14ac:dyDescent="0.25">
      <c r="B48" s="310" t="s">
        <v>686</v>
      </c>
      <c r="C48" s="311">
        <v>0.5</v>
      </c>
      <c r="D48" s="312">
        <v>0.3</v>
      </c>
    </row>
    <row r="49" spans="2:4" x14ac:dyDescent="0.25">
      <c r="B49" s="313" t="s">
        <v>686</v>
      </c>
      <c r="C49" s="314">
        <v>0.5</v>
      </c>
      <c r="D49" s="315">
        <v>1</v>
      </c>
    </row>
    <row r="53" spans="2:4" x14ac:dyDescent="0.25">
      <c r="B53" s="304" t="s">
        <v>689</v>
      </c>
      <c r="C53" s="305"/>
      <c r="D53" s="323" t="s">
        <v>611</v>
      </c>
    </row>
    <row r="54" spans="2:4" x14ac:dyDescent="0.25">
      <c r="B54" s="307" t="s">
        <v>687</v>
      </c>
      <c r="C54" s="308">
        <f>E18</f>
        <v>0.73535165401555624</v>
      </c>
      <c r="D54" s="322">
        <f>D18</f>
        <v>83700.666666666672</v>
      </c>
    </row>
    <row r="55" spans="2:4" x14ac:dyDescent="0.25">
      <c r="B55" s="310" t="s">
        <v>688</v>
      </c>
      <c r="C55" s="311">
        <f>1-C54</f>
        <v>0.26464834598444376</v>
      </c>
      <c r="D55" s="320"/>
    </row>
    <row r="56" spans="2:4" x14ac:dyDescent="0.25">
      <c r="B56" s="310" t="s">
        <v>686</v>
      </c>
      <c r="C56" s="311">
        <v>0.5</v>
      </c>
      <c r="D56" s="320"/>
    </row>
    <row r="57" spans="2:4" x14ac:dyDescent="0.25">
      <c r="B57" s="313" t="s">
        <v>686</v>
      </c>
      <c r="C57" s="314">
        <v>0.5</v>
      </c>
      <c r="D57" s="321"/>
    </row>
    <row r="58" spans="2:4" x14ac:dyDescent="0.25">
      <c r="D58" s="319"/>
    </row>
    <row r="59" spans="2:4" x14ac:dyDescent="0.25">
      <c r="D59" s="319"/>
    </row>
    <row r="60" spans="2:4" x14ac:dyDescent="0.25">
      <c r="B60" s="304" t="s">
        <v>690</v>
      </c>
      <c r="C60" s="305"/>
      <c r="D60" s="323" t="s">
        <v>611</v>
      </c>
    </row>
    <row r="61" spans="2:4" x14ac:dyDescent="0.25">
      <c r="B61" s="307" t="s">
        <v>687</v>
      </c>
      <c r="C61" s="316">
        <f>E26</f>
        <v>0.6804013213382063</v>
      </c>
      <c r="D61" s="322">
        <f>D26</f>
        <v>77446</v>
      </c>
    </row>
    <row r="62" spans="2:4" x14ac:dyDescent="0.25">
      <c r="B62" s="310" t="s">
        <v>688</v>
      </c>
      <c r="C62" s="317">
        <f>1-C61</f>
        <v>0.3195986786617937</v>
      </c>
      <c r="D62" s="320"/>
    </row>
    <row r="63" spans="2:4" x14ac:dyDescent="0.25">
      <c r="B63" s="310" t="s">
        <v>686</v>
      </c>
      <c r="C63" s="317">
        <v>0.5</v>
      </c>
      <c r="D63" s="320"/>
    </row>
    <row r="64" spans="2:4" x14ac:dyDescent="0.25">
      <c r="B64" s="313" t="s">
        <v>686</v>
      </c>
      <c r="C64" s="318">
        <v>0.5</v>
      </c>
      <c r="D64" s="321"/>
    </row>
    <row r="65" spans="2:4" x14ac:dyDescent="0.25">
      <c r="D65" s="319"/>
    </row>
    <row r="66" spans="2:4" x14ac:dyDescent="0.25">
      <c r="D66" s="319"/>
    </row>
    <row r="67" spans="2:4" x14ac:dyDescent="0.25">
      <c r="B67" s="304" t="s">
        <v>781</v>
      </c>
      <c r="C67" s="305"/>
      <c r="D67" s="323" t="s">
        <v>611</v>
      </c>
    </row>
    <row r="68" spans="2:4" x14ac:dyDescent="0.25">
      <c r="B68" s="307" t="s">
        <v>687</v>
      </c>
      <c r="C68" s="316">
        <f>E34</f>
        <v>0.43989554048355356</v>
      </c>
      <c r="D68" s="322">
        <f>D34</f>
        <v>50070.67</v>
      </c>
    </row>
    <row r="69" spans="2:4" x14ac:dyDescent="0.25">
      <c r="B69" s="310" t="s">
        <v>688</v>
      </c>
      <c r="C69" s="317">
        <f>1-C68</f>
        <v>0.56010445951644638</v>
      </c>
      <c r="D69" s="320"/>
    </row>
    <row r="70" spans="2:4" x14ac:dyDescent="0.25">
      <c r="B70" s="310" t="s">
        <v>686</v>
      </c>
      <c r="C70" s="317">
        <v>0.5</v>
      </c>
      <c r="D70" s="320"/>
    </row>
    <row r="71" spans="2:4" x14ac:dyDescent="0.25">
      <c r="B71" s="313" t="s">
        <v>686</v>
      </c>
      <c r="C71" s="318">
        <v>0.5</v>
      </c>
      <c r="D71" s="321"/>
    </row>
  </sheetData>
  <mergeCells count="3">
    <mergeCell ref="B2:G2"/>
    <mergeCell ref="B6:C6"/>
    <mergeCell ref="G41:I4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1"/>
  <sheetViews>
    <sheetView zoomScaleNormal="100" workbookViewId="0">
      <selection activeCell="F12" sqref="F12"/>
    </sheetView>
  </sheetViews>
  <sheetFormatPr defaultColWidth="8.85546875" defaultRowHeight="15" x14ac:dyDescent="0.25"/>
  <cols>
    <col min="1" max="1" width="8.85546875" style="41"/>
    <col min="2" max="2" width="33.28515625" style="41" customWidth="1"/>
    <col min="3" max="3" width="27.140625" style="50" customWidth="1"/>
    <col min="4" max="6" width="27.140625" style="41" customWidth="1"/>
    <col min="7" max="7" width="15.85546875" style="41" customWidth="1"/>
    <col min="8" max="8" width="67.7109375" style="41" customWidth="1"/>
    <col min="9" max="16384" width="8.85546875" style="41"/>
  </cols>
  <sheetData>
    <row r="1" spans="2:10" x14ac:dyDescent="0.25">
      <c r="C1" s="41"/>
    </row>
    <row r="2" spans="2:10" ht="44.45" customHeight="1" x14ac:dyDescent="0.25">
      <c r="B2" s="822" t="s">
        <v>794</v>
      </c>
      <c r="C2" s="822"/>
      <c r="D2" s="822"/>
      <c r="E2" s="822"/>
      <c r="F2" s="822"/>
      <c r="G2" s="822"/>
      <c r="H2" s="822"/>
    </row>
    <row r="3" spans="2:10" ht="21" customHeight="1" x14ac:dyDescent="0.25">
      <c r="C3" s="41"/>
    </row>
    <row r="4" spans="2:10" ht="25.15" customHeight="1" x14ac:dyDescent="0.25">
      <c r="B4" s="42" t="s">
        <v>432</v>
      </c>
      <c r="C4" s="43"/>
      <c r="D4" s="43"/>
      <c r="E4" s="43"/>
      <c r="F4" s="43"/>
      <c r="G4" s="43"/>
      <c r="H4" s="42"/>
      <c r="I4" s="44"/>
      <c r="J4" s="44"/>
    </row>
    <row r="5" spans="2:10" ht="15.75" thickBot="1" x14ac:dyDescent="0.3">
      <c r="C5" s="41"/>
    </row>
    <row r="6" spans="2:10" ht="49.5" customHeight="1" x14ac:dyDescent="0.25">
      <c r="B6" s="827" t="s">
        <v>795</v>
      </c>
      <c r="C6" s="828"/>
      <c r="D6" s="607" t="s">
        <v>796</v>
      </c>
      <c r="E6" s="607" t="s">
        <v>797</v>
      </c>
      <c r="F6" s="657" t="s">
        <v>799</v>
      </c>
      <c r="G6" s="593" t="s">
        <v>434</v>
      </c>
      <c r="H6" s="594" t="s">
        <v>435</v>
      </c>
    </row>
    <row r="7" spans="2:10" ht="27" customHeight="1" x14ac:dyDescent="0.25">
      <c r="B7" s="595" t="s">
        <v>445</v>
      </c>
      <c r="C7" s="642" t="s">
        <v>798</v>
      </c>
      <c r="D7" s="45">
        <f>SUMIFS(Database!K5:K497,Database!I5:I497,"GCA",Database!H5:H497,"Camp",Database!N5:N497,"UNICEF")</f>
        <v>8664</v>
      </c>
      <c r="E7" s="45"/>
      <c r="F7" s="643">
        <f>SUM(D7:E7)</f>
        <v>8664</v>
      </c>
      <c r="G7" s="646" t="s">
        <v>798</v>
      </c>
      <c r="H7" s="596"/>
    </row>
    <row r="8" spans="2:10" ht="27" customHeight="1" x14ac:dyDescent="0.25">
      <c r="B8" s="595" t="s">
        <v>446</v>
      </c>
      <c r="C8" s="642" t="s">
        <v>798</v>
      </c>
      <c r="D8" s="45">
        <f>SUMIFS(Database!K5:K497,Database!I5:I497,"NGCA",Database!H5:H497,"Camp",Database!N5:N497,"UNICEF")</f>
        <v>7247</v>
      </c>
      <c r="E8" s="45"/>
      <c r="F8" s="643">
        <f t="shared" ref="F8:F12" si="0">SUM(D8:E8)</f>
        <v>7247</v>
      </c>
      <c r="G8" s="646" t="s">
        <v>798</v>
      </c>
      <c r="H8" s="596"/>
    </row>
    <row r="9" spans="2:10" ht="27" customHeight="1" x14ac:dyDescent="0.25">
      <c r="B9" s="595" t="s">
        <v>721</v>
      </c>
      <c r="C9" s="642" t="s">
        <v>798</v>
      </c>
      <c r="D9" s="45">
        <f>SUMIFS(Database!K5:K497,Database!H5:H497,"Village",Database!N5:N497,"UNICEF")</f>
        <v>0</v>
      </c>
      <c r="E9" s="45"/>
      <c r="F9" s="643">
        <f t="shared" si="0"/>
        <v>0</v>
      </c>
      <c r="G9" s="646" t="s">
        <v>798</v>
      </c>
      <c r="H9" s="596"/>
    </row>
    <row r="10" spans="2:10" ht="27" customHeight="1" x14ac:dyDescent="0.25">
      <c r="B10" s="595" t="s">
        <v>448</v>
      </c>
      <c r="C10" s="642" t="s">
        <v>798</v>
      </c>
      <c r="D10" s="45">
        <v>0</v>
      </c>
      <c r="E10" s="62"/>
      <c r="F10" s="644">
        <f t="shared" si="0"/>
        <v>0</v>
      </c>
      <c r="G10" s="646" t="s">
        <v>798</v>
      </c>
      <c r="H10" s="597"/>
    </row>
    <row r="11" spans="2:10" ht="27" customHeight="1" x14ac:dyDescent="0.25">
      <c r="B11" s="595" t="s">
        <v>447</v>
      </c>
      <c r="C11" s="642" t="s">
        <v>798</v>
      </c>
      <c r="D11" s="45">
        <f>SUMIFS(Database!K5:K497,Database!H5:H497,"School",Database!N5:N497,"UNICEF")</f>
        <v>136</v>
      </c>
      <c r="E11" s="47"/>
      <c r="F11" s="645">
        <f t="shared" si="0"/>
        <v>136</v>
      </c>
      <c r="G11" s="646" t="s">
        <v>798</v>
      </c>
      <c r="H11" s="598"/>
    </row>
    <row r="12" spans="2:10" ht="27" customHeight="1" thickBot="1" x14ac:dyDescent="0.3">
      <c r="B12" s="638" t="s">
        <v>2</v>
      </c>
      <c r="C12" s="639">
        <v>40000</v>
      </c>
      <c r="D12" s="639">
        <f>SUM(D7:D11)</f>
        <v>16047</v>
      </c>
      <c r="E12" s="640">
        <f>SUM(E7:E11)</f>
        <v>0</v>
      </c>
      <c r="F12" s="640">
        <f t="shared" si="0"/>
        <v>16047</v>
      </c>
      <c r="G12" s="641">
        <f>F12/C12</f>
        <v>0.401175</v>
      </c>
      <c r="H12" s="658"/>
    </row>
    <row r="13" spans="2:10" x14ac:dyDescent="0.25">
      <c r="C13" s="48"/>
    </row>
    <row r="14" spans="2:10" x14ac:dyDescent="0.25">
      <c r="C14" s="48"/>
    </row>
    <row r="15" spans="2:10" ht="28.15" customHeight="1" x14ac:dyDescent="0.25">
      <c r="B15" s="42" t="s">
        <v>437</v>
      </c>
      <c r="C15" s="43"/>
      <c r="D15" s="43"/>
      <c r="E15" s="43"/>
      <c r="F15" s="43"/>
      <c r="G15" s="43"/>
      <c r="H15" s="42"/>
      <c r="I15" s="49"/>
      <c r="J15" s="49"/>
    </row>
    <row r="16" spans="2:10" ht="15.75" thickBot="1" x14ac:dyDescent="0.3">
      <c r="C16" s="48"/>
    </row>
    <row r="17" spans="2:8" ht="58.9" customHeight="1" x14ac:dyDescent="0.25">
      <c r="B17" s="620" t="s">
        <v>438</v>
      </c>
      <c r="C17" s="621" t="s">
        <v>439</v>
      </c>
      <c r="D17" s="622" t="s">
        <v>800</v>
      </c>
      <c r="E17" s="623" t="s">
        <v>801</v>
      </c>
      <c r="F17" s="623"/>
      <c r="G17" s="623" t="s">
        <v>441</v>
      </c>
      <c r="H17" s="624" t="s">
        <v>435</v>
      </c>
    </row>
    <row r="18" spans="2:8" ht="67.150000000000006" customHeight="1" x14ac:dyDescent="0.25">
      <c r="B18" s="614" t="s">
        <v>782</v>
      </c>
      <c r="C18" s="625">
        <f>C12</f>
        <v>40000</v>
      </c>
      <c r="D18" s="625">
        <f>SUM(D19:D22)</f>
        <v>15731</v>
      </c>
      <c r="E18" s="615">
        <f>D18/C18</f>
        <v>0.39327499999999999</v>
      </c>
      <c r="F18" s="615"/>
      <c r="G18" s="616" t="s">
        <v>442</v>
      </c>
      <c r="H18" s="617"/>
    </row>
    <row r="19" spans="2:8" ht="31.5" customHeight="1" x14ac:dyDescent="0.25">
      <c r="B19" s="618" t="s">
        <v>787</v>
      </c>
      <c r="C19" s="626" t="s">
        <v>798</v>
      </c>
      <c r="D19" s="648">
        <f>SUMIFS(Database!AH5:AH497,Database!I5:I497,"GCA",Database!N5:N497,"UNICEF")-SUMIFS(Database!AH5:AH497,Database!H5:H497,"School",Database!I5:I497,"GCA",Database!N5:N497,"UNICEF")</f>
        <v>8348</v>
      </c>
      <c r="E19" s="649" t="s">
        <v>798</v>
      </c>
      <c r="F19" s="650"/>
      <c r="G19" s="650" t="s">
        <v>442</v>
      </c>
      <c r="H19" s="651"/>
    </row>
    <row r="20" spans="2:8" ht="31.5" customHeight="1" x14ac:dyDescent="0.25">
      <c r="B20" s="633" t="s">
        <v>788</v>
      </c>
      <c r="C20" s="634" t="s">
        <v>798</v>
      </c>
      <c r="D20" s="634">
        <f>SUMIFS(Database!AH5:AH497,Database!I5:I497,"NGCA",Database!N5:N497,"UNICEF")-SUMIFS(Database!AH5:AH497,Database!H5:H497,"School",Database!I5:I497,"NGCA",Database!N5:N497,"UNICEF")</f>
        <v>7247</v>
      </c>
      <c r="E20" s="635" t="s">
        <v>798</v>
      </c>
      <c r="F20" s="636"/>
      <c r="G20" s="636" t="s">
        <v>442</v>
      </c>
      <c r="H20" s="647"/>
    </row>
    <row r="21" spans="2:8" ht="31.5" customHeight="1" x14ac:dyDescent="0.25">
      <c r="B21" s="633" t="s">
        <v>447</v>
      </c>
      <c r="C21" s="634" t="s">
        <v>798</v>
      </c>
      <c r="D21" s="634">
        <f>SUMIFS(Database!AH5:AH497,Database!H5:H497,"School",Database!N5:N497,"UNICEF")</f>
        <v>136</v>
      </c>
      <c r="E21" s="635" t="s">
        <v>798</v>
      </c>
      <c r="F21" s="636"/>
      <c r="G21" s="636" t="s">
        <v>789</v>
      </c>
      <c r="H21" s="647"/>
    </row>
    <row r="22" spans="2:8" ht="31.5" customHeight="1" thickBot="1" x14ac:dyDescent="0.3">
      <c r="B22" s="628" t="s">
        <v>785</v>
      </c>
      <c r="C22" s="629" t="s">
        <v>798</v>
      </c>
      <c r="D22" s="629"/>
      <c r="E22" s="630" t="s">
        <v>798</v>
      </c>
      <c r="F22" s="631"/>
      <c r="G22" s="631" t="s">
        <v>790</v>
      </c>
      <c r="H22" s="652"/>
    </row>
    <row r="24" spans="2:8" ht="15.75" thickBot="1" x14ac:dyDescent="0.3"/>
    <row r="25" spans="2:8" ht="27.6" customHeight="1" x14ac:dyDescent="0.25">
      <c r="B25" s="620" t="s">
        <v>443</v>
      </c>
      <c r="C25" s="621" t="s">
        <v>439</v>
      </c>
      <c r="D25" s="622" t="s">
        <v>800</v>
      </c>
      <c r="E25" s="623" t="s">
        <v>801</v>
      </c>
      <c r="F25" s="623"/>
      <c r="G25" s="623" t="s">
        <v>441</v>
      </c>
      <c r="H25" s="624" t="s">
        <v>435</v>
      </c>
    </row>
    <row r="26" spans="2:8" ht="67.150000000000006" customHeight="1" x14ac:dyDescent="0.25">
      <c r="B26" s="614" t="s">
        <v>783</v>
      </c>
      <c r="C26" s="625">
        <f>C12</f>
        <v>40000</v>
      </c>
      <c r="D26" s="625">
        <f>SUM(D27:D30)</f>
        <v>13973</v>
      </c>
      <c r="E26" s="615">
        <f>D26/C26</f>
        <v>0.349325</v>
      </c>
      <c r="F26" s="615"/>
      <c r="G26" s="616" t="s">
        <v>442</v>
      </c>
      <c r="H26" s="617"/>
    </row>
    <row r="27" spans="2:8" ht="31.5" customHeight="1" x14ac:dyDescent="0.25">
      <c r="B27" s="653" t="s">
        <v>787</v>
      </c>
      <c r="C27" s="648" t="s">
        <v>798</v>
      </c>
      <c r="D27" s="648">
        <f>SUMIFS(Database!AW5:AW497,Database!I5:I497,"GCA",Database!N5:N497,"UNICEF")-SUMIFS(Database!AW5:AW497,Database!H5:H497,"School",Database!I5:I497,"GCA",Database!N5:N497,"UNICEF")</f>
        <v>6590</v>
      </c>
      <c r="E27" s="649" t="s">
        <v>798</v>
      </c>
      <c r="F27" s="650"/>
      <c r="G27" s="650" t="s">
        <v>442</v>
      </c>
      <c r="H27" s="654"/>
    </row>
    <row r="28" spans="2:8" ht="31.5" customHeight="1" x14ac:dyDescent="0.25">
      <c r="B28" s="633" t="s">
        <v>788</v>
      </c>
      <c r="C28" s="634" t="s">
        <v>798</v>
      </c>
      <c r="D28" s="634">
        <f>SUMIFS(Database!AW5:AW497,Database!I5:I497,"NGCA",Database!N5:N497,"UNICEF")-SUMIFS(Database!AW5:AW497,Database!H5:H497,"School",Database!I5:I497,"NGCA",Database!N5:N497,"UNICEF")</f>
        <v>7247</v>
      </c>
      <c r="E28" s="635" t="s">
        <v>798</v>
      </c>
      <c r="F28" s="636"/>
      <c r="G28" s="636" t="s">
        <v>442</v>
      </c>
      <c r="H28" s="655"/>
    </row>
    <row r="29" spans="2:8" ht="31.5" customHeight="1" x14ac:dyDescent="0.25">
      <c r="B29" s="633" t="s">
        <v>447</v>
      </c>
      <c r="C29" s="634" t="s">
        <v>798</v>
      </c>
      <c r="D29" s="634">
        <f>SUMIFS(Database!AW5:AW497,Database!H5:H497,"School",Database!N5:N497,"UNICEF")</f>
        <v>136</v>
      </c>
      <c r="E29" s="635" t="s">
        <v>798</v>
      </c>
      <c r="F29" s="636"/>
      <c r="G29" s="636" t="s">
        <v>789</v>
      </c>
      <c r="H29" s="655"/>
    </row>
    <row r="30" spans="2:8" ht="31.5" customHeight="1" thickBot="1" x14ac:dyDescent="0.3">
      <c r="B30" s="619" t="s">
        <v>785</v>
      </c>
      <c r="C30" s="627" t="s">
        <v>798</v>
      </c>
      <c r="D30" s="627"/>
      <c r="E30" s="609" t="s">
        <v>798</v>
      </c>
      <c r="F30" s="610"/>
      <c r="G30" s="610" t="s">
        <v>790</v>
      </c>
      <c r="H30" s="656"/>
    </row>
    <row r="32" spans="2:8" ht="15.75" thickBot="1" x14ac:dyDescent="0.3"/>
    <row r="33" spans="2:10" ht="35.25" customHeight="1" x14ac:dyDescent="0.25">
      <c r="B33" s="620" t="s">
        <v>444</v>
      </c>
      <c r="C33" s="621" t="s">
        <v>439</v>
      </c>
      <c r="D33" s="622" t="s">
        <v>800</v>
      </c>
      <c r="E33" s="623" t="s">
        <v>801</v>
      </c>
      <c r="F33" s="623"/>
      <c r="G33" s="623" t="s">
        <v>441</v>
      </c>
      <c r="H33" s="624" t="s">
        <v>435</v>
      </c>
    </row>
    <row r="34" spans="2:10" ht="67.150000000000006" customHeight="1" x14ac:dyDescent="0.25">
      <c r="B34" s="614" t="s">
        <v>784</v>
      </c>
      <c r="C34" s="625">
        <f>C12</f>
        <v>40000</v>
      </c>
      <c r="D34" s="625">
        <f>SUM(D35:D38)</f>
        <v>6435.25</v>
      </c>
      <c r="E34" s="615">
        <f>D34/C34</f>
        <v>0.16088125</v>
      </c>
      <c r="F34" s="615"/>
      <c r="G34" s="616" t="s">
        <v>442</v>
      </c>
      <c r="H34" s="617"/>
    </row>
    <row r="35" spans="2:10" ht="31.5" customHeight="1" x14ac:dyDescent="0.25">
      <c r="B35" s="653" t="s">
        <v>787</v>
      </c>
      <c r="C35" s="648" t="s">
        <v>798</v>
      </c>
      <c r="D35" s="648">
        <f>F7*E35</f>
        <v>3898.8</v>
      </c>
      <c r="E35" s="649">
        <v>0.45</v>
      </c>
      <c r="F35" s="650"/>
      <c r="G35" s="650" t="s">
        <v>814</v>
      </c>
      <c r="H35" s="651"/>
    </row>
    <row r="36" spans="2:10" ht="31.5" customHeight="1" x14ac:dyDescent="0.25">
      <c r="B36" s="633" t="s">
        <v>788</v>
      </c>
      <c r="C36" s="634" t="s">
        <v>798</v>
      </c>
      <c r="D36" s="634">
        <f>F8*E36</f>
        <v>2536.4499999999998</v>
      </c>
      <c r="E36" s="635">
        <v>0.35</v>
      </c>
      <c r="F36" s="636"/>
      <c r="G36" s="636" t="s">
        <v>814</v>
      </c>
      <c r="H36" s="647"/>
    </row>
    <row r="37" spans="2:10" ht="31.5" customHeight="1" x14ac:dyDescent="0.25">
      <c r="B37" s="633" t="s">
        <v>447</v>
      </c>
      <c r="C37" s="634" t="s">
        <v>798</v>
      </c>
      <c r="D37" s="634">
        <f>F9*E37</f>
        <v>0</v>
      </c>
      <c r="E37" s="635">
        <v>0.6</v>
      </c>
      <c r="F37" s="636"/>
      <c r="G37" s="636" t="s">
        <v>814</v>
      </c>
      <c r="H37" s="647"/>
    </row>
    <row r="38" spans="2:10" ht="31.5" customHeight="1" thickBot="1" x14ac:dyDescent="0.3">
      <c r="B38" s="619" t="s">
        <v>785</v>
      </c>
      <c r="C38" s="627" t="s">
        <v>798</v>
      </c>
      <c r="D38" s="627">
        <f>E10</f>
        <v>0</v>
      </c>
      <c r="E38" s="609" t="s">
        <v>798</v>
      </c>
      <c r="F38" s="610"/>
      <c r="G38" s="610" t="s">
        <v>790</v>
      </c>
      <c r="H38" s="652"/>
    </row>
    <row r="39" spans="2:10" x14ac:dyDescent="0.25">
      <c r="G39" s="51"/>
    </row>
    <row r="40" spans="2:10" x14ac:dyDescent="0.25">
      <c r="G40" s="51"/>
    </row>
    <row r="41" spans="2:10" ht="21" x14ac:dyDescent="0.25">
      <c r="H41" s="825"/>
      <c r="I41" s="826"/>
      <c r="J41" s="826"/>
    </row>
  </sheetData>
  <mergeCells count="3">
    <mergeCell ref="B2:H2"/>
    <mergeCell ref="B6:C6"/>
    <mergeCell ref="H41:J4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G180"/>
  <sheetViews>
    <sheetView showGridLines="0" zoomScale="68" zoomScaleNormal="68" zoomScaleSheetLayoutView="80" workbookViewId="0">
      <selection activeCell="CK18" sqref="CK18"/>
    </sheetView>
  </sheetViews>
  <sheetFormatPr defaultColWidth="9.140625" defaultRowHeight="12.75" x14ac:dyDescent="0.2"/>
  <cols>
    <col min="1" max="1" width="5.7109375" style="18" customWidth="1"/>
    <col min="2" max="2" width="18.140625" style="18" bestFit="1" customWidth="1"/>
    <col min="3" max="3" width="18.7109375" style="18" bestFit="1" customWidth="1"/>
    <col min="4" max="4" width="14.28515625" style="18" customWidth="1"/>
    <col min="5" max="5" width="53.42578125" style="18" bestFit="1" customWidth="1"/>
    <col min="6" max="7" width="10.5703125" style="18" customWidth="1"/>
    <col min="8" max="8" width="13.85546875" style="18" customWidth="1"/>
    <col min="9" max="9" width="10.5703125" style="18" customWidth="1"/>
    <col min="10" max="12" width="10.5703125" style="338" customWidth="1"/>
    <col min="13" max="13" width="14.7109375" style="18" customWidth="1"/>
    <col min="14" max="14" width="23.42578125" style="24" customWidth="1"/>
    <col min="15" max="15" width="18.7109375" style="341" customWidth="1"/>
    <col min="16" max="16" width="12.85546875" style="24" customWidth="1"/>
    <col min="17" max="17" width="12.85546875" style="24" hidden="1" customWidth="1"/>
    <col min="18" max="18" width="12.85546875" style="24" customWidth="1"/>
    <col min="19" max="19" width="17.42578125" style="24" bestFit="1" customWidth="1"/>
    <col min="20" max="20" width="20.85546875" style="24" hidden="1" customWidth="1"/>
    <col min="21" max="22" width="13.85546875" style="24" customWidth="1"/>
    <col min="23" max="25" width="13.85546875" style="341" customWidth="1"/>
    <col min="26" max="26" width="19.42578125" style="24" customWidth="1"/>
    <col min="27" max="27" width="14.85546875" style="342" customWidth="1"/>
    <col min="28" max="28" width="13.85546875" style="342" customWidth="1"/>
    <col min="29" max="29" width="15.5703125" style="24" customWidth="1"/>
    <col min="30" max="30" width="12.7109375" style="24" hidden="1" customWidth="1"/>
    <col min="31" max="31" width="16.28515625" style="24" customWidth="1"/>
    <col min="32" max="32" width="15.85546875" style="24" hidden="1" customWidth="1"/>
    <col min="33" max="33" width="17.28515625" style="24" customWidth="1"/>
    <col min="34" max="34" width="13.7109375" style="24" hidden="1" customWidth="1"/>
    <col min="35" max="35" width="13.28515625" style="24" customWidth="1"/>
    <col min="36" max="36" width="13.42578125" style="24" customWidth="1"/>
    <col min="37" max="37" width="15.28515625" style="24" hidden="1" customWidth="1"/>
    <col min="38" max="38" width="13.28515625" style="24" hidden="1" customWidth="1"/>
    <col min="39" max="39" width="12.7109375" style="24" hidden="1" customWidth="1"/>
    <col min="40" max="40" width="15.85546875" style="24" hidden="1" customWidth="1"/>
    <col min="41" max="41" width="15.7109375" style="342" customWidth="1"/>
    <col min="42" max="42" width="14.28515625" style="24" hidden="1" customWidth="1"/>
    <col min="43" max="43" width="48.7109375" style="24" customWidth="1"/>
    <col min="44" max="44" width="15.140625" style="730" hidden="1" customWidth="1"/>
    <col min="45" max="45" width="15.140625" style="24" customWidth="1" collapsed="1"/>
    <col min="46" max="46" width="15.140625" style="24" customWidth="1"/>
    <col min="47" max="47" width="43.42578125" style="24" bestFit="1" customWidth="1"/>
    <col min="48" max="48" width="15.140625" style="24" customWidth="1"/>
    <col min="49" max="49" width="14.5703125" style="24" hidden="1" customWidth="1"/>
    <col min="50" max="50" width="15.140625" style="24" customWidth="1"/>
    <col min="51" max="51" width="15.7109375" style="24" hidden="1" customWidth="1"/>
    <col min="52" max="52" width="15.140625" style="24" customWidth="1"/>
    <col min="53" max="53" width="14.140625" style="24" hidden="1" customWidth="1"/>
    <col min="54" max="54" width="17.7109375" style="24" customWidth="1"/>
    <col min="55" max="55" width="15.140625" style="24" customWidth="1"/>
    <col min="56" max="56" width="15.28515625" style="24" hidden="1" customWidth="1"/>
    <col min="57" max="58" width="15.140625" style="24" customWidth="1"/>
    <col min="59" max="59" width="43.42578125" style="24" bestFit="1" customWidth="1"/>
    <col min="60" max="60" width="15.140625" style="24" customWidth="1"/>
    <col min="61" max="61" width="13.42578125" style="24" hidden="1" customWidth="1"/>
    <col min="62" max="62" width="13.85546875" style="24" customWidth="1"/>
    <col min="63" max="63" width="18.28515625" style="24" customWidth="1"/>
    <col min="64" max="64" width="16.5703125" style="24" hidden="1" customWidth="1"/>
    <col min="65" max="65" width="15.140625" style="24" customWidth="1"/>
    <col min="66" max="66" width="18.140625" style="24" customWidth="1"/>
    <col min="67" max="67" width="17.5703125" style="24" customWidth="1"/>
    <col min="68" max="68" width="15.140625" style="24" customWidth="1"/>
    <col min="69" max="69" width="136.42578125" style="345" customWidth="1"/>
    <col min="70" max="70" width="20.42578125" style="24" customWidth="1"/>
    <col min="71" max="71" width="19.7109375" style="24" customWidth="1"/>
    <col min="72" max="72" width="23.28515625" style="24" customWidth="1"/>
    <col min="73" max="73" width="21" style="24" customWidth="1"/>
    <col min="74" max="74" width="16.7109375" style="24" customWidth="1"/>
    <col min="75" max="75" width="15.140625" style="24" customWidth="1"/>
    <col min="76" max="76" width="20.140625" style="24" hidden="1" customWidth="1"/>
    <col min="77" max="77" width="27.85546875" style="24" bestFit="1" customWidth="1"/>
    <col min="78" max="78" width="82.28515625" style="24" bestFit="1" customWidth="1"/>
    <col min="79" max="79" width="19" style="24" customWidth="1"/>
    <col min="80" max="80" width="19" style="24" hidden="1" customWidth="1"/>
    <col min="81" max="81" width="15.140625" style="24" customWidth="1"/>
    <col min="82" max="83" width="21.28515625" style="24" customWidth="1"/>
    <col min="84" max="84" width="54.5703125" style="24" customWidth="1"/>
    <col min="85" max="85" width="51.28515625" style="343" customWidth="1"/>
    <col min="86" max="269" width="9.140625" style="18"/>
    <col min="270" max="270" width="2.5703125" style="18" customWidth="1"/>
    <col min="271" max="271" width="17.85546875" style="18" customWidth="1"/>
    <col min="272" max="272" width="41.5703125" style="18" customWidth="1"/>
    <col min="273" max="274" width="12" style="18" customWidth="1"/>
    <col min="275" max="275" width="17" style="18" customWidth="1"/>
    <col min="276" max="276" width="9.7109375" style="18" customWidth="1"/>
    <col min="277" max="277" width="12.28515625" style="18" customWidth="1"/>
    <col min="278" max="278" width="13.7109375" style="18" customWidth="1"/>
    <col min="279" max="279" width="13.5703125" style="18" bestFit="1" customWidth="1"/>
    <col min="280" max="280" width="13.5703125" style="18" customWidth="1"/>
    <col min="281" max="281" width="21" style="18" customWidth="1"/>
    <col min="282" max="285" width="13.42578125" style="18" customWidth="1"/>
    <col min="286" max="287" width="19" style="18" customWidth="1"/>
    <col min="288" max="288" width="34" style="18" customWidth="1"/>
    <col min="289" max="289" width="19" style="18" customWidth="1"/>
    <col min="290" max="290" width="20" style="18" bestFit="1" customWidth="1"/>
    <col min="291" max="291" width="20.28515625" style="18" bestFit="1" customWidth="1"/>
    <col min="292" max="292" width="26.7109375" style="18" customWidth="1"/>
    <col min="293" max="293" width="20.85546875" style="18" bestFit="1" customWidth="1"/>
    <col min="294" max="294" width="20.85546875" style="18" customWidth="1"/>
    <col min="295" max="295" width="18.85546875" style="18" customWidth="1"/>
    <col min="296" max="296" width="17.5703125" style="18" customWidth="1"/>
    <col min="297" max="298" width="19.42578125" style="18" customWidth="1"/>
    <col min="299" max="299" width="20.7109375" style="18" bestFit="1" customWidth="1"/>
    <col min="300" max="300" width="80.7109375" style="18" customWidth="1"/>
    <col min="301" max="301" width="14.7109375" style="18" bestFit="1" customWidth="1"/>
    <col min="302" max="302" width="18.140625" style="18" bestFit="1" customWidth="1"/>
    <col min="303" max="303" width="16.7109375" style="18" bestFit="1" customWidth="1"/>
    <col min="304" max="304" width="18.5703125" style="18" bestFit="1" customWidth="1"/>
    <col min="305" max="305" width="21.28515625" style="18" bestFit="1" customWidth="1"/>
    <col min="306" max="306" width="16.28515625" style="18" bestFit="1" customWidth="1"/>
    <col min="307" max="307" width="21.140625" style="18" bestFit="1" customWidth="1"/>
    <col min="308" max="308" width="19" style="18" bestFit="1" customWidth="1"/>
    <col min="309" max="309" width="19.140625" style="18" customWidth="1"/>
    <col min="310" max="310" width="16.7109375" style="18" customWidth="1"/>
    <col min="311" max="311" width="21.140625" style="18" bestFit="1" customWidth="1"/>
    <col min="312" max="312" width="20.42578125" style="18" bestFit="1" customWidth="1"/>
    <col min="313" max="313" width="21.140625" style="18" customWidth="1"/>
    <col min="314" max="314" width="20.5703125" style="18" bestFit="1" customWidth="1"/>
    <col min="315" max="315" width="19.7109375" style="18" bestFit="1" customWidth="1"/>
    <col min="316" max="316" width="20.28515625" style="18" customWidth="1"/>
    <col min="317" max="317" width="20.85546875" style="18" bestFit="1" customWidth="1"/>
    <col min="318" max="318" width="19.5703125" style="18" bestFit="1" customWidth="1"/>
    <col min="319" max="319" width="18" style="18" customWidth="1"/>
    <col min="320" max="320" width="20" style="18" bestFit="1" customWidth="1"/>
    <col min="321" max="321" width="35.7109375" style="18" customWidth="1"/>
    <col min="322" max="322" width="21.140625" style="18" bestFit="1" customWidth="1"/>
    <col min="323" max="323" width="20.5703125" style="18" bestFit="1" customWidth="1"/>
    <col min="324" max="324" width="19.42578125" style="18" bestFit="1" customWidth="1"/>
    <col min="325" max="325" width="18.5703125" style="18" bestFit="1" customWidth="1"/>
    <col min="326" max="326" width="20.5703125" style="18" bestFit="1" customWidth="1"/>
    <col min="327" max="327" width="21.28515625" style="18" bestFit="1" customWidth="1"/>
    <col min="328" max="328" width="15.42578125" style="18" customWidth="1"/>
    <col min="329" max="329" width="20.7109375" style="18" customWidth="1"/>
    <col min="330" max="330" width="21.28515625" style="18" customWidth="1"/>
    <col min="331" max="331" width="14.85546875" style="18" bestFit="1" customWidth="1"/>
    <col min="332" max="332" width="23" style="18" bestFit="1" customWidth="1"/>
    <col min="333" max="333" width="21.28515625" style="18" bestFit="1" customWidth="1"/>
    <col min="334" max="334" width="20.28515625" style="18" bestFit="1" customWidth="1"/>
    <col min="335" max="335" width="21" style="18" bestFit="1" customWidth="1"/>
    <col min="336" max="336" width="18.85546875" style="18" bestFit="1" customWidth="1"/>
    <col min="337" max="337" width="80.7109375" style="18" customWidth="1"/>
    <col min="338" max="525" width="9.140625" style="18"/>
    <col min="526" max="526" width="2.5703125" style="18" customWidth="1"/>
    <col min="527" max="527" width="17.85546875" style="18" customWidth="1"/>
    <col min="528" max="528" width="41.5703125" style="18" customWidth="1"/>
    <col min="529" max="530" width="12" style="18" customWidth="1"/>
    <col min="531" max="531" width="17" style="18" customWidth="1"/>
    <col min="532" max="532" width="9.7109375" style="18" customWidth="1"/>
    <col min="533" max="533" width="12.28515625" style="18" customWidth="1"/>
    <col min="534" max="534" width="13.7109375" style="18" customWidth="1"/>
    <col min="535" max="535" width="13.5703125" style="18" bestFit="1" customWidth="1"/>
    <col min="536" max="536" width="13.5703125" style="18" customWidth="1"/>
    <col min="537" max="537" width="21" style="18" customWidth="1"/>
    <col min="538" max="541" width="13.42578125" style="18" customWidth="1"/>
    <col min="542" max="543" width="19" style="18" customWidth="1"/>
    <col min="544" max="544" width="34" style="18" customWidth="1"/>
    <col min="545" max="545" width="19" style="18" customWidth="1"/>
    <col min="546" max="546" width="20" style="18" bestFit="1" customWidth="1"/>
    <col min="547" max="547" width="20.28515625" style="18" bestFit="1" customWidth="1"/>
    <col min="548" max="548" width="26.7109375" style="18" customWidth="1"/>
    <col min="549" max="549" width="20.85546875" style="18" bestFit="1" customWidth="1"/>
    <col min="550" max="550" width="20.85546875" style="18" customWidth="1"/>
    <col min="551" max="551" width="18.85546875" style="18" customWidth="1"/>
    <col min="552" max="552" width="17.5703125" style="18" customWidth="1"/>
    <col min="553" max="554" width="19.42578125" style="18" customWidth="1"/>
    <col min="555" max="555" width="20.7109375" style="18" bestFit="1" customWidth="1"/>
    <col min="556" max="556" width="80.7109375" style="18" customWidth="1"/>
    <col min="557" max="557" width="14.7109375" style="18" bestFit="1" customWidth="1"/>
    <col min="558" max="558" width="18.140625" style="18" bestFit="1" customWidth="1"/>
    <col min="559" max="559" width="16.7109375" style="18" bestFit="1" customWidth="1"/>
    <col min="560" max="560" width="18.5703125" style="18" bestFit="1" customWidth="1"/>
    <col min="561" max="561" width="21.28515625" style="18" bestFit="1" customWidth="1"/>
    <col min="562" max="562" width="16.28515625" style="18" bestFit="1" customWidth="1"/>
    <col min="563" max="563" width="21.140625" style="18" bestFit="1" customWidth="1"/>
    <col min="564" max="564" width="19" style="18" bestFit="1" customWidth="1"/>
    <col min="565" max="565" width="19.140625" style="18" customWidth="1"/>
    <col min="566" max="566" width="16.7109375" style="18" customWidth="1"/>
    <col min="567" max="567" width="21.140625" style="18" bestFit="1" customWidth="1"/>
    <col min="568" max="568" width="20.42578125" style="18" bestFit="1" customWidth="1"/>
    <col min="569" max="569" width="21.140625" style="18" customWidth="1"/>
    <col min="570" max="570" width="20.5703125" style="18" bestFit="1" customWidth="1"/>
    <col min="571" max="571" width="19.7109375" style="18" bestFit="1" customWidth="1"/>
    <col min="572" max="572" width="20.28515625" style="18" customWidth="1"/>
    <col min="573" max="573" width="20.85546875" style="18" bestFit="1" customWidth="1"/>
    <col min="574" max="574" width="19.5703125" style="18" bestFit="1" customWidth="1"/>
    <col min="575" max="575" width="18" style="18" customWidth="1"/>
    <col min="576" max="576" width="20" style="18" bestFit="1" customWidth="1"/>
    <col min="577" max="577" width="35.7109375" style="18" customWidth="1"/>
    <col min="578" max="578" width="21.140625" style="18" bestFit="1" customWidth="1"/>
    <col min="579" max="579" width="20.5703125" style="18" bestFit="1" customWidth="1"/>
    <col min="580" max="580" width="19.42578125" style="18" bestFit="1" customWidth="1"/>
    <col min="581" max="581" width="18.5703125" style="18" bestFit="1" customWidth="1"/>
    <col min="582" max="582" width="20.5703125" style="18" bestFit="1" customWidth="1"/>
    <col min="583" max="583" width="21.28515625" style="18" bestFit="1" customWidth="1"/>
    <col min="584" max="584" width="15.42578125" style="18" customWidth="1"/>
    <col min="585" max="585" width="20.7109375" style="18" customWidth="1"/>
    <col min="586" max="586" width="21.28515625" style="18" customWidth="1"/>
    <col min="587" max="587" width="14.85546875" style="18" bestFit="1" customWidth="1"/>
    <col min="588" max="588" width="23" style="18" bestFit="1" customWidth="1"/>
    <col min="589" max="589" width="21.28515625" style="18" bestFit="1" customWidth="1"/>
    <col min="590" max="590" width="20.28515625" style="18" bestFit="1" customWidth="1"/>
    <col min="591" max="591" width="21" style="18" bestFit="1" customWidth="1"/>
    <col min="592" max="592" width="18.85546875" style="18" bestFit="1" customWidth="1"/>
    <col min="593" max="593" width="80.7109375" style="18" customWidth="1"/>
    <col min="594" max="781" width="9.140625" style="18"/>
    <col min="782" max="782" width="2.5703125" style="18" customWidth="1"/>
    <col min="783" max="783" width="17.85546875" style="18" customWidth="1"/>
    <col min="784" max="784" width="41.5703125" style="18" customWidth="1"/>
    <col min="785" max="786" width="12" style="18" customWidth="1"/>
    <col min="787" max="787" width="17" style="18" customWidth="1"/>
    <col min="788" max="788" width="9.7109375" style="18" customWidth="1"/>
    <col min="789" max="789" width="12.28515625" style="18" customWidth="1"/>
    <col min="790" max="790" width="13.7109375" style="18" customWidth="1"/>
    <col min="791" max="791" width="13.5703125" style="18" bestFit="1" customWidth="1"/>
    <col min="792" max="792" width="13.5703125" style="18" customWidth="1"/>
    <col min="793" max="793" width="21" style="18" customWidth="1"/>
    <col min="794" max="797" width="13.42578125" style="18" customWidth="1"/>
    <col min="798" max="799" width="19" style="18" customWidth="1"/>
    <col min="800" max="800" width="34" style="18" customWidth="1"/>
    <col min="801" max="801" width="19" style="18" customWidth="1"/>
    <col min="802" max="802" width="20" style="18" bestFit="1" customWidth="1"/>
    <col min="803" max="803" width="20.28515625" style="18" bestFit="1" customWidth="1"/>
    <col min="804" max="804" width="26.7109375" style="18" customWidth="1"/>
    <col min="805" max="805" width="20.85546875" style="18" bestFit="1" customWidth="1"/>
    <col min="806" max="806" width="20.85546875" style="18" customWidth="1"/>
    <col min="807" max="807" width="18.85546875" style="18" customWidth="1"/>
    <col min="808" max="808" width="17.5703125" style="18" customWidth="1"/>
    <col min="809" max="810" width="19.42578125" style="18" customWidth="1"/>
    <col min="811" max="811" width="20.7109375" style="18" bestFit="1" customWidth="1"/>
    <col min="812" max="812" width="80.7109375" style="18" customWidth="1"/>
    <col min="813" max="813" width="14.7109375" style="18" bestFit="1" customWidth="1"/>
    <col min="814" max="814" width="18.140625" style="18" bestFit="1" customWidth="1"/>
    <col min="815" max="815" width="16.7109375" style="18" bestFit="1" customWidth="1"/>
    <col min="816" max="816" width="18.5703125" style="18" bestFit="1" customWidth="1"/>
    <col min="817" max="817" width="21.28515625" style="18" bestFit="1" customWidth="1"/>
    <col min="818" max="818" width="16.28515625" style="18" bestFit="1" customWidth="1"/>
    <col min="819" max="819" width="21.140625" style="18" bestFit="1" customWidth="1"/>
    <col min="820" max="820" width="19" style="18" bestFit="1" customWidth="1"/>
    <col min="821" max="821" width="19.140625" style="18" customWidth="1"/>
    <col min="822" max="822" width="16.7109375" style="18" customWidth="1"/>
    <col min="823" max="823" width="21.140625" style="18" bestFit="1" customWidth="1"/>
    <col min="824" max="824" width="20.42578125" style="18" bestFit="1" customWidth="1"/>
    <col min="825" max="825" width="21.140625" style="18" customWidth="1"/>
    <col min="826" max="826" width="20.5703125" style="18" bestFit="1" customWidth="1"/>
    <col min="827" max="827" width="19.7109375" style="18" bestFit="1" customWidth="1"/>
    <col min="828" max="828" width="20.28515625" style="18" customWidth="1"/>
    <col min="829" max="829" width="20.85546875" style="18" bestFit="1" customWidth="1"/>
    <col min="830" max="830" width="19.5703125" style="18" bestFit="1" customWidth="1"/>
    <col min="831" max="831" width="18" style="18" customWidth="1"/>
    <col min="832" max="832" width="20" style="18" bestFit="1" customWidth="1"/>
    <col min="833" max="833" width="35.7109375" style="18" customWidth="1"/>
    <col min="834" max="834" width="21.140625" style="18" bestFit="1" customWidth="1"/>
    <col min="835" max="835" width="20.5703125" style="18" bestFit="1" customWidth="1"/>
    <col min="836" max="836" width="19.42578125" style="18" bestFit="1" customWidth="1"/>
    <col min="837" max="837" width="18.5703125" style="18" bestFit="1" customWidth="1"/>
    <col min="838" max="838" width="20.5703125" style="18" bestFit="1" customWidth="1"/>
    <col min="839" max="839" width="21.28515625" style="18" bestFit="1" customWidth="1"/>
    <col min="840" max="840" width="15.42578125" style="18" customWidth="1"/>
    <col min="841" max="841" width="20.7109375" style="18" customWidth="1"/>
    <col min="842" max="842" width="21.28515625" style="18" customWidth="1"/>
    <col min="843" max="843" width="14.85546875" style="18" bestFit="1" customWidth="1"/>
    <col min="844" max="844" width="23" style="18" bestFit="1" customWidth="1"/>
    <col min="845" max="845" width="21.28515625" style="18" bestFit="1" customWidth="1"/>
    <col min="846" max="846" width="20.28515625" style="18" bestFit="1" customWidth="1"/>
    <col min="847" max="847" width="21" style="18" bestFit="1" customWidth="1"/>
    <col min="848" max="848" width="18.85546875" style="18" bestFit="1" customWidth="1"/>
    <col min="849" max="849" width="80.7109375" style="18" customWidth="1"/>
    <col min="850" max="1037" width="9.140625" style="18"/>
    <col min="1038" max="1038" width="2.5703125" style="18" customWidth="1"/>
    <col min="1039" max="1039" width="17.85546875" style="18" customWidth="1"/>
    <col min="1040" max="1040" width="41.5703125" style="18" customWidth="1"/>
    <col min="1041" max="1042" width="12" style="18" customWidth="1"/>
    <col min="1043" max="1043" width="17" style="18" customWidth="1"/>
    <col min="1044" max="1044" width="9.7109375" style="18" customWidth="1"/>
    <col min="1045" max="1045" width="12.28515625" style="18" customWidth="1"/>
    <col min="1046" max="1046" width="13.7109375" style="18" customWidth="1"/>
    <col min="1047" max="1047" width="13.5703125" style="18" bestFit="1" customWidth="1"/>
    <col min="1048" max="1048" width="13.5703125" style="18" customWidth="1"/>
    <col min="1049" max="1049" width="21" style="18" customWidth="1"/>
    <col min="1050" max="1053" width="13.42578125" style="18" customWidth="1"/>
    <col min="1054" max="1055" width="19" style="18" customWidth="1"/>
    <col min="1056" max="1056" width="34" style="18" customWidth="1"/>
    <col min="1057" max="1057" width="19" style="18" customWidth="1"/>
    <col min="1058" max="1058" width="20" style="18" bestFit="1" customWidth="1"/>
    <col min="1059" max="1059" width="20.28515625" style="18" bestFit="1" customWidth="1"/>
    <col min="1060" max="1060" width="26.7109375" style="18" customWidth="1"/>
    <col min="1061" max="1061" width="20.85546875" style="18" bestFit="1" customWidth="1"/>
    <col min="1062" max="1062" width="20.85546875" style="18" customWidth="1"/>
    <col min="1063" max="1063" width="18.85546875" style="18" customWidth="1"/>
    <col min="1064" max="1064" width="17.5703125" style="18" customWidth="1"/>
    <col min="1065" max="1066" width="19.42578125" style="18" customWidth="1"/>
    <col min="1067" max="1067" width="20.7109375" style="18" bestFit="1" customWidth="1"/>
    <col min="1068" max="1068" width="80.7109375" style="18" customWidth="1"/>
    <col min="1069" max="1069" width="14.7109375" style="18" bestFit="1" customWidth="1"/>
    <col min="1070" max="1070" width="18.140625" style="18" bestFit="1" customWidth="1"/>
    <col min="1071" max="1071" width="16.7109375" style="18" bestFit="1" customWidth="1"/>
    <col min="1072" max="1072" width="18.5703125" style="18" bestFit="1" customWidth="1"/>
    <col min="1073" max="1073" width="21.28515625" style="18" bestFit="1" customWidth="1"/>
    <col min="1074" max="1074" width="16.28515625" style="18" bestFit="1" customWidth="1"/>
    <col min="1075" max="1075" width="21.140625" style="18" bestFit="1" customWidth="1"/>
    <col min="1076" max="1076" width="19" style="18" bestFit="1" customWidth="1"/>
    <col min="1077" max="1077" width="19.140625" style="18" customWidth="1"/>
    <col min="1078" max="1078" width="16.7109375" style="18" customWidth="1"/>
    <col min="1079" max="1079" width="21.140625" style="18" bestFit="1" customWidth="1"/>
    <col min="1080" max="1080" width="20.42578125" style="18" bestFit="1" customWidth="1"/>
    <col min="1081" max="1081" width="21.140625" style="18" customWidth="1"/>
    <col min="1082" max="1082" width="20.5703125" style="18" bestFit="1" customWidth="1"/>
    <col min="1083" max="1083" width="19.7109375" style="18" bestFit="1" customWidth="1"/>
    <col min="1084" max="1084" width="20.28515625" style="18" customWidth="1"/>
    <col min="1085" max="1085" width="20.85546875" style="18" bestFit="1" customWidth="1"/>
    <col min="1086" max="1086" width="19.5703125" style="18" bestFit="1" customWidth="1"/>
    <col min="1087" max="1087" width="18" style="18" customWidth="1"/>
    <col min="1088" max="1088" width="20" style="18" bestFit="1" customWidth="1"/>
    <col min="1089" max="1089" width="35.7109375" style="18" customWidth="1"/>
    <col min="1090" max="1090" width="21.140625" style="18" bestFit="1" customWidth="1"/>
    <col min="1091" max="1091" width="20.5703125" style="18" bestFit="1" customWidth="1"/>
    <col min="1092" max="1092" width="19.42578125" style="18" bestFit="1" customWidth="1"/>
    <col min="1093" max="1093" width="18.5703125" style="18" bestFit="1" customWidth="1"/>
    <col min="1094" max="1094" width="20.5703125" style="18" bestFit="1" customWidth="1"/>
    <col min="1095" max="1095" width="21.28515625" style="18" bestFit="1" customWidth="1"/>
    <col min="1096" max="1096" width="15.42578125" style="18" customWidth="1"/>
    <col min="1097" max="1097" width="20.7109375" style="18" customWidth="1"/>
    <col min="1098" max="1098" width="21.28515625" style="18" customWidth="1"/>
    <col min="1099" max="1099" width="14.85546875" style="18" bestFit="1" customWidth="1"/>
    <col min="1100" max="1100" width="23" style="18" bestFit="1" customWidth="1"/>
    <col min="1101" max="1101" width="21.28515625" style="18" bestFit="1" customWidth="1"/>
    <col min="1102" max="1102" width="20.28515625" style="18" bestFit="1" customWidth="1"/>
    <col min="1103" max="1103" width="21" style="18" bestFit="1" customWidth="1"/>
    <col min="1104" max="1104" width="18.85546875" style="18" bestFit="1" customWidth="1"/>
    <col min="1105" max="1105" width="80.7109375" style="18" customWidth="1"/>
    <col min="1106" max="1293" width="9.140625" style="18"/>
    <col min="1294" max="1294" width="2.5703125" style="18" customWidth="1"/>
    <col min="1295" max="1295" width="17.85546875" style="18" customWidth="1"/>
    <col min="1296" max="1296" width="41.5703125" style="18" customWidth="1"/>
    <col min="1297" max="1298" width="12" style="18" customWidth="1"/>
    <col min="1299" max="1299" width="17" style="18" customWidth="1"/>
    <col min="1300" max="1300" width="9.7109375" style="18" customWidth="1"/>
    <col min="1301" max="1301" width="12.28515625" style="18" customWidth="1"/>
    <col min="1302" max="1302" width="13.7109375" style="18" customWidth="1"/>
    <col min="1303" max="1303" width="13.5703125" style="18" bestFit="1" customWidth="1"/>
    <col min="1304" max="1304" width="13.5703125" style="18" customWidth="1"/>
    <col min="1305" max="1305" width="21" style="18" customWidth="1"/>
    <col min="1306" max="1309" width="13.42578125" style="18" customWidth="1"/>
    <col min="1310" max="1311" width="19" style="18" customWidth="1"/>
    <col min="1312" max="1312" width="34" style="18" customWidth="1"/>
    <col min="1313" max="1313" width="19" style="18" customWidth="1"/>
    <col min="1314" max="1314" width="20" style="18" bestFit="1" customWidth="1"/>
    <col min="1315" max="1315" width="20.28515625" style="18" bestFit="1" customWidth="1"/>
    <col min="1316" max="1316" width="26.7109375" style="18" customWidth="1"/>
    <col min="1317" max="1317" width="20.85546875" style="18" bestFit="1" customWidth="1"/>
    <col min="1318" max="1318" width="20.85546875" style="18" customWidth="1"/>
    <col min="1319" max="1319" width="18.85546875" style="18" customWidth="1"/>
    <col min="1320" max="1320" width="17.5703125" style="18" customWidth="1"/>
    <col min="1321" max="1322" width="19.42578125" style="18" customWidth="1"/>
    <col min="1323" max="1323" width="20.7109375" style="18" bestFit="1" customWidth="1"/>
    <col min="1324" max="1324" width="80.7109375" style="18" customWidth="1"/>
    <col min="1325" max="1325" width="14.7109375" style="18" bestFit="1" customWidth="1"/>
    <col min="1326" max="1326" width="18.140625" style="18" bestFit="1" customWidth="1"/>
    <col min="1327" max="1327" width="16.7109375" style="18" bestFit="1" customWidth="1"/>
    <col min="1328" max="1328" width="18.5703125" style="18" bestFit="1" customWidth="1"/>
    <col min="1329" max="1329" width="21.28515625" style="18" bestFit="1" customWidth="1"/>
    <col min="1330" max="1330" width="16.28515625" style="18" bestFit="1" customWidth="1"/>
    <col min="1331" max="1331" width="21.140625" style="18" bestFit="1" customWidth="1"/>
    <col min="1332" max="1332" width="19" style="18" bestFit="1" customWidth="1"/>
    <col min="1333" max="1333" width="19.140625" style="18" customWidth="1"/>
    <col min="1334" max="1334" width="16.7109375" style="18" customWidth="1"/>
    <col min="1335" max="1335" width="21.140625" style="18" bestFit="1" customWidth="1"/>
    <col min="1336" max="1336" width="20.42578125" style="18" bestFit="1" customWidth="1"/>
    <col min="1337" max="1337" width="21.140625" style="18" customWidth="1"/>
    <col min="1338" max="1338" width="20.5703125" style="18" bestFit="1" customWidth="1"/>
    <col min="1339" max="1339" width="19.7109375" style="18" bestFit="1" customWidth="1"/>
    <col min="1340" max="1340" width="20.28515625" style="18" customWidth="1"/>
    <col min="1341" max="1341" width="20.85546875" style="18" bestFit="1" customWidth="1"/>
    <col min="1342" max="1342" width="19.5703125" style="18" bestFit="1" customWidth="1"/>
    <col min="1343" max="1343" width="18" style="18" customWidth="1"/>
    <col min="1344" max="1344" width="20" style="18" bestFit="1" customWidth="1"/>
    <col min="1345" max="1345" width="35.7109375" style="18" customWidth="1"/>
    <col min="1346" max="1346" width="21.140625" style="18" bestFit="1" customWidth="1"/>
    <col min="1347" max="1347" width="20.5703125" style="18" bestFit="1" customWidth="1"/>
    <col min="1348" max="1348" width="19.42578125" style="18" bestFit="1" customWidth="1"/>
    <col min="1349" max="1349" width="18.5703125" style="18" bestFit="1" customWidth="1"/>
    <col min="1350" max="1350" width="20.5703125" style="18" bestFit="1" customWidth="1"/>
    <col min="1351" max="1351" width="21.28515625" style="18" bestFit="1" customWidth="1"/>
    <col min="1352" max="1352" width="15.42578125" style="18" customWidth="1"/>
    <col min="1353" max="1353" width="20.7109375" style="18" customWidth="1"/>
    <col min="1354" max="1354" width="21.28515625" style="18" customWidth="1"/>
    <col min="1355" max="1355" width="14.85546875" style="18" bestFit="1" customWidth="1"/>
    <col min="1356" max="1356" width="23" style="18" bestFit="1" customWidth="1"/>
    <col min="1357" max="1357" width="21.28515625" style="18" bestFit="1" customWidth="1"/>
    <col min="1358" max="1358" width="20.28515625" style="18" bestFit="1" customWidth="1"/>
    <col min="1359" max="1359" width="21" style="18" bestFit="1" customWidth="1"/>
    <col min="1360" max="1360" width="18.85546875" style="18" bestFit="1" customWidth="1"/>
    <col min="1361" max="1361" width="80.7109375" style="18" customWidth="1"/>
    <col min="1362" max="1549" width="9.140625" style="18"/>
    <col min="1550" max="1550" width="2.5703125" style="18" customWidth="1"/>
    <col min="1551" max="1551" width="17.85546875" style="18" customWidth="1"/>
    <col min="1552" max="1552" width="41.5703125" style="18" customWidth="1"/>
    <col min="1553" max="1554" width="12" style="18" customWidth="1"/>
    <col min="1555" max="1555" width="17" style="18" customWidth="1"/>
    <col min="1556" max="1556" width="9.7109375" style="18" customWidth="1"/>
    <col min="1557" max="1557" width="12.28515625" style="18" customWidth="1"/>
    <col min="1558" max="1558" width="13.7109375" style="18" customWidth="1"/>
    <col min="1559" max="1559" width="13.5703125" style="18" bestFit="1" customWidth="1"/>
    <col min="1560" max="1560" width="13.5703125" style="18" customWidth="1"/>
    <col min="1561" max="1561" width="21" style="18" customWidth="1"/>
    <col min="1562" max="1565" width="13.42578125" style="18" customWidth="1"/>
    <col min="1566" max="1567" width="19" style="18" customWidth="1"/>
    <col min="1568" max="1568" width="34" style="18" customWidth="1"/>
    <col min="1569" max="1569" width="19" style="18" customWidth="1"/>
    <col min="1570" max="1570" width="20" style="18" bestFit="1" customWidth="1"/>
    <col min="1571" max="1571" width="20.28515625" style="18" bestFit="1" customWidth="1"/>
    <col min="1572" max="1572" width="26.7109375" style="18" customWidth="1"/>
    <col min="1573" max="1573" width="20.85546875" style="18" bestFit="1" customWidth="1"/>
    <col min="1574" max="1574" width="20.85546875" style="18" customWidth="1"/>
    <col min="1575" max="1575" width="18.85546875" style="18" customWidth="1"/>
    <col min="1576" max="1576" width="17.5703125" style="18" customWidth="1"/>
    <col min="1577" max="1578" width="19.42578125" style="18" customWidth="1"/>
    <col min="1579" max="1579" width="20.7109375" style="18" bestFit="1" customWidth="1"/>
    <col min="1580" max="1580" width="80.7109375" style="18" customWidth="1"/>
    <col min="1581" max="1581" width="14.7109375" style="18" bestFit="1" customWidth="1"/>
    <col min="1582" max="1582" width="18.140625" style="18" bestFit="1" customWidth="1"/>
    <col min="1583" max="1583" width="16.7109375" style="18" bestFit="1" customWidth="1"/>
    <col min="1584" max="1584" width="18.5703125" style="18" bestFit="1" customWidth="1"/>
    <col min="1585" max="1585" width="21.28515625" style="18" bestFit="1" customWidth="1"/>
    <col min="1586" max="1586" width="16.28515625" style="18" bestFit="1" customWidth="1"/>
    <col min="1587" max="1587" width="21.140625" style="18" bestFit="1" customWidth="1"/>
    <col min="1588" max="1588" width="19" style="18" bestFit="1" customWidth="1"/>
    <col min="1589" max="1589" width="19.140625" style="18" customWidth="1"/>
    <col min="1590" max="1590" width="16.7109375" style="18" customWidth="1"/>
    <col min="1591" max="1591" width="21.140625" style="18" bestFit="1" customWidth="1"/>
    <col min="1592" max="1592" width="20.42578125" style="18" bestFit="1" customWidth="1"/>
    <col min="1593" max="1593" width="21.140625" style="18" customWidth="1"/>
    <col min="1594" max="1594" width="20.5703125" style="18" bestFit="1" customWidth="1"/>
    <col min="1595" max="1595" width="19.7109375" style="18" bestFit="1" customWidth="1"/>
    <col min="1596" max="1596" width="20.28515625" style="18" customWidth="1"/>
    <col min="1597" max="1597" width="20.85546875" style="18" bestFit="1" customWidth="1"/>
    <col min="1598" max="1598" width="19.5703125" style="18" bestFit="1" customWidth="1"/>
    <col min="1599" max="1599" width="18" style="18" customWidth="1"/>
    <col min="1600" max="1600" width="20" style="18" bestFit="1" customWidth="1"/>
    <col min="1601" max="1601" width="35.7109375" style="18" customWidth="1"/>
    <col min="1602" max="1602" width="21.140625" style="18" bestFit="1" customWidth="1"/>
    <col min="1603" max="1603" width="20.5703125" style="18" bestFit="1" customWidth="1"/>
    <col min="1604" max="1604" width="19.42578125" style="18" bestFit="1" customWidth="1"/>
    <col min="1605" max="1605" width="18.5703125" style="18" bestFit="1" customWidth="1"/>
    <col min="1606" max="1606" width="20.5703125" style="18" bestFit="1" customWidth="1"/>
    <col min="1607" max="1607" width="21.28515625" style="18" bestFit="1" customWidth="1"/>
    <col min="1608" max="1608" width="15.42578125" style="18" customWidth="1"/>
    <col min="1609" max="1609" width="20.7109375" style="18" customWidth="1"/>
    <col min="1610" max="1610" width="21.28515625" style="18" customWidth="1"/>
    <col min="1611" max="1611" width="14.85546875" style="18" bestFit="1" customWidth="1"/>
    <col min="1612" max="1612" width="23" style="18" bestFit="1" customWidth="1"/>
    <col min="1613" max="1613" width="21.28515625" style="18" bestFit="1" customWidth="1"/>
    <col min="1614" max="1614" width="20.28515625" style="18" bestFit="1" customWidth="1"/>
    <col min="1615" max="1615" width="21" style="18" bestFit="1" customWidth="1"/>
    <col min="1616" max="1616" width="18.85546875" style="18" bestFit="1" customWidth="1"/>
    <col min="1617" max="1617" width="80.7109375" style="18" customWidth="1"/>
    <col min="1618" max="1805" width="9.140625" style="18"/>
    <col min="1806" max="1806" width="2.5703125" style="18" customWidth="1"/>
    <col min="1807" max="1807" width="17.85546875" style="18" customWidth="1"/>
    <col min="1808" max="1808" width="41.5703125" style="18" customWidth="1"/>
    <col min="1809" max="1810" width="12" style="18" customWidth="1"/>
    <col min="1811" max="1811" width="17" style="18" customWidth="1"/>
    <col min="1812" max="1812" width="9.7109375" style="18" customWidth="1"/>
    <col min="1813" max="1813" width="12.28515625" style="18" customWidth="1"/>
    <col min="1814" max="1814" width="13.7109375" style="18" customWidth="1"/>
    <col min="1815" max="1815" width="13.5703125" style="18" bestFit="1" customWidth="1"/>
    <col min="1816" max="1816" width="13.5703125" style="18" customWidth="1"/>
    <col min="1817" max="1817" width="21" style="18" customWidth="1"/>
    <col min="1818" max="1821" width="13.42578125" style="18" customWidth="1"/>
    <col min="1822" max="1823" width="19" style="18" customWidth="1"/>
    <col min="1824" max="1824" width="34" style="18" customWidth="1"/>
    <col min="1825" max="1825" width="19" style="18" customWidth="1"/>
    <col min="1826" max="1826" width="20" style="18" bestFit="1" customWidth="1"/>
    <col min="1827" max="1827" width="20.28515625" style="18" bestFit="1" customWidth="1"/>
    <col min="1828" max="1828" width="26.7109375" style="18" customWidth="1"/>
    <col min="1829" max="1829" width="20.85546875" style="18" bestFit="1" customWidth="1"/>
    <col min="1830" max="1830" width="20.85546875" style="18" customWidth="1"/>
    <col min="1831" max="1831" width="18.85546875" style="18" customWidth="1"/>
    <col min="1832" max="1832" width="17.5703125" style="18" customWidth="1"/>
    <col min="1833" max="1834" width="19.42578125" style="18" customWidth="1"/>
    <col min="1835" max="1835" width="20.7109375" style="18" bestFit="1" customWidth="1"/>
    <col min="1836" max="1836" width="80.7109375" style="18" customWidth="1"/>
    <col min="1837" max="1837" width="14.7109375" style="18" bestFit="1" customWidth="1"/>
    <col min="1838" max="1838" width="18.140625" style="18" bestFit="1" customWidth="1"/>
    <col min="1839" max="1839" width="16.7109375" style="18" bestFit="1" customWidth="1"/>
    <col min="1840" max="1840" width="18.5703125" style="18" bestFit="1" customWidth="1"/>
    <col min="1841" max="1841" width="21.28515625" style="18" bestFit="1" customWidth="1"/>
    <col min="1842" max="1842" width="16.28515625" style="18" bestFit="1" customWidth="1"/>
    <col min="1843" max="1843" width="21.140625" style="18" bestFit="1" customWidth="1"/>
    <col min="1844" max="1844" width="19" style="18" bestFit="1" customWidth="1"/>
    <col min="1845" max="1845" width="19.140625" style="18" customWidth="1"/>
    <col min="1846" max="1846" width="16.7109375" style="18" customWidth="1"/>
    <col min="1847" max="1847" width="21.140625" style="18" bestFit="1" customWidth="1"/>
    <col min="1848" max="1848" width="20.42578125" style="18" bestFit="1" customWidth="1"/>
    <col min="1849" max="1849" width="21.140625" style="18" customWidth="1"/>
    <col min="1850" max="1850" width="20.5703125" style="18" bestFit="1" customWidth="1"/>
    <col min="1851" max="1851" width="19.7109375" style="18" bestFit="1" customWidth="1"/>
    <col min="1852" max="1852" width="20.28515625" style="18" customWidth="1"/>
    <col min="1853" max="1853" width="20.85546875" style="18" bestFit="1" customWidth="1"/>
    <col min="1854" max="1854" width="19.5703125" style="18" bestFit="1" customWidth="1"/>
    <col min="1855" max="1855" width="18" style="18" customWidth="1"/>
    <col min="1856" max="1856" width="20" style="18" bestFit="1" customWidth="1"/>
    <col min="1857" max="1857" width="35.7109375" style="18" customWidth="1"/>
    <col min="1858" max="1858" width="21.140625" style="18" bestFit="1" customWidth="1"/>
    <col min="1859" max="1859" width="20.5703125" style="18" bestFit="1" customWidth="1"/>
    <col min="1860" max="1860" width="19.42578125" style="18" bestFit="1" customWidth="1"/>
    <col min="1861" max="1861" width="18.5703125" style="18" bestFit="1" customWidth="1"/>
    <col min="1862" max="1862" width="20.5703125" style="18" bestFit="1" customWidth="1"/>
    <col min="1863" max="1863" width="21.28515625" style="18" bestFit="1" customWidth="1"/>
    <col min="1864" max="1864" width="15.42578125" style="18" customWidth="1"/>
    <col min="1865" max="1865" width="20.7109375" style="18" customWidth="1"/>
    <col min="1866" max="1866" width="21.28515625" style="18" customWidth="1"/>
    <col min="1867" max="1867" width="14.85546875" style="18" bestFit="1" customWidth="1"/>
    <col min="1868" max="1868" width="23" style="18" bestFit="1" customWidth="1"/>
    <col min="1869" max="1869" width="21.28515625" style="18" bestFit="1" customWidth="1"/>
    <col min="1870" max="1870" width="20.28515625" style="18" bestFit="1" customWidth="1"/>
    <col min="1871" max="1871" width="21" style="18" bestFit="1" customWidth="1"/>
    <col min="1872" max="1872" width="18.85546875" style="18" bestFit="1" customWidth="1"/>
    <col min="1873" max="1873" width="80.7109375" style="18" customWidth="1"/>
    <col min="1874" max="2061" width="9.140625" style="18"/>
    <col min="2062" max="2062" width="2.5703125" style="18" customWidth="1"/>
    <col min="2063" max="2063" width="17.85546875" style="18" customWidth="1"/>
    <col min="2064" max="2064" width="41.5703125" style="18" customWidth="1"/>
    <col min="2065" max="2066" width="12" style="18" customWidth="1"/>
    <col min="2067" max="2067" width="17" style="18" customWidth="1"/>
    <col min="2068" max="2068" width="9.7109375" style="18" customWidth="1"/>
    <col min="2069" max="2069" width="12.28515625" style="18" customWidth="1"/>
    <col min="2070" max="2070" width="13.7109375" style="18" customWidth="1"/>
    <col min="2071" max="2071" width="13.5703125" style="18" bestFit="1" customWidth="1"/>
    <col min="2072" max="2072" width="13.5703125" style="18" customWidth="1"/>
    <col min="2073" max="2073" width="21" style="18" customWidth="1"/>
    <col min="2074" max="2077" width="13.42578125" style="18" customWidth="1"/>
    <col min="2078" max="2079" width="19" style="18" customWidth="1"/>
    <col min="2080" max="2080" width="34" style="18" customWidth="1"/>
    <col min="2081" max="2081" width="19" style="18" customWidth="1"/>
    <col min="2082" max="2082" width="20" style="18" bestFit="1" customWidth="1"/>
    <col min="2083" max="2083" width="20.28515625" style="18" bestFit="1" customWidth="1"/>
    <col min="2084" max="2084" width="26.7109375" style="18" customWidth="1"/>
    <col min="2085" max="2085" width="20.85546875" style="18" bestFit="1" customWidth="1"/>
    <col min="2086" max="2086" width="20.85546875" style="18" customWidth="1"/>
    <col min="2087" max="2087" width="18.85546875" style="18" customWidth="1"/>
    <col min="2088" max="2088" width="17.5703125" style="18" customWidth="1"/>
    <col min="2089" max="2090" width="19.42578125" style="18" customWidth="1"/>
    <col min="2091" max="2091" width="20.7109375" style="18" bestFit="1" customWidth="1"/>
    <col min="2092" max="2092" width="80.7109375" style="18" customWidth="1"/>
    <col min="2093" max="2093" width="14.7109375" style="18" bestFit="1" customWidth="1"/>
    <col min="2094" max="2094" width="18.140625" style="18" bestFit="1" customWidth="1"/>
    <col min="2095" max="2095" width="16.7109375" style="18" bestFit="1" customWidth="1"/>
    <col min="2096" max="2096" width="18.5703125" style="18" bestFit="1" customWidth="1"/>
    <col min="2097" max="2097" width="21.28515625" style="18" bestFit="1" customWidth="1"/>
    <col min="2098" max="2098" width="16.28515625" style="18" bestFit="1" customWidth="1"/>
    <col min="2099" max="2099" width="21.140625" style="18" bestFit="1" customWidth="1"/>
    <col min="2100" max="2100" width="19" style="18" bestFit="1" customWidth="1"/>
    <col min="2101" max="2101" width="19.140625" style="18" customWidth="1"/>
    <col min="2102" max="2102" width="16.7109375" style="18" customWidth="1"/>
    <col min="2103" max="2103" width="21.140625" style="18" bestFit="1" customWidth="1"/>
    <col min="2104" max="2104" width="20.42578125" style="18" bestFit="1" customWidth="1"/>
    <col min="2105" max="2105" width="21.140625" style="18" customWidth="1"/>
    <col min="2106" max="2106" width="20.5703125" style="18" bestFit="1" customWidth="1"/>
    <col min="2107" max="2107" width="19.7109375" style="18" bestFit="1" customWidth="1"/>
    <col min="2108" max="2108" width="20.28515625" style="18" customWidth="1"/>
    <col min="2109" max="2109" width="20.85546875" style="18" bestFit="1" customWidth="1"/>
    <col min="2110" max="2110" width="19.5703125" style="18" bestFit="1" customWidth="1"/>
    <col min="2111" max="2111" width="18" style="18" customWidth="1"/>
    <col min="2112" max="2112" width="20" style="18" bestFit="1" customWidth="1"/>
    <col min="2113" max="2113" width="35.7109375" style="18" customWidth="1"/>
    <col min="2114" max="2114" width="21.140625" style="18" bestFit="1" customWidth="1"/>
    <col min="2115" max="2115" width="20.5703125" style="18" bestFit="1" customWidth="1"/>
    <col min="2116" max="2116" width="19.42578125" style="18" bestFit="1" customWidth="1"/>
    <col min="2117" max="2117" width="18.5703125" style="18" bestFit="1" customWidth="1"/>
    <col min="2118" max="2118" width="20.5703125" style="18" bestFit="1" customWidth="1"/>
    <col min="2119" max="2119" width="21.28515625" style="18" bestFit="1" customWidth="1"/>
    <col min="2120" max="2120" width="15.42578125" style="18" customWidth="1"/>
    <col min="2121" max="2121" width="20.7109375" style="18" customWidth="1"/>
    <col min="2122" max="2122" width="21.28515625" style="18" customWidth="1"/>
    <col min="2123" max="2123" width="14.85546875" style="18" bestFit="1" customWidth="1"/>
    <col min="2124" max="2124" width="23" style="18" bestFit="1" customWidth="1"/>
    <col min="2125" max="2125" width="21.28515625" style="18" bestFit="1" customWidth="1"/>
    <col min="2126" max="2126" width="20.28515625" style="18" bestFit="1" customWidth="1"/>
    <col min="2127" max="2127" width="21" style="18" bestFit="1" customWidth="1"/>
    <col min="2128" max="2128" width="18.85546875" style="18" bestFit="1" customWidth="1"/>
    <col min="2129" max="2129" width="80.7109375" style="18" customWidth="1"/>
    <col min="2130" max="2317" width="9.140625" style="18"/>
    <col min="2318" max="2318" width="2.5703125" style="18" customWidth="1"/>
    <col min="2319" max="2319" width="17.85546875" style="18" customWidth="1"/>
    <col min="2320" max="2320" width="41.5703125" style="18" customWidth="1"/>
    <col min="2321" max="2322" width="12" style="18" customWidth="1"/>
    <col min="2323" max="2323" width="17" style="18" customWidth="1"/>
    <col min="2324" max="2324" width="9.7109375" style="18" customWidth="1"/>
    <col min="2325" max="2325" width="12.28515625" style="18" customWidth="1"/>
    <col min="2326" max="2326" width="13.7109375" style="18" customWidth="1"/>
    <col min="2327" max="2327" width="13.5703125" style="18" bestFit="1" customWidth="1"/>
    <col min="2328" max="2328" width="13.5703125" style="18" customWidth="1"/>
    <col min="2329" max="2329" width="21" style="18" customWidth="1"/>
    <col min="2330" max="2333" width="13.42578125" style="18" customWidth="1"/>
    <col min="2334" max="2335" width="19" style="18" customWidth="1"/>
    <col min="2336" max="2336" width="34" style="18" customWidth="1"/>
    <col min="2337" max="2337" width="19" style="18" customWidth="1"/>
    <col min="2338" max="2338" width="20" style="18" bestFit="1" customWidth="1"/>
    <col min="2339" max="2339" width="20.28515625" style="18" bestFit="1" customWidth="1"/>
    <col min="2340" max="2340" width="26.7109375" style="18" customWidth="1"/>
    <col min="2341" max="2341" width="20.85546875" style="18" bestFit="1" customWidth="1"/>
    <col min="2342" max="2342" width="20.85546875" style="18" customWidth="1"/>
    <col min="2343" max="2343" width="18.85546875" style="18" customWidth="1"/>
    <col min="2344" max="2344" width="17.5703125" style="18" customWidth="1"/>
    <col min="2345" max="2346" width="19.42578125" style="18" customWidth="1"/>
    <col min="2347" max="2347" width="20.7109375" style="18" bestFit="1" customWidth="1"/>
    <col min="2348" max="2348" width="80.7109375" style="18" customWidth="1"/>
    <col min="2349" max="2349" width="14.7109375" style="18" bestFit="1" customWidth="1"/>
    <col min="2350" max="2350" width="18.140625" style="18" bestFit="1" customWidth="1"/>
    <col min="2351" max="2351" width="16.7109375" style="18" bestFit="1" customWidth="1"/>
    <col min="2352" max="2352" width="18.5703125" style="18" bestFit="1" customWidth="1"/>
    <col min="2353" max="2353" width="21.28515625" style="18" bestFit="1" customWidth="1"/>
    <col min="2354" max="2354" width="16.28515625" style="18" bestFit="1" customWidth="1"/>
    <col min="2355" max="2355" width="21.140625" style="18" bestFit="1" customWidth="1"/>
    <col min="2356" max="2356" width="19" style="18" bestFit="1" customWidth="1"/>
    <col min="2357" max="2357" width="19.140625" style="18" customWidth="1"/>
    <col min="2358" max="2358" width="16.7109375" style="18" customWidth="1"/>
    <col min="2359" max="2359" width="21.140625" style="18" bestFit="1" customWidth="1"/>
    <col min="2360" max="2360" width="20.42578125" style="18" bestFit="1" customWidth="1"/>
    <col min="2361" max="2361" width="21.140625" style="18" customWidth="1"/>
    <col min="2362" max="2362" width="20.5703125" style="18" bestFit="1" customWidth="1"/>
    <col min="2363" max="2363" width="19.7109375" style="18" bestFit="1" customWidth="1"/>
    <col min="2364" max="2364" width="20.28515625" style="18" customWidth="1"/>
    <col min="2365" max="2365" width="20.85546875" style="18" bestFit="1" customWidth="1"/>
    <col min="2366" max="2366" width="19.5703125" style="18" bestFit="1" customWidth="1"/>
    <col min="2367" max="2367" width="18" style="18" customWidth="1"/>
    <col min="2368" max="2368" width="20" style="18" bestFit="1" customWidth="1"/>
    <col min="2369" max="2369" width="35.7109375" style="18" customWidth="1"/>
    <col min="2370" max="2370" width="21.140625" style="18" bestFit="1" customWidth="1"/>
    <col min="2371" max="2371" width="20.5703125" style="18" bestFit="1" customWidth="1"/>
    <col min="2372" max="2372" width="19.42578125" style="18" bestFit="1" customWidth="1"/>
    <col min="2373" max="2373" width="18.5703125" style="18" bestFit="1" customWidth="1"/>
    <col min="2374" max="2374" width="20.5703125" style="18" bestFit="1" customWidth="1"/>
    <col min="2375" max="2375" width="21.28515625" style="18" bestFit="1" customWidth="1"/>
    <col min="2376" max="2376" width="15.42578125" style="18" customWidth="1"/>
    <col min="2377" max="2377" width="20.7109375" style="18" customWidth="1"/>
    <col min="2378" max="2378" width="21.28515625" style="18" customWidth="1"/>
    <col min="2379" max="2379" width="14.85546875" style="18" bestFit="1" customWidth="1"/>
    <col min="2380" max="2380" width="23" style="18" bestFit="1" customWidth="1"/>
    <col min="2381" max="2381" width="21.28515625" style="18" bestFit="1" customWidth="1"/>
    <col min="2382" max="2382" width="20.28515625" style="18" bestFit="1" customWidth="1"/>
    <col min="2383" max="2383" width="21" style="18" bestFit="1" customWidth="1"/>
    <col min="2384" max="2384" width="18.85546875" style="18" bestFit="1" customWidth="1"/>
    <col min="2385" max="2385" width="80.7109375" style="18" customWidth="1"/>
    <col min="2386" max="2573" width="9.140625" style="18"/>
    <col min="2574" max="2574" width="2.5703125" style="18" customWidth="1"/>
    <col min="2575" max="2575" width="17.85546875" style="18" customWidth="1"/>
    <col min="2576" max="2576" width="41.5703125" style="18" customWidth="1"/>
    <col min="2577" max="2578" width="12" style="18" customWidth="1"/>
    <col min="2579" max="2579" width="17" style="18" customWidth="1"/>
    <col min="2580" max="2580" width="9.7109375" style="18" customWidth="1"/>
    <col min="2581" max="2581" width="12.28515625" style="18" customWidth="1"/>
    <col min="2582" max="2582" width="13.7109375" style="18" customWidth="1"/>
    <col min="2583" max="2583" width="13.5703125" style="18" bestFit="1" customWidth="1"/>
    <col min="2584" max="2584" width="13.5703125" style="18" customWidth="1"/>
    <col min="2585" max="2585" width="21" style="18" customWidth="1"/>
    <col min="2586" max="2589" width="13.42578125" style="18" customWidth="1"/>
    <col min="2590" max="2591" width="19" style="18" customWidth="1"/>
    <col min="2592" max="2592" width="34" style="18" customWidth="1"/>
    <col min="2593" max="2593" width="19" style="18" customWidth="1"/>
    <col min="2594" max="2594" width="20" style="18" bestFit="1" customWidth="1"/>
    <col min="2595" max="2595" width="20.28515625" style="18" bestFit="1" customWidth="1"/>
    <col min="2596" max="2596" width="26.7109375" style="18" customWidth="1"/>
    <col min="2597" max="2597" width="20.85546875" style="18" bestFit="1" customWidth="1"/>
    <col min="2598" max="2598" width="20.85546875" style="18" customWidth="1"/>
    <col min="2599" max="2599" width="18.85546875" style="18" customWidth="1"/>
    <col min="2600" max="2600" width="17.5703125" style="18" customWidth="1"/>
    <col min="2601" max="2602" width="19.42578125" style="18" customWidth="1"/>
    <col min="2603" max="2603" width="20.7109375" style="18" bestFit="1" customWidth="1"/>
    <col min="2604" max="2604" width="80.7109375" style="18" customWidth="1"/>
    <col min="2605" max="2605" width="14.7109375" style="18" bestFit="1" customWidth="1"/>
    <col min="2606" max="2606" width="18.140625" style="18" bestFit="1" customWidth="1"/>
    <col min="2607" max="2607" width="16.7109375" style="18" bestFit="1" customWidth="1"/>
    <col min="2608" max="2608" width="18.5703125" style="18" bestFit="1" customWidth="1"/>
    <col min="2609" max="2609" width="21.28515625" style="18" bestFit="1" customWidth="1"/>
    <col min="2610" max="2610" width="16.28515625" style="18" bestFit="1" customWidth="1"/>
    <col min="2611" max="2611" width="21.140625" style="18" bestFit="1" customWidth="1"/>
    <col min="2612" max="2612" width="19" style="18" bestFit="1" customWidth="1"/>
    <col min="2613" max="2613" width="19.140625" style="18" customWidth="1"/>
    <col min="2614" max="2614" width="16.7109375" style="18" customWidth="1"/>
    <col min="2615" max="2615" width="21.140625" style="18" bestFit="1" customWidth="1"/>
    <col min="2616" max="2616" width="20.42578125" style="18" bestFit="1" customWidth="1"/>
    <col min="2617" max="2617" width="21.140625" style="18" customWidth="1"/>
    <col min="2618" max="2618" width="20.5703125" style="18" bestFit="1" customWidth="1"/>
    <col min="2619" max="2619" width="19.7109375" style="18" bestFit="1" customWidth="1"/>
    <col min="2620" max="2620" width="20.28515625" style="18" customWidth="1"/>
    <col min="2621" max="2621" width="20.85546875" style="18" bestFit="1" customWidth="1"/>
    <col min="2622" max="2622" width="19.5703125" style="18" bestFit="1" customWidth="1"/>
    <col min="2623" max="2623" width="18" style="18" customWidth="1"/>
    <col min="2624" max="2624" width="20" style="18" bestFit="1" customWidth="1"/>
    <col min="2625" max="2625" width="35.7109375" style="18" customWidth="1"/>
    <col min="2626" max="2626" width="21.140625" style="18" bestFit="1" customWidth="1"/>
    <col min="2627" max="2627" width="20.5703125" style="18" bestFit="1" customWidth="1"/>
    <col min="2628" max="2628" width="19.42578125" style="18" bestFit="1" customWidth="1"/>
    <col min="2629" max="2629" width="18.5703125" style="18" bestFit="1" customWidth="1"/>
    <col min="2630" max="2630" width="20.5703125" style="18" bestFit="1" customWidth="1"/>
    <col min="2631" max="2631" width="21.28515625" style="18" bestFit="1" customWidth="1"/>
    <col min="2632" max="2632" width="15.42578125" style="18" customWidth="1"/>
    <col min="2633" max="2633" width="20.7109375" style="18" customWidth="1"/>
    <col min="2634" max="2634" width="21.28515625" style="18" customWidth="1"/>
    <col min="2635" max="2635" width="14.85546875" style="18" bestFit="1" customWidth="1"/>
    <col min="2636" max="2636" width="23" style="18" bestFit="1" customWidth="1"/>
    <col min="2637" max="2637" width="21.28515625" style="18" bestFit="1" customWidth="1"/>
    <col min="2638" max="2638" width="20.28515625" style="18" bestFit="1" customWidth="1"/>
    <col min="2639" max="2639" width="21" style="18" bestFit="1" customWidth="1"/>
    <col min="2640" max="2640" width="18.85546875" style="18" bestFit="1" customWidth="1"/>
    <col min="2641" max="2641" width="80.7109375" style="18" customWidth="1"/>
    <col min="2642" max="2829" width="9.140625" style="18"/>
    <col min="2830" max="2830" width="2.5703125" style="18" customWidth="1"/>
    <col min="2831" max="2831" width="17.85546875" style="18" customWidth="1"/>
    <col min="2832" max="2832" width="41.5703125" style="18" customWidth="1"/>
    <col min="2833" max="2834" width="12" style="18" customWidth="1"/>
    <col min="2835" max="2835" width="17" style="18" customWidth="1"/>
    <col min="2836" max="2836" width="9.7109375" style="18" customWidth="1"/>
    <col min="2837" max="2837" width="12.28515625" style="18" customWidth="1"/>
    <col min="2838" max="2838" width="13.7109375" style="18" customWidth="1"/>
    <col min="2839" max="2839" width="13.5703125" style="18" bestFit="1" customWidth="1"/>
    <col min="2840" max="2840" width="13.5703125" style="18" customWidth="1"/>
    <col min="2841" max="2841" width="21" style="18" customWidth="1"/>
    <col min="2842" max="2845" width="13.42578125" style="18" customWidth="1"/>
    <col min="2846" max="2847" width="19" style="18" customWidth="1"/>
    <col min="2848" max="2848" width="34" style="18" customWidth="1"/>
    <col min="2849" max="2849" width="19" style="18" customWidth="1"/>
    <col min="2850" max="2850" width="20" style="18" bestFit="1" customWidth="1"/>
    <col min="2851" max="2851" width="20.28515625" style="18" bestFit="1" customWidth="1"/>
    <col min="2852" max="2852" width="26.7109375" style="18" customWidth="1"/>
    <col min="2853" max="2853" width="20.85546875" style="18" bestFit="1" customWidth="1"/>
    <col min="2854" max="2854" width="20.85546875" style="18" customWidth="1"/>
    <col min="2855" max="2855" width="18.85546875" style="18" customWidth="1"/>
    <col min="2856" max="2856" width="17.5703125" style="18" customWidth="1"/>
    <col min="2857" max="2858" width="19.42578125" style="18" customWidth="1"/>
    <col min="2859" max="2859" width="20.7109375" style="18" bestFit="1" customWidth="1"/>
    <col min="2860" max="2860" width="80.7109375" style="18" customWidth="1"/>
    <col min="2861" max="2861" width="14.7109375" style="18" bestFit="1" customWidth="1"/>
    <col min="2862" max="2862" width="18.140625" style="18" bestFit="1" customWidth="1"/>
    <col min="2863" max="2863" width="16.7109375" style="18" bestFit="1" customWidth="1"/>
    <col min="2864" max="2864" width="18.5703125" style="18" bestFit="1" customWidth="1"/>
    <col min="2865" max="2865" width="21.28515625" style="18" bestFit="1" customWidth="1"/>
    <col min="2866" max="2866" width="16.28515625" style="18" bestFit="1" customWidth="1"/>
    <col min="2867" max="2867" width="21.140625" style="18" bestFit="1" customWidth="1"/>
    <col min="2868" max="2868" width="19" style="18" bestFit="1" customWidth="1"/>
    <col min="2869" max="2869" width="19.140625" style="18" customWidth="1"/>
    <col min="2870" max="2870" width="16.7109375" style="18" customWidth="1"/>
    <col min="2871" max="2871" width="21.140625" style="18" bestFit="1" customWidth="1"/>
    <col min="2872" max="2872" width="20.42578125" style="18" bestFit="1" customWidth="1"/>
    <col min="2873" max="2873" width="21.140625" style="18" customWidth="1"/>
    <col min="2874" max="2874" width="20.5703125" style="18" bestFit="1" customWidth="1"/>
    <col min="2875" max="2875" width="19.7109375" style="18" bestFit="1" customWidth="1"/>
    <col min="2876" max="2876" width="20.28515625" style="18" customWidth="1"/>
    <col min="2877" max="2877" width="20.85546875" style="18" bestFit="1" customWidth="1"/>
    <col min="2878" max="2878" width="19.5703125" style="18" bestFit="1" customWidth="1"/>
    <col min="2879" max="2879" width="18" style="18" customWidth="1"/>
    <col min="2880" max="2880" width="20" style="18" bestFit="1" customWidth="1"/>
    <col min="2881" max="2881" width="35.7109375" style="18" customWidth="1"/>
    <col min="2882" max="2882" width="21.140625" style="18" bestFit="1" customWidth="1"/>
    <col min="2883" max="2883" width="20.5703125" style="18" bestFit="1" customWidth="1"/>
    <col min="2884" max="2884" width="19.42578125" style="18" bestFit="1" customWidth="1"/>
    <col min="2885" max="2885" width="18.5703125" style="18" bestFit="1" customWidth="1"/>
    <col min="2886" max="2886" width="20.5703125" style="18" bestFit="1" customWidth="1"/>
    <col min="2887" max="2887" width="21.28515625" style="18" bestFit="1" customWidth="1"/>
    <col min="2888" max="2888" width="15.42578125" style="18" customWidth="1"/>
    <col min="2889" max="2889" width="20.7109375" style="18" customWidth="1"/>
    <col min="2890" max="2890" width="21.28515625" style="18" customWidth="1"/>
    <col min="2891" max="2891" width="14.85546875" style="18" bestFit="1" customWidth="1"/>
    <col min="2892" max="2892" width="23" style="18" bestFit="1" customWidth="1"/>
    <col min="2893" max="2893" width="21.28515625" style="18" bestFit="1" customWidth="1"/>
    <col min="2894" max="2894" width="20.28515625" style="18" bestFit="1" customWidth="1"/>
    <col min="2895" max="2895" width="21" style="18" bestFit="1" customWidth="1"/>
    <col min="2896" max="2896" width="18.85546875" style="18" bestFit="1" customWidth="1"/>
    <col min="2897" max="2897" width="80.7109375" style="18" customWidth="1"/>
    <col min="2898" max="3085" width="9.140625" style="18"/>
    <col min="3086" max="3086" width="2.5703125" style="18" customWidth="1"/>
    <col min="3087" max="3087" width="17.85546875" style="18" customWidth="1"/>
    <col min="3088" max="3088" width="41.5703125" style="18" customWidth="1"/>
    <col min="3089" max="3090" width="12" style="18" customWidth="1"/>
    <col min="3091" max="3091" width="17" style="18" customWidth="1"/>
    <col min="3092" max="3092" width="9.7109375" style="18" customWidth="1"/>
    <col min="3093" max="3093" width="12.28515625" style="18" customWidth="1"/>
    <col min="3094" max="3094" width="13.7109375" style="18" customWidth="1"/>
    <col min="3095" max="3095" width="13.5703125" style="18" bestFit="1" customWidth="1"/>
    <col min="3096" max="3096" width="13.5703125" style="18" customWidth="1"/>
    <col min="3097" max="3097" width="21" style="18" customWidth="1"/>
    <col min="3098" max="3101" width="13.42578125" style="18" customWidth="1"/>
    <col min="3102" max="3103" width="19" style="18" customWidth="1"/>
    <col min="3104" max="3104" width="34" style="18" customWidth="1"/>
    <col min="3105" max="3105" width="19" style="18" customWidth="1"/>
    <col min="3106" max="3106" width="20" style="18" bestFit="1" customWidth="1"/>
    <col min="3107" max="3107" width="20.28515625" style="18" bestFit="1" customWidth="1"/>
    <col min="3108" max="3108" width="26.7109375" style="18" customWidth="1"/>
    <col min="3109" max="3109" width="20.85546875" style="18" bestFit="1" customWidth="1"/>
    <col min="3110" max="3110" width="20.85546875" style="18" customWidth="1"/>
    <col min="3111" max="3111" width="18.85546875" style="18" customWidth="1"/>
    <col min="3112" max="3112" width="17.5703125" style="18" customWidth="1"/>
    <col min="3113" max="3114" width="19.42578125" style="18" customWidth="1"/>
    <col min="3115" max="3115" width="20.7109375" style="18" bestFit="1" customWidth="1"/>
    <col min="3116" max="3116" width="80.7109375" style="18" customWidth="1"/>
    <col min="3117" max="3117" width="14.7109375" style="18" bestFit="1" customWidth="1"/>
    <col min="3118" max="3118" width="18.140625" style="18" bestFit="1" customWidth="1"/>
    <col min="3119" max="3119" width="16.7109375" style="18" bestFit="1" customWidth="1"/>
    <col min="3120" max="3120" width="18.5703125" style="18" bestFit="1" customWidth="1"/>
    <col min="3121" max="3121" width="21.28515625" style="18" bestFit="1" customWidth="1"/>
    <col min="3122" max="3122" width="16.28515625" style="18" bestFit="1" customWidth="1"/>
    <col min="3123" max="3123" width="21.140625" style="18" bestFit="1" customWidth="1"/>
    <col min="3124" max="3124" width="19" style="18" bestFit="1" customWidth="1"/>
    <col min="3125" max="3125" width="19.140625" style="18" customWidth="1"/>
    <col min="3126" max="3126" width="16.7109375" style="18" customWidth="1"/>
    <col min="3127" max="3127" width="21.140625" style="18" bestFit="1" customWidth="1"/>
    <col min="3128" max="3128" width="20.42578125" style="18" bestFit="1" customWidth="1"/>
    <col min="3129" max="3129" width="21.140625" style="18" customWidth="1"/>
    <col min="3130" max="3130" width="20.5703125" style="18" bestFit="1" customWidth="1"/>
    <col min="3131" max="3131" width="19.7109375" style="18" bestFit="1" customWidth="1"/>
    <col min="3132" max="3132" width="20.28515625" style="18" customWidth="1"/>
    <col min="3133" max="3133" width="20.85546875" style="18" bestFit="1" customWidth="1"/>
    <col min="3134" max="3134" width="19.5703125" style="18" bestFit="1" customWidth="1"/>
    <col min="3135" max="3135" width="18" style="18" customWidth="1"/>
    <col min="3136" max="3136" width="20" style="18" bestFit="1" customWidth="1"/>
    <col min="3137" max="3137" width="35.7109375" style="18" customWidth="1"/>
    <col min="3138" max="3138" width="21.140625" style="18" bestFit="1" customWidth="1"/>
    <col min="3139" max="3139" width="20.5703125" style="18" bestFit="1" customWidth="1"/>
    <col min="3140" max="3140" width="19.42578125" style="18" bestFit="1" customWidth="1"/>
    <col min="3141" max="3141" width="18.5703125" style="18" bestFit="1" customWidth="1"/>
    <col min="3142" max="3142" width="20.5703125" style="18" bestFit="1" customWidth="1"/>
    <col min="3143" max="3143" width="21.28515625" style="18" bestFit="1" customWidth="1"/>
    <col min="3144" max="3144" width="15.42578125" style="18" customWidth="1"/>
    <col min="3145" max="3145" width="20.7109375" style="18" customWidth="1"/>
    <col min="3146" max="3146" width="21.28515625" style="18" customWidth="1"/>
    <col min="3147" max="3147" width="14.85546875" style="18" bestFit="1" customWidth="1"/>
    <col min="3148" max="3148" width="23" style="18" bestFit="1" customWidth="1"/>
    <col min="3149" max="3149" width="21.28515625" style="18" bestFit="1" customWidth="1"/>
    <col min="3150" max="3150" width="20.28515625" style="18" bestFit="1" customWidth="1"/>
    <col min="3151" max="3151" width="21" style="18" bestFit="1" customWidth="1"/>
    <col min="3152" max="3152" width="18.85546875" style="18" bestFit="1" customWidth="1"/>
    <col min="3153" max="3153" width="80.7109375" style="18" customWidth="1"/>
    <col min="3154" max="3341" width="9.140625" style="18"/>
    <col min="3342" max="3342" width="2.5703125" style="18" customWidth="1"/>
    <col min="3343" max="3343" width="17.85546875" style="18" customWidth="1"/>
    <col min="3344" max="3344" width="41.5703125" style="18" customWidth="1"/>
    <col min="3345" max="3346" width="12" style="18" customWidth="1"/>
    <col min="3347" max="3347" width="17" style="18" customWidth="1"/>
    <col min="3348" max="3348" width="9.7109375" style="18" customWidth="1"/>
    <col min="3349" max="3349" width="12.28515625" style="18" customWidth="1"/>
    <col min="3350" max="3350" width="13.7109375" style="18" customWidth="1"/>
    <col min="3351" max="3351" width="13.5703125" style="18" bestFit="1" customWidth="1"/>
    <col min="3352" max="3352" width="13.5703125" style="18" customWidth="1"/>
    <col min="3353" max="3353" width="21" style="18" customWidth="1"/>
    <col min="3354" max="3357" width="13.42578125" style="18" customWidth="1"/>
    <col min="3358" max="3359" width="19" style="18" customWidth="1"/>
    <col min="3360" max="3360" width="34" style="18" customWidth="1"/>
    <col min="3361" max="3361" width="19" style="18" customWidth="1"/>
    <col min="3362" max="3362" width="20" style="18" bestFit="1" customWidth="1"/>
    <col min="3363" max="3363" width="20.28515625" style="18" bestFit="1" customWidth="1"/>
    <col min="3364" max="3364" width="26.7109375" style="18" customWidth="1"/>
    <col min="3365" max="3365" width="20.85546875" style="18" bestFit="1" customWidth="1"/>
    <col min="3366" max="3366" width="20.85546875" style="18" customWidth="1"/>
    <col min="3367" max="3367" width="18.85546875" style="18" customWidth="1"/>
    <col min="3368" max="3368" width="17.5703125" style="18" customWidth="1"/>
    <col min="3369" max="3370" width="19.42578125" style="18" customWidth="1"/>
    <col min="3371" max="3371" width="20.7109375" style="18" bestFit="1" customWidth="1"/>
    <col min="3372" max="3372" width="80.7109375" style="18" customWidth="1"/>
    <col min="3373" max="3373" width="14.7109375" style="18" bestFit="1" customWidth="1"/>
    <col min="3374" max="3374" width="18.140625" style="18" bestFit="1" customWidth="1"/>
    <col min="3375" max="3375" width="16.7109375" style="18" bestFit="1" customWidth="1"/>
    <col min="3376" max="3376" width="18.5703125" style="18" bestFit="1" customWidth="1"/>
    <col min="3377" max="3377" width="21.28515625" style="18" bestFit="1" customWidth="1"/>
    <col min="3378" max="3378" width="16.28515625" style="18" bestFit="1" customWidth="1"/>
    <col min="3379" max="3379" width="21.140625" style="18" bestFit="1" customWidth="1"/>
    <col min="3380" max="3380" width="19" style="18" bestFit="1" customWidth="1"/>
    <col min="3381" max="3381" width="19.140625" style="18" customWidth="1"/>
    <col min="3382" max="3382" width="16.7109375" style="18" customWidth="1"/>
    <col min="3383" max="3383" width="21.140625" style="18" bestFit="1" customWidth="1"/>
    <col min="3384" max="3384" width="20.42578125" style="18" bestFit="1" customWidth="1"/>
    <col min="3385" max="3385" width="21.140625" style="18" customWidth="1"/>
    <col min="3386" max="3386" width="20.5703125" style="18" bestFit="1" customWidth="1"/>
    <col min="3387" max="3387" width="19.7109375" style="18" bestFit="1" customWidth="1"/>
    <col min="3388" max="3388" width="20.28515625" style="18" customWidth="1"/>
    <col min="3389" max="3389" width="20.85546875" style="18" bestFit="1" customWidth="1"/>
    <col min="3390" max="3390" width="19.5703125" style="18" bestFit="1" customWidth="1"/>
    <col min="3391" max="3391" width="18" style="18" customWidth="1"/>
    <col min="3392" max="3392" width="20" style="18" bestFit="1" customWidth="1"/>
    <col min="3393" max="3393" width="35.7109375" style="18" customWidth="1"/>
    <col min="3394" max="3394" width="21.140625" style="18" bestFit="1" customWidth="1"/>
    <col min="3395" max="3395" width="20.5703125" style="18" bestFit="1" customWidth="1"/>
    <col min="3396" max="3396" width="19.42578125" style="18" bestFit="1" customWidth="1"/>
    <col min="3397" max="3397" width="18.5703125" style="18" bestFit="1" customWidth="1"/>
    <col min="3398" max="3398" width="20.5703125" style="18" bestFit="1" customWidth="1"/>
    <col min="3399" max="3399" width="21.28515625" style="18" bestFit="1" customWidth="1"/>
    <col min="3400" max="3400" width="15.42578125" style="18" customWidth="1"/>
    <col min="3401" max="3401" width="20.7109375" style="18" customWidth="1"/>
    <col min="3402" max="3402" width="21.28515625" style="18" customWidth="1"/>
    <col min="3403" max="3403" width="14.85546875" style="18" bestFit="1" customWidth="1"/>
    <col min="3404" max="3404" width="23" style="18" bestFit="1" customWidth="1"/>
    <col min="3405" max="3405" width="21.28515625" style="18" bestFit="1" customWidth="1"/>
    <col min="3406" max="3406" width="20.28515625" style="18" bestFit="1" customWidth="1"/>
    <col min="3407" max="3407" width="21" style="18" bestFit="1" customWidth="1"/>
    <col min="3408" max="3408" width="18.85546875" style="18" bestFit="1" customWidth="1"/>
    <col min="3409" max="3409" width="80.7109375" style="18" customWidth="1"/>
    <col min="3410" max="3597" width="9.140625" style="18"/>
    <col min="3598" max="3598" width="2.5703125" style="18" customWidth="1"/>
    <col min="3599" max="3599" width="17.85546875" style="18" customWidth="1"/>
    <col min="3600" max="3600" width="41.5703125" style="18" customWidth="1"/>
    <col min="3601" max="3602" width="12" style="18" customWidth="1"/>
    <col min="3603" max="3603" width="17" style="18" customWidth="1"/>
    <col min="3604" max="3604" width="9.7109375" style="18" customWidth="1"/>
    <col min="3605" max="3605" width="12.28515625" style="18" customWidth="1"/>
    <col min="3606" max="3606" width="13.7109375" style="18" customWidth="1"/>
    <col min="3607" max="3607" width="13.5703125" style="18" bestFit="1" customWidth="1"/>
    <col min="3608" max="3608" width="13.5703125" style="18" customWidth="1"/>
    <col min="3609" max="3609" width="21" style="18" customWidth="1"/>
    <col min="3610" max="3613" width="13.42578125" style="18" customWidth="1"/>
    <col min="3614" max="3615" width="19" style="18" customWidth="1"/>
    <col min="3616" max="3616" width="34" style="18" customWidth="1"/>
    <col min="3617" max="3617" width="19" style="18" customWidth="1"/>
    <col min="3618" max="3618" width="20" style="18" bestFit="1" customWidth="1"/>
    <col min="3619" max="3619" width="20.28515625" style="18" bestFit="1" customWidth="1"/>
    <col min="3620" max="3620" width="26.7109375" style="18" customWidth="1"/>
    <col min="3621" max="3621" width="20.85546875" style="18" bestFit="1" customWidth="1"/>
    <col min="3622" max="3622" width="20.85546875" style="18" customWidth="1"/>
    <col min="3623" max="3623" width="18.85546875" style="18" customWidth="1"/>
    <col min="3624" max="3624" width="17.5703125" style="18" customWidth="1"/>
    <col min="3625" max="3626" width="19.42578125" style="18" customWidth="1"/>
    <col min="3627" max="3627" width="20.7109375" style="18" bestFit="1" customWidth="1"/>
    <col min="3628" max="3628" width="80.7109375" style="18" customWidth="1"/>
    <col min="3629" max="3629" width="14.7109375" style="18" bestFit="1" customWidth="1"/>
    <col min="3630" max="3630" width="18.140625" style="18" bestFit="1" customWidth="1"/>
    <col min="3631" max="3631" width="16.7109375" style="18" bestFit="1" customWidth="1"/>
    <col min="3632" max="3632" width="18.5703125" style="18" bestFit="1" customWidth="1"/>
    <col min="3633" max="3633" width="21.28515625" style="18" bestFit="1" customWidth="1"/>
    <col min="3634" max="3634" width="16.28515625" style="18" bestFit="1" customWidth="1"/>
    <col min="3635" max="3635" width="21.140625" style="18" bestFit="1" customWidth="1"/>
    <col min="3636" max="3636" width="19" style="18" bestFit="1" customWidth="1"/>
    <col min="3637" max="3637" width="19.140625" style="18" customWidth="1"/>
    <col min="3638" max="3638" width="16.7109375" style="18" customWidth="1"/>
    <col min="3639" max="3639" width="21.140625" style="18" bestFit="1" customWidth="1"/>
    <col min="3640" max="3640" width="20.42578125" style="18" bestFit="1" customWidth="1"/>
    <col min="3641" max="3641" width="21.140625" style="18" customWidth="1"/>
    <col min="3642" max="3642" width="20.5703125" style="18" bestFit="1" customWidth="1"/>
    <col min="3643" max="3643" width="19.7109375" style="18" bestFit="1" customWidth="1"/>
    <col min="3644" max="3644" width="20.28515625" style="18" customWidth="1"/>
    <col min="3645" max="3645" width="20.85546875" style="18" bestFit="1" customWidth="1"/>
    <col min="3646" max="3646" width="19.5703125" style="18" bestFit="1" customWidth="1"/>
    <col min="3647" max="3647" width="18" style="18" customWidth="1"/>
    <col min="3648" max="3648" width="20" style="18" bestFit="1" customWidth="1"/>
    <col min="3649" max="3649" width="35.7109375" style="18" customWidth="1"/>
    <col min="3650" max="3650" width="21.140625" style="18" bestFit="1" customWidth="1"/>
    <col min="3651" max="3651" width="20.5703125" style="18" bestFit="1" customWidth="1"/>
    <col min="3652" max="3652" width="19.42578125" style="18" bestFit="1" customWidth="1"/>
    <col min="3653" max="3653" width="18.5703125" style="18" bestFit="1" customWidth="1"/>
    <col min="3654" max="3654" width="20.5703125" style="18" bestFit="1" customWidth="1"/>
    <col min="3655" max="3655" width="21.28515625" style="18" bestFit="1" customWidth="1"/>
    <col min="3656" max="3656" width="15.42578125" style="18" customWidth="1"/>
    <col min="3657" max="3657" width="20.7109375" style="18" customWidth="1"/>
    <col min="3658" max="3658" width="21.28515625" style="18" customWidth="1"/>
    <col min="3659" max="3659" width="14.85546875" style="18" bestFit="1" customWidth="1"/>
    <col min="3660" max="3660" width="23" style="18" bestFit="1" customWidth="1"/>
    <col min="3661" max="3661" width="21.28515625" style="18" bestFit="1" customWidth="1"/>
    <col min="3662" max="3662" width="20.28515625" style="18" bestFit="1" customWidth="1"/>
    <col min="3663" max="3663" width="21" style="18" bestFit="1" customWidth="1"/>
    <col min="3664" max="3664" width="18.85546875" style="18" bestFit="1" customWidth="1"/>
    <col min="3665" max="3665" width="80.7109375" style="18" customWidth="1"/>
    <col min="3666" max="3853" width="9.140625" style="18"/>
    <col min="3854" max="3854" width="2.5703125" style="18" customWidth="1"/>
    <col min="3855" max="3855" width="17.85546875" style="18" customWidth="1"/>
    <col min="3856" max="3856" width="41.5703125" style="18" customWidth="1"/>
    <col min="3857" max="3858" width="12" style="18" customWidth="1"/>
    <col min="3859" max="3859" width="17" style="18" customWidth="1"/>
    <col min="3860" max="3860" width="9.7109375" style="18" customWidth="1"/>
    <col min="3861" max="3861" width="12.28515625" style="18" customWidth="1"/>
    <col min="3862" max="3862" width="13.7109375" style="18" customWidth="1"/>
    <col min="3863" max="3863" width="13.5703125" style="18" bestFit="1" customWidth="1"/>
    <col min="3864" max="3864" width="13.5703125" style="18" customWidth="1"/>
    <col min="3865" max="3865" width="21" style="18" customWidth="1"/>
    <col min="3866" max="3869" width="13.42578125" style="18" customWidth="1"/>
    <col min="3870" max="3871" width="19" style="18" customWidth="1"/>
    <col min="3872" max="3872" width="34" style="18" customWidth="1"/>
    <col min="3873" max="3873" width="19" style="18" customWidth="1"/>
    <col min="3874" max="3874" width="20" style="18" bestFit="1" customWidth="1"/>
    <col min="3875" max="3875" width="20.28515625" style="18" bestFit="1" customWidth="1"/>
    <col min="3876" max="3876" width="26.7109375" style="18" customWidth="1"/>
    <col min="3877" max="3877" width="20.85546875" style="18" bestFit="1" customWidth="1"/>
    <col min="3878" max="3878" width="20.85546875" style="18" customWidth="1"/>
    <col min="3879" max="3879" width="18.85546875" style="18" customWidth="1"/>
    <col min="3880" max="3880" width="17.5703125" style="18" customWidth="1"/>
    <col min="3881" max="3882" width="19.42578125" style="18" customWidth="1"/>
    <col min="3883" max="3883" width="20.7109375" style="18" bestFit="1" customWidth="1"/>
    <col min="3884" max="3884" width="80.7109375" style="18" customWidth="1"/>
    <col min="3885" max="3885" width="14.7109375" style="18" bestFit="1" customWidth="1"/>
    <col min="3886" max="3886" width="18.140625" style="18" bestFit="1" customWidth="1"/>
    <col min="3887" max="3887" width="16.7109375" style="18" bestFit="1" customWidth="1"/>
    <col min="3888" max="3888" width="18.5703125" style="18" bestFit="1" customWidth="1"/>
    <col min="3889" max="3889" width="21.28515625" style="18" bestFit="1" customWidth="1"/>
    <col min="3890" max="3890" width="16.28515625" style="18" bestFit="1" customWidth="1"/>
    <col min="3891" max="3891" width="21.140625" style="18" bestFit="1" customWidth="1"/>
    <col min="3892" max="3892" width="19" style="18" bestFit="1" customWidth="1"/>
    <col min="3893" max="3893" width="19.140625" style="18" customWidth="1"/>
    <col min="3894" max="3894" width="16.7109375" style="18" customWidth="1"/>
    <col min="3895" max="3895" width="21.140625" style="18" bestFit="1" customWidth="1"/>
    <col min="3896" max="3896" width="20.42578125" style="18" bestFit="1" customWidth="1"/>
    <col min="3897" max="3897" width="21.140625" style="18" customWidth="1"/>
    <col min="3898" max="3898" width="20.5703125" style="18" bestFit="1" customWidth="1"/>
    <col min="3899" max="3899" width="19.7109375" style="18" bestFit="1" customWidth="1"/>
    <col min="3900" max="3900" width="20.28515625" style="18" customWidth="1"/>
    <col min="3901" max="3901" width="20.85546875" style="18" bestFit="1" customWidth="1"/>
    <col min="3902" max="3902" width="19.5703125" style="18" bestFit="1" customWidth="1"/>
    <col min="3903" max="3903" width="18" style="18" customWidth="1"/>
    <col min="3904" max="3904" width="20" style="18" bestFit="1" customWidth="1"/>
    <col min="3905" max="3905" width="35.7109375" style="18" customWidth="1"/>
    <col min="3906" max="3906" width="21.140625" style="18" bestFit="1" customWidth="1"/>
    <col min="3907" max="3907" width="20.5703125" style="18" bestFit="1" customWidth="1"/>
    <col min="3908" max="3908" width="19.42578125" style="18" bestFit="1" customWidth="1"/>
    <col min="3909" max="3909" width="18.5703125" style="18" bestFit="1" customWidth="1"/>
    <col min="3910" max="3910" width="20.5703125" style="18" bestFit="1" customWidth="1"/>
    <col min="3911" max="3911" width="21.28515625" style="18" bestFit="1" customWidth="1"/>
    <col min="3912" max="3912" width="15.42578125" style="18" customWidth="1"/>
    <col min="3913" max="3913" width="20.7109375" style="18" customWidth="1"/>
    <col min="3914" max="3914" width="21.28515625" style="18" customWidth="1"/>
    <col min="3915" max="3915" width="14.85546875" style="18" bestFit="1" customWidth="1"/>
    <col min="3916" max="3916" width="23" style="18" bestFit="1" customWidth="1"/>
    <col min="3917" max="3917" width="21.28515625" style="18" bestFit="1" customWidth="1"/>
    <col min="3918" max="3918" width="20.28515625" style="18" bestFit="1" customWidth="1"/>
    <col min="3919" max="3919" width="21" style="18" bestFit="1" customWidth="1"/>
    <col min="3920" max="3920" width="18.85546875" style="18" bestFit="1" customWidth="1"/>
    <col min="3921" max="3921" width="80.7109375" style="18" customWidth="1"/>
    <col min="3922" max="4109" width="9.140625" style="18"/>
    <col min="4110" max="4110" width="2.5703125" style="18" customWidth="1"/>
    <col min="4111" max="4111" width="17.85546875" style="18" customWidth="1"/>
    <col min="4112" max="4112" width="41.5703125" style="18" customWidth="1"/>
    <col min="4113" max="4114" width="12" style="18" customWidth="1"/>
    <col min="4115" max="4115" width="17" style="18" customWidth="1"/>
    <col min="4116" max="4116" width="9.7109375" style="18" customWidth="1"/>
    <col min="4117" max="4117" width="12.28515625" style="18" customWidth="1"/>
    <col min="4118" max="4118" width="13.7109375" style="18" customWidth="1"/>
    <col min="4119" max="4119" width="13.5703125" style="18" bestFit="1" customWidth="1"/>
    <col min="4120" max="4120" width="13.5703125" style="18" customWidth="1"/>
    <col min="4121" max="4121" width="21" style="18" customWidth="1"/>
    <col min="4122" max="4125" width="13.42578125" style="18" customWidth="1"/>
    <col min="4126" max="4127" width="19" style="18" customWidth="1"/>
    <col min="4128" max="4128" width="34" style="18" customWidth="1"/>
    <col min="4129" max="4129" width="19" style="18" customWidth="1"/>
    <col min="4130" max="4130" width="20" style="18" bestFit="1" customWidth="1"/>
    <col min="4131" max="4131" width="20.28515625" style="18" bestFit="1" customWidth="1"/>
    <col min="4132" max="4132" width="26.7109375" style="18" customWidth="1"/>
    <col min="4133" max="4133" width="20.85546875" style="18" bestFit="1" customWidth="1"/>
    <col min="4134" max="4134" width="20.85546875" style="18" customWidth="1"/>
    <col min="4135" max="4135" width="18.85546875" style="18" customWidth="1"/>
    <col min="4136" max="4136" width="17.5703125" style="18" customWidth="1"/>
    <col min="4137" max="4138" width="19.42578125" style="18" customWidth="1"/>
    <col min="4139" max="4139" width="20.7109375" style="18" bestFit="1" customWidth="1"/>
    <col min="4140" max="4140" width="80.7109375" style="18" customWidth="1"/>
    <col min="4141" max="4141" width="14.7109375" style="18" bestFit="1" customWidth="1"/>
    <col min="4142" max="4142" width="18.140625" style="18" bestFit="1" customWidth="1"/>
    <col min="4143" max="4143" width="16.7109375" style="18" bestFit="1" customWidth="1"/>
    <col min="4144" max="4144" width="18.5703125" style="18" bestFit="1" customWidth="1"/>
    <col min="4145" max="4145" width="21.28515625" style="18" bestFit="1" customWidth="1"/>
    <col min="4146" max="4146" width="16.28515625" style="18" bestFit="1" customWidth="1"/>
    <col min="4147" max="4147" width="21.140625" style="18" bestFit="1" customWidth="1"/>
    <col min="4148" max="4148" width="19" style="18" bestFit="1" customWidth="1"/>
    <col min="4149" max="4149" width="19.140625" style="18" customWidth="1"/>
    <col min="4150" max="4150" width="16.7109375" style="18" customWidth="1"/>
    <col min="4151" max="4151" width="21.140625" style="18" bestFit="1" customWidth="1"/>
    <col min="4152" max="4152" width="20.42578125" style="18" bestFit="1" customWidth="1"/>
    <col min="4153" max="4153" width="21.140625" style="18" customWidth="1"/>
    <col min="4154" max="4154" width="20.5703125" style="18" bestFit="1" customWidth="1"/>
    <col min="4155" max="4155" width="19.7109375" style="18" bestFit="1" customWidth="1"/>
    <col min="4156" max="4156" width="20.28515625" style="18" customWidth="1"/>
    <col min="4157" max="4157" width="20.85546875" style="18" bestFit="1" customWidth="1"/>
    <col min="4158" max="4158" width="19.5703125" style="18" bestFit="1" customWidth="1"/>
    <col min="4159" max="4159" width="18" style="18" customWidth="1"/>
    <col min="4160" max="4160" width="20" style="18" bestFit="1" customWidth="1"/>
    <col min="4161" max="4161" width="35.7109375" style="18" customWidth="1"/>
    <col min="4162" max="4162" width="21.140625" style="18" bestFit="1" customWidth="1"/>
    <col min="4163" max="4163" width="20.5703125" style="18" bestFit="1" customWidth="1"/>
    <col min="4164" max="4164" width="19.42578125" style="18" bestFit="1" customWidth="1"/>
    <col min="4165" max="4165" width="18.5703125" style="18" bestFit="1" customWidth="1"/>
    <col min="4166" max="4166" width="20.5703125" style="18" bestFit="1" customWidth="1"/>
    <col min="4167" max="4167" width="21.28515625" style="18" bestFit="1" customWidth="1"/>
    <col min="4168" max="4168" width="15.42578125" style="18" customWidth="1"/>
    <col min="4169" max="4169" width="20.7109375" style="18" customWidth="1"/>
    <col min="4170" max="4170" width="21.28515625" style="18" customWidth="1"/>
    <col min="4171" max="4171" width="14.85546875" style="18" bestFit="1" customWidth="1"/>
    <col min="4172" max="4172" width="23" style="18" bestFit="1" customWidth="1"/>
    <col min="4173" max="4173" width="21.28515625" style="18" bestFit="1" customWidth="1"/>
    <col min="4174" max="4174" width="20.28515625" style="18" bestFit="1" customWidth="1"/>
    <col min="4175" max="4175" width="21" style="18" bestFit="1" customWidth="1"/>
    <col min="4176" max="4176" width="18.85546875" style="18" bestFit="1" customWidth="1"/>
    <col min="4177" max="4177" width="80.7109375" style="18" customWidth="1"/>
    <col min="4178" max="4365" width="9.140625" style="18"/>
    <col min="4366" max="4366" width="2.5703125" style="18" customWidth="1"/>
    <col min="4367" max="4367" width="17.85546875" style="18" customWidth="1"/>
    <col min="4368" max="4368" width="41.5703125" style="18" customWidth="1"/>
    <col min="4369" max="4370" width="12" style="18" customWidth="1"/>
    <col min="4371" max="4371" width="17" style="18" customWidth="1"/>
    <col min="4372" max="4372" width="9.7109375" style="18" customWidth="1"/>
    <col min="4373" max="4373" width="12.28515625" style="18" customWidth="1"/>
    <col min="4374" max="4374" width="13.7109375" style="18" customWidth="1"/>
    <col min="4375" max="4375" width="13.5703125" style="18" bestFit="1" customWidth="1"/>
    <col min="4376" max="4376" width="13.5703125" style="18" customWidth="1"/>
    <col min="4377" max="4377" width="21" style="18" customWidth="1"/>
    <col min="4378" max="4381" width="13.42578125" style="18" customWidth="1"/>
    <col min="4382" max="4383" width="19" style="18" customWidth="1"/>
    <col min="4384" max="4384" width="34" style="18" customWidth="1"/>
    <col min="4385" max="4385" width="19" style="18" customWidth="1"/>
    <col min="4386" max="4386" width="20" style="18" bestFit="1" customWidth="1"/>
    <col min="4387" max="4387" width="20.28515625" style="18" bestFit="1" customWidth="1"/>
    <col min="4388" max="4388" width="26.7109375" style="18" customWidth="1"/>
    <col min="4389" max="4389" width="20.85546875" style="18" bestFit="1" customWidth="1"/>
    <col min="4390" max="4390" width="20.85546875" style="18" customWidth="1"/>
    <col min="4391" max="4391" width="18.85546875" style="18" customWidth="1"/>
    <col min="4392" max="4392" width="17.5703125" style="18" customWidth="1"/>
    <col min="4393" max="4394" width="19.42578125" style="18" customWidth="1"/>
    <col min="4395" max="4395" width="20.7109375" style="18" bestFit="1" customWidth="1"/>
    <col min="4396" max="4396" width="80.7109375" style="18" customWidth="1"/>
    <col min="4397" max="4397" width="14.7109375" style="18" bestFit="1" customWidth="1"/>
    <col min="4398" max="4398" width="18.140625" style="18" bestFit="1" customWidth="1"/>
    <col min="4399" max="4399" width="16.7109375" style="18" bestFit="1" customWidth="1"/>
    <col min="4400" max="4400" width="18.5703125" style="18" bestFit="1" customWidth="1"/>
    <col min="4401" max="4401" width="21.28515625" style="18" bestFit="1" customWidth="1"/>
    <col min="4402" max="4402" width="16.28515625" style="18" bestFit="1" customWidth="1"/>
    <col min="4403" max="4403" width="21.140625" style="18" bestFit="1" customWidth="1"/>
    <col min="4404" max="4404" width="19" style="18" bestFit="1" customWidth="1"/>
    <col min="4405" max="4405" width="19.140625" style="18" customWidth="1"/>
    <col min="4406" max="4406" width="16.7109375" style="18" customWidth="1"/>
    <col min="4407" max="4407" width="21.140625" style="18" bestFit="1" customWidth="1"/>
    <col min="4408" max="4408" width="20.42578125" style="18" bestFit="1" customWidth="1"/>
    <col min="4409" max="4409" width="21.140625" style="18" customWidth="1"/>
    <col min="4410" max="4410" width="20.5703125" style="18" bestFit="1" customWidth="1"/>
    <col min="4411" max="4411" width="19.7109375" style="18" bestFit="1" customWidth="1"/>
    <col min="4412" max="4412" width="20.28515625" style="18" customWidth="1"/>
    <col min="4413" max="4413" width="20.85546875" style="18" bestFit="1" customWidth="1"/>
    <col min="4414" max="4414" width="19.5703125" style="18" bestFit="1" customWidth="1"/>
    <col min="4415" max="4415" width="18" style="18" customWidth="1"/>
    <col min="4416" max="4416" width="20" style="18" bestFit="1" customWidth="1"/>
    <col min="4417" max="4417" width="35.7109375" style="18" customWidth="1"/>
    <col min="4418" max="4418" width="21.140625" style="18" bestFit="1" customWidth="1"/>
    <col min="4419" max="4419" width="20.5703125" style="18" bestFit="1" customWidth="1"/>
    <col min="4420" max="4420" width="19.42578125" style="18" bestFit="1" customWidth="1"/>
    <col min="4421" max="4421" width="18.5703125" style="18" bestFit="1" customWidth="1"/>
    <col min="4422" max="4422" width="20.5703125" style="18" bestFit="1" customWidth="1"/>
    <col min="4423" max="4423" width="21.28515625" style="18" bestFit="1" customWidth="1"/>
    <col min="4424" max="4424" width="15.42578125" style="18" customWidth="1"/>
    <col min="4425" max="4425" width="20.7109375" style="18" customWidth="1"/>
    <col min="4426" max="4426" width="21.28515625" style="18" customWidth="1"/>
    <col min="4427" max="4427" width="14.85546875" style="18" bestFit="1" customWidth="1"/>
    <col min="4428" max="4428" width="23" style="18" bestFit="1" customWidth="1"/>
    <col min="4429" max="4429" width="21.28515625" style="18" bestFit="1" customWidth="1"/>
    <col min="4430" max="4430" width="20.28515625" style="18" bestFit="1" customWidth="1"/>
    <col min="4431" max="4431" width="21" style="18" bestFit="1" customWidth="1"/>
    <col min="4432" max="4432" width="18.85546875" style="18" bestFit="1" customWidth="1"/>
    <col min="4433" max="4433" width="80.7109375" style="18" customWidth="1"/>
    <col min="4434" max="4621" width="9.140625" style="18"/>
    <col min="4622" max="4622" width="2.5703125" style="18" customWidth="1"/>
    <col min="4623" max="4623" width="17.85546875" style="18" customWidth="1"/>
    <col min="4624" max="4624" width="41.5703125" style="18" customWidth="1"/>
    <col min="4625" max="4626" width="12" style="18" customWidth="1"/>
    <col min="4627" max="4627" width="17" style="18" customWidth="1"/>
    <col min="4628" max="4628" width="9.7109375" style="18" customWidth="1"/>
    <col min="4629" max="4629" width="12.28515625" style="18" customWidth="1"/>
    <col min="4630" max="4630" width="13.7109375" style="18" customWidth="1"/>
    <col min="4631" max="4631" width="13.5703125" style="18" bestFit="1" customWidth="1"/>
    <col min="4632" max="4632" width="13.5703125" style="18" customWidth="1"/>
    <col min="4633" max="4633" width="21" style="18" customWidth="1"/>
    <col min="4634" max="4637" width="13.42578125" style="18" customWidth="1"/>
    <col min="4638" max="4639" width="19" style="18" customWidth="1"/>
    <col min="4640" max="4640" width="34" style="18" customWidth="1"/>
    <col min="4641" max="4641" width="19" style="18" customWidth="1"/>
    <col min="4642" max="4642" width="20" style="18" bestFit="1" customWidth="1"/>
    <col min="4643" max="4643" width="20.28515625" style="18" bestFit="1" customWidth="1"/>
    <col min="4644" max="4644" width="26.7109375" style="18" customWidth="1"/>
    <col min="4645" max="4645" width="20.85546875" style="18" bestFit="1" customWidth="1"/>
    <col min="4646" max="4646" width="20.85546875" style="18" customWidth="1"/>
    <col min="4647" max="4647" width="18.85546875" style="18" customWidth="1"/>
    <col min="4648" max="4648" width="17.5703125" style="18" customWidth="1"/>
    <col min="4649" max="4650" width="19.42578125" style="18" customWidth="1"/>
    <col min="4651" max="4651" width="20.7109375" style="18" bestFit="1" customWidth="1"/>
    <col min="4652" max="4652" width="80.7109375" style="18" customWidth="1"/>
    <col min="4653" max="4653" width="14.7109375" style="18" bestFit="1" customWidth="1"/>
    <col min="4654" max="4654" width="18.140625" style="18" bestFit="1" customWidth="1"/>
    <col min="4655" max="4655" width="16.7109375" style="18" bestFit="1" customWidth="1"/>
    <col min="4656" max="4656" width="18.5703125" style="18" bestFit="1" customWidth="1"/>
    <col min="4657" max="4657" width="21.28515625" style="18" bestFit="1" customWidth="1"/>
    <col min="4658" max="4658" width="16.28515625" style="18" bestFit="1" customWidth="1"/>
    <col min="4659" max="4659" width="21.140625" style="18" bestFit="1" customWidth="1"/>
    <col min="4660" max="4660" width="19" style="18" bestFit="1" customWidth="1"/>
    <col min="4661" max="4661" width="19.140625" style="18" customWidth="1"/>
    <col min="4662" max="4662" width="16.7109375" style="18" customWidth="1"/>
    <col min="4663" max="4663" width="21.140625" style="18" bestFit="1" customWidth="1"/>
    <col min="4664" max="4664" width="20.42578125" style="18" bestFit="1" customWidth="1"/>
    <col min="4665" max="4665" width="21.140625" style="18" customWidth="1"/>
    <col min="4666" max="4666" width="20.5703125" style="18" bestFit="1" customWidth="1"/>
    <col min="4667" max="4667" width="19.7109375" style="18" bestFit="1" customWidth="1"/>
    <col min="4668" max="4668" width="20.28515625" style="18" customWidth="1"/>
    <col min="4669" max="4669" width="20.85546875" style="18" bestFit="1" customWidth="1"/>
    <col min="4670" max="4670" width="19.5703125" style="18" bestFit="1" customWidth="1"/>
    <col min="4671" max="4671" width="18" style="18" customWidth="1"/>
    <col min="4672" max="4672" width="20" style="18" bestFit="1" customWidth="1"/>
    <col min="4673" max="4673" width="35.7109375" style="18" customWidth="1"/>
    <col min="4674" max="4674" width="21.140625" style="18" bestFit="1" customWidth="1"/>
    <col min="4675" max="4675" width="20.5703125" style="18" bestFit="1" customWidth="1"/>
    <col min="4676" max="4676" width="19.42578125" style="18" bestFit="1" customWidth="1"/>
    <col min="4677" max="4677" width="18.5703125" style="18" bestFit="1" customWidth="1"/>
    <col min="4678" max="4678" width="20.5703125" style="18" bestFit="1" customWidth="1"/>
    <col min="4679" max="4679" width="21.28515625" style="18" bestFit="1" customWidth="1"/>
    <col min="4680" max="4680" width="15.42578125" style="18" customWidth="1"/>
    <col min="4681" max="4681" width="20.7109375" style="18" customWidth="1"/>
    <col min="4682" max="4682" width="21.28515625" style="18" customWidth="1"/>
    <col min="4683" max="4683" width="14.85546875" style="18" bestFit="1" customWidth="1"/>
    <col min="4684" max="4684" width="23" style="18" bestFit="1" customWidth="1"/>
    <col min="4685" max="4685" width="21.28515625" style="18" bestFit="1" customWidth="1"/>
    <col min="4686" max="4686" width="20.28515625" style="18" bestFit="1" customWidth="1"/>
    <col min="4687" max="4687" width="21" style="18" bestFit="1" customWidth="1"/>
    <col min="4688" max="4688" width="18.85546875" style="18" bestFit="1" customWidth="1"/>
    <col min="4689" max="4689" width="80.7109375" style="18" customWidth="1"/>
    <col min="4690" max="4877" width="9.140625" style="18"/>
    <col min="4878" max="4878" width="2.5703125" style="18" customWidth="1"/>
    <col min="4879" max="4879" width="17.85546875" style="18" customWidth="1"/>
    <col min="4880" max="4880" width="41.5703125" style="18" customWidth="1"/>
    <col min="4881" max="4882" width="12" style="18" customWidth="1"/>
    <col min="4883" max="4883" width="17" style="18" customWidth="1"/>
    <col min="4884" max="4884" width="9.7109375" style="18" customWidth="1"/>
    <col min="4885" max="4885" width="12.28515625" style="18" customWidth="1"/>
    <col min="4886" max="4886" width="13.7109375" style="18" customWidth="1"/>
    <col min="4887" max="4887" width="13.5703125" style="18" bestFit="1" customWidth="1"/>
    <col min="4888" max="4888" width="13.5703125" style="18" customWidth="1"/>
    <col min="4889" max="4889" width="21" style="18" customWidth="1"/>
    <col min="4890" max="4893" width="13.42578125" style="18" customWidth="1"/>
    <col min="4894" max="4895" width="19" style="18" customWidth="1"/>
    <col min="4896" max="4896" width="34" style="18" customWidth="1"/>
    <col min="4897" max="4897" width="19" style="18" customWidth="1"/>
    <col min="4898" max="4898" width="20" style="18" bestFit="1" customWidth="1"/>
    <col min="4899" max="4899" width="20.28515625" style="18" bestFit="1" customWidth="1"/>
    <col min="4900" max="4900" width="26.7109375" style="18" customWidth="1"/>
    <col min="4901" max="4901" width="20.85546875" style="18" bestFit="1" customWidth="1"/>
    <col min="4902" max="4902" width="20.85546875" style="18" customWidth="1"/>
    <col min="4903" max="4903" width="18.85546875" style="18" customWidth="1"/>
    <col min="4904" max="4904" width="17.5703125" style="18" customWidth="1"/>
    <col min="4905" max="4906" width="19.42578125" style="18" customWidth="1"/>
    <col min="4907" max="4907" width="20.7109375" style="18" bestFit="1" customWidth="1"/>
    <col min="4908" max="4908" width="80.7109375" style="18" customWidth="1"/>
    <col min="4909" max="4909" width="14.7109375" style="18" bestFit="1" customWidth="1"/>
    <col min="4910" max="4910" width="18.140625" style="18" bestFit="1" customWidth="1"/>
    <col min="4911" max="4911" width="16.7109375" style="18" bestFit="1" customWidth="1"/>
    <col min="4912" max="4912" width="18.5703125" style="18" bestFit="1" customWidth="1"/>
    <col min="4913" max="4913" width="21.28515625" style="18" bestFit="1" customWidth="1"/>
    <col min="4914" max="4914" width="16.28515625" style="18" bestFit="1" customWidth="1"/>
    <col min="4915" max="4915" width="21.140625" style="18" bestFit="1" customWidth="1"/>
    <col min="4916" max="4916" width="19" style="18" bestFit="1" customWidth="1"/>
    <col min="4917" max="4917" width="19.140625" style="18" customWidth="1"/>
    <col min="4918" max="4918" width="16.7109375" style="18" customWidth="1"/>
    <col min="4919" max="4919" width="21.140625" style="18" bestFit="1" customWidth="1"/>
    <col min="4920" max="4920" width="20.42578125" style="18" bestFit="1" customWidth="1"/>
    <col min="4921" max="4921" width="21.140625" style="18" customWidth="1"/>
    <col min="4922" max="4922" width="20.5703125" style="18" bestFit="1" customWidth="1"/>
    <col min="4923" max="4923" width="19.7109375" style="18" bestFit="1" customWidth="1"/>
    <col min="4924" max="4924" width="20.28515625" style="18" customWidth="1"/>
    <col min="4925" max="4925" width="20.85546875" style="18" bestFit="1" customWidth="1"/>
    <col min="4926" max="4926" width="19.5703125" style="18" bestFit="1" customWidth="1"/>
    <col min="4927" max="4927" width="18" style="18" customWidth="1"/>
    <col min="4928" max="4928" width="20" style="18" bestFit="1" customWidth="1"/>
    <col min="4929" max="4929" width="35.7109375" style="18" customWidth="1"/>
    <col min="4930" max="4930" width="21.140625" style="18" bestFit="1" customWidth="1"/>
    <col min="4931" max="4931" width="20.5703125" style="18" bestFit="1" customWidth="1"/>
    <col min="4932" max="4932" width="19.42578125" style="18" bestFit="1" customWidth="1"/>
    <col min="4933" max="4933" width="18.5703125" style="18" bestFit="1" customWidth="1"/>
    <col min="4934" max="4934" width="20.5703125" style="18" bestFit="1" customWidth="1"/>
    <col min="4935" max="4935" width="21.28515625" style="18" bestFit="1" customWidth="1"/>
    <col min="4936" max="4936" width="15.42578125" style="18" customWidth="1"/>
    <col min="4937" max="4937" width="20.7109375" style="18" customWidth="1"/>
    <col min="4938" max="4938" width="21.28515625" style="18" customWidth="1"/>
    <col min="4939" max="4939" width="14.85546875" style="18" bestFit="1" customWidth="1"/>
    <col min="4940" max="4940" width="23" style="18" bestFit="1" customWidth="1"/>
    <col min="4941" max="4941" width="21.28515625" style="18" bestFit="1" customWidth="1"/>
    <col min="4942" max="4942" width="20.28515625" style="18" bestFit="1" customWidth="1"/>
    <col min="4943" max="4943" width="21" style="18" bestFit="1" customWidth="1"/>
    <col min="4944" max="4944" width="18.85546875" style="18" bestFit="1" customWidth="1"/>
    <col min="4945" max="4945" width="80.7109375" style="18" customWidth="1"/>
    <col min="4946" max="5133" width="9.140625" style="18"/>
    <col min="5134" max="5134" width="2.5703125" style="18" customWidth="1"/>
    <col min="5135" max="5135" width="17.85546875" style="18" customWidth="1"/>
    <col min="5136" max="5136" width="41.5703125" style="18" customWidth="1"/>
    <col min="5137" max="5138" width="12" style="18" customWidth="1"/>
    <col min="5139" max="5139" width="17" style="18" customWidth="1"/>
    <col min="5140" max="5140" width="9.7109375" style="18" customWidth="1"/>
    <col min="5141" max="5141" width="12.28515625" style="18" customWidth="1"/>
    <col min="5142" max="5142" width="13.7109375" style="18" customWidth="1"/>
    <col min="5143" max="5143" width="13.5703125" style="18" bestFit="1" customWidth="1"/>
    <col min="5144" max="5144" width="13.5703125" style="18" customWidth="1"/>
    <col min="5145" max="5145" width="21" style="18" customWidth="1"/>
    <col min="5146" max="5149" width="13.42578125" style="18" customWidth="1"/>
    <col min="5150" max="5151" width="19" style="18" customWidth="1"/>
    <col min="5152" max="5152" width="34" style="18" customWidth="1"/>
    <col min="5153" max="5153" width="19" style="18" customWidth="1"/>
    <col min="5154" max="5154" width="20" style="18" bestFit="1" customWidth="1"/>
    <col min="5155" max="5155" width="20.28515625" style="18" bestFit="1" customWidth="1"/>
    <col min="5156" max="5156" width="26.7109375" style="18" customWidth="1"/>
    <col min="5157" max="5157" width="20.85546875" style="18" bestFit="1" customWidth="1"/>
    <col min="5158" max="5158" width="20.85546875" style="18" customWidth="1"/>
    <col min="5159" max="5159" width="18.85546875" style="18" customWidth="1"/>
    <col min="5160" max="5160" width="17.5703125" style="18" customWidth="1"/>
    <col min="5161" max="5162" width="19.42578125" style="18" customWidth="1"/>
    <col min="5163" max="5163" width="20.7109375" style="18" bestFit="1" customWidth="1"/>
    <col min="5164" max="5164" width="80.7109375" style="18" customWidth="1"/>
    <col min="5165" max="5165" width="14.7109375" style="18" bestFit="1" customWidth="1"/>
    <col min="5166" max="5166" width="18.140625" style="18" bestFit="1" customWidth="1"/>
    <col min="5167" max="5167" width="16.7109375" style="18" bestFit="1" customWidth="1"/>
    <col min="5168" max="5168" width="18.5703125" style="18" bestFit="1" customWidth="1"/>
    <col min="5169" max="5169" width="21.28515625" style="18" bestFit="1" customWidth="1"/>
    <col min="5170" max="5170" width="16.28515625" style="18" bestFit="1" customWidth="1"/>
    <col min="5171" max="5171" width="21.140625" style="18" bestFit="1" customWidth="1"/>
    <col min="5172" max="5172" width="19" style="18" bestFit="1" customWidth="1"/>
    <col min="5173" max="5173" width="19.140625" style="18" customWidth="1"/>
    <col min="5174" max="5174" width="16.7109375" style="18" customWidth="1"/>
    <col min="5175" max="5175" width="21.140625" style="18" bestFit="1" customWidth="1"/>
    <col min="5176" max="5176" width="20.42578125" style="18" bestFit="1" customWidth="1"/>
    <col min="5177" max="5177" width="21.140625" style="18" customWidth="1"/>
    <col min="5178" max="5178" width="20.5703125" style="18" bestFit="1" customWidth="1"/>
    <col min="5179" max="5179" width="19.7109375" style="18" bestFit="1" customWidth="1"/>
    <col min="5180" max="5180" width="20.28515625" style="18" customWidth="1"/>
    <col min="5181" max="5181" width="20.85546875" style="18" bestFit="1" customWidth="1"/>
    <col min="5182" max="5182" width="19.5703125" style="18" bestFit="1" customWidth="1"/>
    <col min="5183" max="5183" width="18" style="18" customWidth="1"/>
    <col min="5184" max="5184" width="20" style="18" bestFit="1" customWidth="1"/>
    <col min="5185" max="5185" width="35.7109375" style="18" customWidth="1"/>
    <col min="5186" max="5186" width="21.140625" style="18" bestFit="1" customWidth="1"/>
    <col min="5187" max="5187" width="20.5703125" style="18" bestFit="1" customWidth="1"/>
    <col min="5188" max="5188" width="19.42578125" style="18" bestFit="1" customWidth="1"/>
    <col min="5189" max="5189" width="18.5703125" style="18" bestFit="1" customWidth="1"/>
    <col min="5190" max="5190" width="20.5703125" style="18" bestFit="1" customWidth="1"/>
    <col min="5191" max="5191" width="21.28515625" style="18" bestFit="1" customWidth="1"/>
    <col min="5192" max="5192" width="15.42578125" style="18" customWidth="1"/>
    <col min="5193" max="5193" width="20.7109375" style="18" customWidth="1"/>
    <col min="5194" max="5194" width="21.28515625" style="18" customWidth="1"/>
    <col min="5195" max="5195" width="14.85546875" style="18" bestFit="1" customWidth="1"/>
    <col min="5196" max="5196" width="23" style="18" bestFit="1" customWidth="1"/>
    <col min="5197" max="5197" width="21.28515625" style="18" bestFit="1" customWidth="1"/>
    <col min="5198" max="5198" width="20.28515625" style="18" bestFit="1" customWidth="1"/>
    <col min="5199" max="5199" width="21" style="18" bestFit="1" customWidth="1"/>
    <col min="5200" max="5200" width="18.85546875" style="18" bestFit="1" customWidth="1"/>
    <col min="5201" max="5201" width="80.7109375" style="18" customWidth="1"/>
    <col min="5202" max="5389" width="9.140625" style="18"/>
    <col min="5390" max="5390" width="2.5703125" style="18" customWidth="1"/>
    <col min="5391" max="5391" width="17.85546875" style="18" customWidth="1"/>
    <col min="5392" max="5392" width="41.5703125" style="18" customWidth="1"/>
    <col min="5393" max="5394" width="12" style="18" customWidth="1"/>
    <col min="5395" max="5395" width="17" style="18" customWidth="1"/>
    <col min="5396" max="5396" width="9.7109375" style="18" customWidth="1"/>
    <col min="5397" max="5397" width="12.28515625" style="18" customWidth="1"/>
    <col min="5398" max="5398" width="13.7109375" style="18" customWidth="1"/>
    <col min="5399" max="5399" width="13.5703125" style="18" bestFit="1" customWidth="1"/>
    <col min="5400" max="5400" width="13.5703125" style="18" customWidth="1"/>
    <col min="5401" max="5401" width="21" style="18" customWidth="1"/>
    <col min="5402" max="5405" width="13.42578125" style="18" customWidth="1"/>
    <col min="5406" max="5407" width="19" style="18" customWidth="1"/>
    <col min="5408" max="5408" width="34" style="18" customWidth="1"/>
    <col min="5409" max="5409" width="19" style="18" customWidth="1"/>
    <col min="5410" max="5410" width="20" style="18" bestFit="1" customWidth="1"/>
    <col min="5411" max="5411" width="20.28515625" style="18" bestFit="1" customWidth="1"/>
    <col min="5412" max="5412" width="26.7109375" style="18" customWidth="1"/>
    <col min="5413" max="5413" width="20.85546875" style="18" bestFit="1" customWidth="1"/>
    <col min="5414" max="5414" width="20.85546875" style="18" customWidth="1"/>
    <col min="5415" max="5415" width="18.85546875" style="18" customWidth="1"/>
    <col min="5416" max="5416" width="17.5703125" style="18" customWidth="1"/>
    <col min="5417" max="5418" width="19.42578125" style="18" customWidth="1"/>
    <col min="5419" max="5419" width="20.7109375" style="18" bestFit="1" customWidth="1"/>
    <col min="5420" max="5420" width="80.7109375" style="18" customWidth="1"/>
    <col min="5421" max="5421" width="14.7109375" style="18" bestFit="1" customWidth="1"/>
    <col min="5422" max="5422" width="18.140625" style="18" bestFit="1" customWidth="1"/>
    <col min="5423" max="5423" width="16.7109375" style="18" bestFit="1" customWidth="1"/>
    <col min="5424" max="5424" width="18.5703125" style="18" bestFit="1" customWidth="1"/>
    <col min="5425" max="5425" width="21.28515625" style="18" bestFit="1" customWidth="1"/>
    <col min="5426" max="5426" width="16.28515625" style="18" bestFit="1" customWidth="1"/>
    <col min="5427" max="5427" width="21.140625" style="18" bestFit="1" customWidth="1"/>
    <col min="5428" max="5428" width="19" style="18" bestFit="1" customWidth="1"/>
    <col min="5429" max="5429" width="19.140625" style="18" customWidth="1"/>
    <col min="5430" max="5430" width="16.7109375" style="18" customWidth="1"/>
    <col min="5431" max="5431" width="21.140625" style="18" bestFit="1" customWidth="1"/>
    <col min="5432" max="5432" width="20.42578125" style="18" bestFit="1" customWidth="1"/>
    <col min="5433" max="5433" width="21.140625" style="18" customWidth="1"/>
    <col min="5434" max="5434" width="20.5703125" style="18" bestFit="1" customWidth="1"/>
    <col min="5435" max="5435" width="19.7109375" style="18" bestFit="1" customWidth="1"/>
    <col min="5436" max="5436" width="20.28515625" style="18" customWidth="1"/>
    <col min="5437" max="5437" width="20.85546875" style="18" bestFit="1" customWidth="1"/>
    <col min="5438" max="5438" width="19.5703125" style="18" bestFit="1" customWidth="1"/>
    <col min="5439" max="5439" width="18" style="18" customWidth="1"/>
    <col min="5440" max="5440" width="20" style="18" bestFit="1" customWidth="1"/>
    <col min="5441" max="5441" width="35.7109375" style="18" customWidth="1"/>
    <col min="5442" max="5442" width="21.140625" style="18" bestFit="1" customWidth="1"/>
    <col min="5443" max="5443" width="20.5703125" style="18" bestFit="1" customWidth="1"/>
    <col min="5444" max="5444" width="19.42578125" style="18" bestFit="1" customWidth="1"/>
    <col min="5445" max="5445" width="18.5703125" style="18" bestFit="1" customWidth="1"/>
    <col min="5446" max="5446" width="20.5703125" style="18" bestFit="1" customWidth="1"/>
    <col min="5447" max="5447" width="21.28515625" style="18" bestFit="1" customWidth="1"/>
    <col min="5448" max="5448" width="15.42578125" style="18" customWidth="1"/>
    <col min="5449" max="5449" width="20.7109375" style="18" customWidth="1"/>
    <col min="5450" max="5450" width="21.28515625" style="18" customWidth="1"/>
    <col min="5451" max="5451" width="14.85546875" style="18" bestFit="1" customWidth="1"/>
    <col min="5452" max="5452" width="23" style="18" bestFit="1" customWidth="1"/>
    <col min="5453" max="5453" width="21.28515625" style="18" bestFit="1" customWidth="1"/>
    <col min="5454" max="5454" width="20.28515625" style="18" bestFit="1" customWidth="1"/>
    <col min="5455" max="5455" width="21" style="18" bestFit="1" customWidth="1"/>
    <col min="5456" max="5456" width="18.85546875" style="18" bestFit="1" customWidth="1"/>
    <col min="5457" max="5457" width="80.7109375" style="18" customWidth="1"/>
    <col min="5458" max="5645" width="9.140625" style="18"/>
    <col min="5646" max="5646" width="2.5703125" style="18" customWidth="1"/>
    <col min="5647" max="5647" width="17.85546875" style="18" customWidth="1"/>
    <col min="5648" max="5648" width="41.5703125" style="18" customWidth="1"/>
    <col min="5649" max="5650" width="12" style="18" customWidth="1"/>
    <col min="5651" max="5651" width="17" style="18" customWidth="1"/>
    <col min="5652" max="5652" width="9.7109375" style="18" customWidth="1"/>
    <col min="5653" max="5653" width="12.28515625" style="18" customWidth="1"/>
    <col min="5654" max="5654" width="13.7109375" style="18" customWidth="1"/>
    <col min="5655" max="5655" width="13.5703125" style="18" bestFit="1" customWidth="1"/>
    <col min="5656" max="5656" width="13.5703125" style="18" customWidth="1"/>
    <col min="5657" max="5657" width="21" style="18" customWidth="1"/>
    <col min="5658" max="5661" width="13.42578125" style="18" customWidth="1"/>
    <col min="5662" max="5663" width="19" style="18" customWidth="1"/>
    <col min="5664" max="5664" width="34" style="18" customWidth="1"/>
    <col min="5665" max="5665" width="19" style="18" customWidth="1"/>
    <col min="5666" max="5666" width="20" style="18" bestFit="1" customWidth="1"/>
    <col min="5667" max="5667" width="20.28515625" style="18" bestFit="1" customWidth="1"/>
    <col min="5668" max="5668" width="26.7109375" style="18" customWidth="1"/>
    <col min="5669" max="5669" width="20.85546875" style="18" bestFit="1" customWidth="1"/>
    <col min="5670" max="5670" width="20.85546875" style="18" customWidth="1"/>
    <col min="5671" max="5671" width="18.85546875" style="18" customWidth="1"/>
    <col min="5672" max="5672" width="17.5703125" style="18" customWidth="1"/>
    <col min="5673" max="5674" width="19.42578125" style="18" customWidth="1"/>
    <col min="5675" max="5675" width="20.7109375" style="18" bestFit="1" customWidth="1"/>
    <col min="5676" max="5676" width="80.7109375" style="18" customWidth="1"/>
    <col min="5677" max="5677" width="14.7109375" style="18" bestFit="1" customWidth="1"/>
    <col min="5678" max="5678" width="18.140625" style="18" bestFit="1" customWidth="1"/>
    <col min="5679" max="5679" width="16.7109375" style="18" bestFit="1" customWidth="1"/>
    <col min="5680" max="5680" width="18.5703125" style="18" bestFit="1" customWidth="1"/>
    <col min="5681" max="5681" width="21.28515625" style="18" bestFit="1" customWidth="1"/>
    <col min="5682" max="5682" width="16.28515625" style="18" bestFit="1" customWidth="1"/>
    <col min="5683" max="5683" width="21.140625" style="18" bestFit="1" customWidth="1"/>
    <col min="5684" max="5684" width="19" style="18" bestFit="1" customWidth="1"/>
    <col min="5685" max="5685" width="19.140625" style="18" customWidth="1"/>
    <col min="5686" max="5686" width="16.7109375" style="18" customWidth="1"/>
    <col min="5687" max="5687" width="21.140625" style="18" bestFit="1" customWidth="1"/>
    <col min="5688" max="5688" width="20.42578125" style="18" bestFit="1" customWidth="1"/>
    <col min="5689" max="5689" width="21.140625" style="18" customWidth="1"/>
    <col min="5690" max="5690" width="20.5703125" style="18" bestFit="1" customWidth="1"/>
    <col min="5691" max="5691" width="19.7109375" style="18" bestFit="1" customWidth="1"/>
    <col min="5692" max="5692" width="20.28515625" style="18" customWidth="1"/>
    <col min="5693" max="5693" width="20.85546875" style="18" bestFit="1" customWidth="1"/>
    <col min="5694" max="5694" width="19.5703125" style="18" bestFit="1" customWidth="1"/>
    <col min="5695" max="5695" width="18" style="18" customWidth="1"/>
    <col min="5696" max="5696" width="20" style="18" bestFit="1" customWidth="1"/>
    <col min="5697" max="5697" width="35.7109375" style="18" customWidth="1"/>
    <col min="5698" max="5698" width="21.140625" style="18" bestFit="1" customWidth="1"/>
    <col min="5699" max="5699" width="20.5703125" style="18" bestFit="1" customWidth="1"/>
    <col min="5700" max="5700" width="19.42578125" style="18" bestFit="1" customWidth="1"/>
    <col min="5701" max="5701" width="18.5703125" style="18" bestFit="1" customWidth="1"/>
    <col min="5702" max="5702" width="20.5703125" style="18" bestFit="1" customWidth="1"/>
    <col min="5703" max="5703" width="21.28515625" style="18" bestFit="1" customWidth="1"/>
    <col min="5704" max="5704" width="15.42578125" style="18" customWidth="1"/>
    <col min="5705" max="5705" width="20.7109375" style="18" customWidth="1"/>
    <col min="5706" max="5706" width="21.28515625" style="18" customWidth="1"/>
    <col min="5707" max="5707" width="14.85546875" style="18" bestFit="1" customWidth="1"/>
    <col min="5708" max="5708" width="23" style="18" bestFit="1" customWidth="1"/>
    <col min="5709" max="5709" width="21.28515625" style="18" bestFit="1" customWidth="1"/>
    <col min="5710" max="5710" width="20.28515625" style="18" bestFit="1" customWidth="1"/>
    <col min="5711" max="5711" width="21" style="18" bestFit="1" customWidth="1"/>
    <col min="5712" max="5712" width="18.85546875" style="18" bestFit="1" customWidth="1"/>
    <col min="5713" max="5713" width="80.7109375" style="18" customWidth="1"/>
    <col min="5714" max="5901" width="9.140625" style="18"/>
    <col min="5902" max="5902" width="2.5703125" style="18" customWidth="1"/>
    <col min="5903" max="5903" width="17.85546875" style="18" customWidth="1"/>
    <col min="5904" max="5904" width="41.5703125" style="18" customWidth="1"/>
    <col min="5905" max="5906" width="12" style="18" customWidth="1"/>
    <col min="5907" max="5907" width="17" style="18" customWidth="1"/>
    <col min="5908" max="5908" width="9.7109375" style="18" customWidth="1"/>
    <col min="5909" max="5909" width="12.28515625" style="18" customWidth="1"/>
    <col min="5910" max="5910" width="13.7109375" style="18" customWidth="1"/>
    <col min="5911" max="5911" width="13.5703125" style="18" bestFit="1" customWidth="1"/>
    <col min="5912" max="5912" width="13.5703125" style="18" customWidth="1"/>
    <col min="5913" max="5913" width="21" style="18" customWidth="1"/>
    <col min="5914" max="5917" width="13.42578125" style="18" customWidth="1"/>
    <col min="5918" max="5919" width="19" style="18" customWidth="1"/>
    <col min="5920" max="5920" width="34" style="18" customWidth="1"/>
    <col min="5921" max="5921" width="19" style="18" customWidth="1"/>
    <col min="5922" max="5922" width="20" style="18" bestFit="1" customWidth="1"/>
    <col min="5923" max="5923" width="20.28515625" style="18" bestFit="1" customWidth="1"/>
    <col min="5924" max="5924" width="26.7109375" style="18" customWidth="1"/>
    <col min="5925" max="5925" width="20.85546875" style="18" bestFit="1" customWidth="1"/>
    <col min="5926" max="5926" width="20.85546875" style="18" customWidth="1"/>
    <col min="5927" max="5927" width="18.85546875" style="18" customWidth="1"/>
    <col min="5928" max="5928" width="17.5703125" style="18" customWidth="1"/>
    <col min="5929" max="5930" width="19.42578125" style="18" customWidth="1"/>
    <col min="5931" max="5931" width="20.7109375" style="18" bestFit="1" customWidth="1"/>
    <col min="5932" max="5932" width="80.7109375" style="18" customWidth="1"/>
    <col min="5933" max="5933" width="14.7109375" style="18" bestFit="1" customWidth="1"/>
    <col min="5934" max="5934" width="18.140625" style="18" bestFit="1" customWidth="1"/>
    <col min="5935" max="5935" width="16.7109375" style="18" bestFit="1" customWidth="1"/>
    <col min="5936" max="5936" width="18.5703125" style="18" bestFit="1" customWidth="1"/>
    <col min="5937" max="5937" width="21.28515625" style="18" bestFit="1" customWidth="1"/>
    <col min="5938" max="5938" width="16.28515625" style="18" bestFit="1" customWidth="1"/>
    <col min="5939" max="5939" width="21.140625" style="18" bestFit="1" customWidth="1"/>
    <col min="5940" max="5940" width="19" style="18" bestFit="1" customWidth="1"/>
    <col min="5941" max="5941" width="19.140625" style="18" customWidth="1"/>
    <col min="5942" max="5942" width="16.7109375" style="18" customWidth="1"/>
    <col min="5943" max="5943" width="21.140625" style="18" bestFit="1" customWidth="1"/>
    <col min="5944" max="5944" width="20.42578125" style="18" bestFit="1" customWidth="1"/>
    <col min="5945" max="5945" width="21.140625" style="18" customWidth="1"/>
    <col min="5946" max="5946" width="20.5703125" style="18" bestFit="1" customWidth="1"/>
    <col min="5947" max="5947" width="19.7109375" style="18" bestFit="1" customWidth="1"/>
    <col min="5948" max="5948" width="20.28515625" style="18" customWidth="1"/>
    <col min="5949" max="5949" width="20.85546875" style="18" bestFit="1" customWidth="1"/>
    <col min="5950" max="5950" width="19.5703125" style="18" bestFit="1" customWidth="1"/>
    <col min="5951" max="5951" width="18" style="18" customWidth="1"/>
    <col min="5952" max="5952" width="20" style="18" bestFit="1" customWidth="1"/>
    <col min="5953" max="5953" width="35.7109375" style="18" customWidth="1"/>
    <col min="5954" max="5954" width="21.140625" style="18" bestFit="1" customWidth="1"/>
    <col min="5955" max="5955" width="20.5703125" style="18" bestFit="1" customWidth="1"/>
    <col min="5956" max="5956" width="19.42578125" style="18" bestFit="1" customWidth="1"/>
    <col min="5957" max="5957" width="18.5703125" style="18" bestFit="1" customWidth="1"/>
    <col min="5958" max="5958" width="20.5703125" style="18" bestFit="1" customWidth="1"/>
    <col min="5959" max="5959" width="21.28515625" style="18" bestFit="1" customWidth="1"/>
    <col min="5960" max="5960" width="15.42578125" style="18" customWidth="1"/>
    <col min="5961" max="5961" width="20.7109375" style="18" customWidth="1"/>
    <col min="5962" max="5962" width="21.28515625" style="18" customWidth="1"/>
    <col min="5963" max="5963" width="14.85546875" style="18" bestFit="1" customWidth="1"/>
    <col min="5964" max="5964" width="23" style="18" bestFit="1" customWidth="1"/>
    <col min="5965" max="5965" width="21.28515625" style="18" bestFit="1" customWidth="1"/>
    <col min="5966" max="5966" width="20.28515625" style="18" bestFit="1" customWidth="1"/>
    <col min="5967" max="5967" width="21" style="18" bestFit="1" customWidth="1"/>
    <col min="5968" max="5968" width="18.85546875" style="18" bestFit="1" customWidth="1"/>
    <col min="5969" max="5969" width="80.7109375" style="18" customWidth="1"/>
    <col min="5970" max="6157" width="9.140625" style="18"/>
    <col min="6158" max="6158" width="2.5703125" style="18" customWidth="1"/>
    <col min="6159" max="6159" width="17.85546875" style="18" customWidth="1"/>
    <col min="6160" max="6160" width="41.5703125" style="18" customWidth="1"/>
    <col min="6161" max="6162" width="12" style="18" customWidth="1"/>
    <col min="6163" max="6163" width="17" style="18" customWidth="1"/>
    <col min="6164" max="6164" width="9.7109375" style="18" customWidth="1"/>
    <col min="6165" max="6165" width="12.28515625" style="18" customWidth="1"/>
    <col min="6166" max="6166" width="13.7109375" style="18" customWidth="1"/>
    <col min="6167" max="6167" width="13.5703125" style="18" bestFit="1" customWidth="1"/>
    <col min="6168" max="6168" width="13.5703125" style="18" customWidth="1"/>
    <col min="6169" max="6169" width="21" style="18" customWidth="1"/>
    <col min="6170" max="6173" width="13.42578125" style="18" customWidth="1"/>
    <col min="6174" max="6175" width="19" style="18" customWidth="1"/>
    <col min="6176" max="6176" width="34" style="18" customWidth="1"/>
    <col min="6177" max="6177" width="19" style="18" customWidth="1"/>
    <col min="6178" max="6178" width="20" style="18" bestFit="1" customWidth="1"/>
    <col min="6179" max="6179" width="20.28515625" style="18" bestFit="1" customWidth="1"/>
    <col min="6180" max="6180" width="26.7109375" style="18" customWidth="1"/>
    <col min="6181" max="6181" width="20.85546875" style="18" bestFit="1" customWidth="1"/>
    <col min="6182" max="6182" width="20.85546875" style="18" customWidth="1"/>
    <col min="6183" max="6183" width="18.85546875" style="18" customWidth="1"/>
    <col min="6184" max="6184" width="17.5703125" style="18" customWidth="1"/>
    <col min="6185" max="6186" width="19.42578125" style="18" customWidth="1"/>
    <col min="6187" max="6187" width="20.7109375" style="18" bestFit="1" customWidth="1"/>
    <col min="6188" max="6188" width="80.7109375" style="18" customWidth="1"/>
    <col min="6189" max="6189" width="14.7109375" style="18" bestFit="1" customWidth="1"/>
    <col min="6190" max="6190" width="18.140625" style="18" bestFit="1" customWidth="1"/>
    <col min="6191" max="6191" width="16.7109375" style="18" bestFit="1" customWidth="1"/>
    <col min="6192" max="6192" width="18.5703125" style="18" bestFit="1" customWidth="1"/>
    <col min="6193" max="6193" width="21.28515625" style="18" bestFit="1" customWidth="1"/>
    <col min="6194" max="6194" width="16.28515625" style="18" bestFit="1" customWidth="1"/>
    <col min="6195" max="6195" width="21.140625" style="18" bestFit="1" customWidth="1"/>
    <col min="6196" max="6196" width="19" style="18" bestFit="1" customWidth="1"/>
    <col min="6197" max="6197" width="19.140625" style="18" customWidth="1"/>
    <col min="6198" max="6198" width="16.7109375" style="18" customWidth="1"/>
    <col min="6199" max="6199" width="21.140625" style="18" bestFit="1" customWidth="1"/>
    <col min="6200" max="6200" width="20.42578125" style="18" bestFit="1" customWidth="1"/>
    <col min="6201" max="6201" width="21.140625" style="18" customWidth="1"/>
    <col min="6202" max="6202" width="20.5703125" style="18" bestFit="1" customWidth="1"/>
    <col min="6203" max="6203" width="19.7109375" style="18" bestFit="1" customWidth="1"/>
    <col min="6204" max="6204" width="20.28515625" style="18" customWidth="1"/>
    <col min="6205" max="6205" width="20.85546875" style="18" bestFit="1" customWidth="1"/>
    <col min="6206" max="6206" width="19.5703125" style="18" bestFit="1" customWidth="1"/>
    <col min="6207" max="6207" width="18" style="18" customWidth="1"/>
    <col min="6208" max="6208" width="20" style="18" bestFit="1" customWidth="1"/>
    <col min="6209" max="6209" width="35.7109375" style="18" customWidth="1"/>
    <col min="6210" max="6210" width="21.140625" style="18" bestFit="1" customWidth="1"/>
    <col min="6211" max="6211" width="20.5703125" style="18" bestFit="1" customWidth="1"/>
    <col min="6212" max="6212" width="19.42578125" style="18" bestFit="1" customWidth="1"/>
    <col min="6213" max="6213" width="18.5703125" style="18" bestFit="1" customWidth="1"/>
    <col min="6214" max="6214" width="20.5703125" style="18" bestFit="1" customWidth="1"/>
    <col min="6215" max="6215" width="21.28515625" style="18" bestFit="1" customWidth="1"/>
    <col min="6216" max="6216" width="15.42578125" style="18" customWidth="1"/>
    <col min="6217" max="6217" width="20.7109375" style="18" customWidth="1"/>
    <col min="6218" max="6218" width="21.28515625" style="18" customWidth="1"/>
    <col min="6219" max="6219" width="14.85546875" style="18" bestFit="1" customWidth="1"/>
    <col min="6220" max="6220" width="23" style="18" bestFit="1" customWidth="1"/>
    <col min="6221" max="6221" width="21.28515625" style="18" bestFit="1" customWidth="1"/>
    <col min="6222" max="6222" width="20.28515625" style="18" bestFit="1" customWidth="1"/>
    <col min="6223" max="6223" width="21" style="18" bestFit="1" customWidth="1"/>
    <col min="6224" max="6224" width="18.85546875" style="18" bestFit="1" customWidth="1"/>
    <col min="6225" max="6225" width="80.7109375" style="18" customWidth="1"/>
    <col min="6226" max="6413" width="9.140625" style="18"/>
    <col min="6414" max="6414" width="2.5703125" style="18" customWidth="1"/>
    <col min="6415" max="6415" width="17.85546875" style="18" customWidth="1"/>
    <col min="6416" max="6416" width="41.5703125" style="18" customWidth="1"/>
    <col min="6417" max="6418" width="12" style="18" customWidth="1"/>
    <col min="6419" max="6419" width="17" style="18" customWidth="1"/>
    <col min="6420" max="6420" width="9.7109375" style="18" customWidth="1"/>
    <col min="6421" max="6421" width="12.28515625" style="18" customWidth="1"/>
    <col min="6422" max="6422" width="13.7109375" style="18" customWidth="1"/>
    <col min="6423" max="6423" width="13.5703125" style="18" bestFit="1" customWidth="1"/>
    <col min="6424" max="6424" width="13.5703125" style="18" customWidth="1"/>
    <col min="6425" max="6425" width="21" style="18" customWidth="1"/>
    <col min="6426" max="6429" width="13.42578125" style="18" customWidth="1"/>
    <col min="6430" max="6431" width="19" style="18" customWidth="1"/>
    <col min="6432" max="6432" width="34" style="18" customWidth="1"/>
    <col min="6433" max="6433" width="19" style="18" customWidth="1"/>
    <col min="6434" max="6434" width="20" style="18" bestFit="1" customWidth="1"/>
    <col min="6435" max="6435" width="20.28515625" style="18" bestFit="1" customWidth="1"/>
    <col min="6436" max="6436" width="26.7109375" style="18" customWidth="1"/>
    <col min="6437" max="6437" width="20.85546875" style="18" bestFit="1" customWidth="1"/>
    <col min="6438" max="6438" width="20.85546875" style="18" customWidth="1"/>
    <col min="6439" max="6439" width="18.85546875" style="18" customWidth="1"/>
    <col min="6440" max="6440" width="17.5703125" style="18" customWidth="1"/>
    <col min="6441" max="6442" width="19.42578125" style="18" customWidth="1"/>
    <col min="6443" max="6443" width="20.7109375" style="18" bestFit="1" customWidth="1"/>
    <col min="6444" max="6444" width="80.7109375" style="18" customWidth="1"/>
    <col min="6445" max="6445" width="14.7109375" style="18" bestFit="1" customWidth="1"/>
    <col min="6446" max="6446" width="18.140625" style="18" bestFit="1" customWidth="1"/>
    <col min="6447" max="6447" width="16.7109375" style="18" bestFit="1" customWidth="1"/>
    <col min="6448" max="6448" width="18.5703125" style="18" bestFit="1" customWidth="1"/>
    <col min="6449" max="6449" width="21.28515625" style="18" bestFit="1" customWidth="1"/>
    <col min="6450" max="6450" width="16.28515625" style="18" bestFit="1" customWidth="1"/>
    <col min="6451" max="6451" width="21.140625" style="18" bestFit="1" customWidth="1"/>
    <col min="6452" max="6452" width="19" style="18" bestFit="1" customWidth="1"/>
    <col min="6453" max="6453" width="19.140625" style="18" customWidth="1"/>
    <col min="6454" max="6454" width="16.7109375" style="18" customWidth="1"/>
    <col min="6455" max="6455" width="21.140625" style="18" bestFit="1" customWidth="1"/>
    <col min="6456" max="6456" width="20.42578125" style="18" bestFit="1" customWidth="1"/>
    <col min="6457" max="6457" width="21.140625" style="18" customWidth="1"/>
    <col min="6458" max="6458" width="20.5703125" style="18" bestFit="1" customWidth="1"/>
    <col min="6459" max="6459" width="19.7109375" style="18" bestFit="1" customWidth="1"/>
    <col min="6460" max="6460" width="20.28515625" style="18" customWidth="1"/>
    <col min="6461" max="6461" width="20.85546875" style="18" bestFit="1" customWidth="1"/>
    <col min="6462" max="6462" width="19.5703125" style="18" bestFit="1" customWidth="1"/>
    <col min="6463" max="6463" width="18" style="18" customWidth="1"/>
    <col min="6464" max="6464" width="20" style="18" bestFit="1" customWidth="1"/>
    <col min="6465" max="6465" width="35.7109375" style="18" customWidth="1"/>
    <col min="6466" max="6466" width="21.140625" style="18" bestFit="1" customWidth="1"/>
    <col min="6467" max="6467" width="20.5703125" style="18" bestFit="1" customWidth="1"/>
    <col min="6468" max="6468" width="19.42578125" style="18" bestFit="1" customWidth="1"/>
    <col min="6469" max="6469" width="18.5703125" style="18" bestFit="1" customWidth="1"/>
    <col min="6470" max="6470" width="20.5703125" style="18" bestFit="1" customWidth="1"/>
    <col min="6471" max="6471" width="21.28515625" style="18" bestFit="1" customWidth="1"/>
    <col min="6472" max="6472" width="15.42578125" style="18" customWidth="1"/>
    <col min="6473" max="6473" width="20.7109375" style="18" customWidth="1"/>
    <col min="6474" max="6474" width="21.28515625" style="18" customWidth="1"/>
    <col min="6475" max="6475" width="14.85546875" style="18" bestFit="1" customWidth="1"/>
    <col min="6476" max="6476" width="23" style="18" bestFit="1" customWidth="1"/>
    <col min="6477" max="6477" width="21.28515625" style="18" bestFit="1" customWidth="1"/>
    <col min="6478" max="6478" width="20.28515625" style="18" bestFit="1" customWidth="1"/>
    <col min="6479" max="6479" width="21" style="18" bestFit="1" customWidth="1"/>
    <col min="6480" max="6480" width="18.85546875" style="18" bestFit="1" customWidth="1"/>
    <col min="6481" max="6481" width="80.7109375" style="18" customWidth="1"/>
    <col min="6482" max="6669" width="9.140625" style="18"/>
    <col min="6670" max="6670" width="2.5703125" style="18" customWidth="1"/>
    <col min="6671" max="6671" width="17.85546875" style="18" customWidth="1"/>
    <col min="6672" max="6672" width="41.5703125" style="18" customWidth="1"/>
    <col min="6673" max="6674" width="12" style="18" customWidth="1"/>
    <col min="6675" max="6675" width="17" style="18" customWidth="1"/>
    <col min="6676" max="6676" width="9.7109375" style="18" customWidth="1"/>
    <col min="6677" max="6677" width="12.28515625" style="18" customWidth="1"/>
    <col min="6678" max="6678" width="13.7109375" style="18" customWidth="1"/>
    <col min="6679" max="6679" width="13.5703125" style="18" bestFit="1" customWidth="1"/>
    <col min="6680" max="6680" width="13.5703125" style="18" customWidth="1"/>
    <col min="6681" max="6681" width="21" style="18" customWidth="1"/>
    <col min="6682" max="6685" width="13.42578125" style="18" customWidth="1"/>
    <col min="6686" max="6687" width="19" style="18" customWidth="1"/>
    <col min="6688" max="6688" width="34" style="18" customWidth="1"/>
    <col min="6689" max="6689" width="19" style="18" customWidth="1"/>
    <col min="6690" max="6690" width="20" style="18" bestFit="1" customWidth="1"/>
    <col min="6691" max="6691" width="20.28515625" style="18" bestFit="1" customWidth="1"/>
    <col min="6692" max="6692" width="26.7109375" style="18" customWidth="1"/>
    <col min="6693" max="6693" width="20.85546875" style="18" bestFit="1" customWidth="1"/>
    <col min="6694" max="6694" width="20.85546875" style="18" customWidth="1"/>
    <col min="6695" max="6695" width="18.85546875" style="18" customWidth="1"/>
    <col min="6696" max="6696" width="17.5703125" style="18" customWidth="1"/>
    <col min="6697" max="6698" width="19.42578125" style="18" customWidth="1"/>
    <col min="6699" max="6699" width="20.7109375" style="18" bestFit="1" customWidth="1"/>
    <col min="6700" max="6700" width="80.7109375" style="18" customWidth="1"/>
    <col min="6701" max="6701" width="14.7109375" style="18" bestFit="1" customWidth="1"/>
    <col min="6702" max="6702" width="18.140625" style="18" bestFit="1" customWidth="1"/>
    <col min="6703" max="6703" width="16.7109375" style="18" bestFit="1" customWidth="1"/>
    <col min="6704" max="6704" width="18.5703125" style="18" bestFit="1" customWidth="1"/>
    <col min="6705" max="6705" width="21.28515625" style="18" bestFit="1" customWidth="1"/>
    <col min="6706" max="6706" width="16.28515625" style="18" bestFit="1" customWidth="1"/>
    <col min="6707" max="6707" width="21.140625" style="18" bestFit="1" customWidth="1"/>
    <col min="6708" max="6708" width="19" style="18" bestFit="1" customWidth="1"/>
    <col min="6709" max="6709" width="19.140625" style="18" customWidth="1"/>
    <col min="6710" max="6710" width="16.7109375" style="18" customWidth="1"/>
    <col min="6711" max="6711" width="21.140625" style="18" bestFit="1" customWidth="1"/>
    <col min="6712" max="6712" width="20.42578125" style="18" bestFit="1" customWidth="1"/>
    <col min="6713" max="6713" width="21.140625" style="18" customWidth="1"/>
    <col min="6714" max="6714" width="20.5703125" style="18" bestFit="1" customWidth="1"/>
    <col min="6715" max="6715" width="19.7109375" style="18" bestFit="1" customWidth="1"/>
    <col min="6716" max="6716" width="20.28515625" style="18" customWidth="1"/>
    <col min="6717" max="6717" width="20.85546875" style="18" bestFit="1" customWidth="1"/>
    <col min="6718" max="6718" width="19.5703125" style="18" bestFit="1" customWidth="1"/>
    <col min="6719" max="6719" width="18" style="18" customWidth="1"/>
    <col min="6720" max="6720" width="20" style="18" bestFit="1" customWidth="1"/>
    <col min="6721" max="6721" width="35.7109375" style="18" customWidth="1"/>
    <col min="6722" max="6722" width="21.140625" style="18" bestFit="1" customWidth="1"/>
    <col min="6723" max="6723" width="20.5703125" style="18" bestFit="1" customWidth="1"/>
    <col min="6724" max="6724" width="19.42578125" style="18" bestFit="1" customWidth="1"/>
    <col min="6725" max="6725" width="18.5703125" style="18" bestFit="1" customWidth="1"/>
    <col min="6726" max="6726" width="20.5703125" style="18" bestFit="1" customWidth="1"/>
    <col min="6727" max="6727" width="21.28515625" style="18" bestFit="1" customWidth="1"/>
    <col min="6728" max="6728" width="15.42578125" style="18" customWidth="1"/>
    <col min="6729" max="6729" width="20.7109375" style="18" customWidth="1"/>
    <col min="6730" max="6730" width="21.28515625" style="18" customWidth="1"/>
    <col min="6731" max="6731" width="14.85546875" style="18" bestFit="1" customWidth="1"/>
    <col min="6732" max="6732" width="23" style="18" bestFit="1" customWidth="1"/>
    <col min="6733" max="6733" width="21.28515625" style="18" bestFit="1" customWidth="1"/>
    <col min="6734" max="6734" width="20.28515625" style="18" bestFit="1" customWidth="1"/>
    <col min="6735" max="6735" width="21" style="18" bestFit="1" customWidth="1"/>
    <col min="6736" max="6736" width="18.85546875" style="18" bestFit="1" customWidth="1"/>
    <col min="6737" max="6737" width="80.7109375" style="18" customWidth="1"/>
    <col min="6738" max="6925" width="9.140625" style="18"/>
    <col min="6926" max="6926" width="2.5703125" style="18" customWidth="1"/>
    <col min="6927" max="6927" width="17.85546875" style="18" customWidth="1"/>
    <col min="6928" max="6928" width="41.5703125" style="18" customWidth="1"/>
    <col min="6929" max="6930" width="12" style="18" customWidth="1"/>
    <col min="6931" max="6931" width="17" style="18" customWidth="1"/>
    <col min="6932" max="6932" width="9.7109375" style="18" customWidth="1"/>
    <col min="6933" max="6933" width="12.28515625" style="18" customWidth="1"/>
    <col min="6934" max="6934" width="13.7109375" style="18" customWidth="1"/>
    <col min="6935" max="6935" width="13.5703125" style="18" bestFit="1" customWidth="1"/>
    <col min="6936" max="6936" width="13.5703125" style="18" customWidth="1"/>
    <col min="6937" max="6937" width="21" style="18" customWidth="1"/>
    <col min="6938" max="6941" width="13.42578125" style="18" customWidth="1"/>
    <col min="6942" max="6943" width="19" style="18" customWidth="1"/>
    <col min="6944" max="6944" width="34" style="18" customWidth="1"/>
    <col min="6945" max="6945" width="19" style="18" customWidth="1"/>
    <col min="6946" max="6946" width="20" style="18" bestFit="1" customWidth="1"/>
    <col min="6947" max="6947" width="20.28515625" style="18" bestFit="1" customWidth="1"/>
    <col min="6948" max="6948" width="26.7109375" style="18" customWidth="1"/>
    <col min="6949" max="6949" width="20.85546875" style="18" bestFit="1" customWidth="1"/>
    <col min="6950" max="6950" width="20.85546875" style="18" customWidth="1"/>
    <col min="6951" max="6951" width="18.85546875" style="18" customWidth="1"/>
    <col min="6952" max="6952" width="17.5703125" style="18" customWidth="1"/>
    <col min="6953" max="6954" width="19.42578125" style="18" customWidth="1"/>
    <col min="6955" max="6955" width="20.7109375" style="18" bestFit="1" customWidth="1"/>
    <col min="6956" max="6956" width="80.7109375" style="18" customWidth="1"/>
    <col min="6957" max="6957" width="14.7109375" style="18" bestFit="1" customWidth="1"/>
    <col min="6958" max="6958" width="18.140625" style="18" bestFit="1" customWidth="1"/>
    <col min="6959" max="6959" width="16.7109375" style="18" bestFit="1" customWidth="1"/>
    <col min="6960" max="6960" width="18.5703125" style="18" bestFit="1" customWidth="1"/>
    <col min="6961" max="6961" width="21.28515625" style="18" bestFit="1" customWidth="1"/>
    <col min="6962" max="6962" width="16.28515625" style="18" bestFit="1" customWidth="1"/>
    <col min="6963" max="6963" width="21.140625" style="18" bestFit="1" customWidth="1"/>
    <col min="6964" max="6964" width="19" style="18" bestFit="1" customWidth="1"/>
    <col min="6965" max="6965" width="19.140625" style="18" customWidth="1"/>
    <col min="6966" max="6966" width="16.7109375" style="18" customWidth="1"/>
    <col min="6967" max="6967" width="21.140625" style="18" bestFit="1" customWidth="1"/>
    <col min="6968" max="6968" width="20.42578125" style="18" bestFit="1" customWidth="1"/>
    <col min="6969" max="6969" width="21.140625" style="18" customWidth="1"/>
    <col min="6970" max="6970" width="20.5703125" style="18" bestFit="1" customWidth="1"/>
    <col min="6971" max="6971" width="19.7109375" style="18" bestFit="1" customWidth="1"/>
    <col min="6972" max="6972" width="20.28515625" style="18" customWidth="1"/>
    <col min="6973" max="6973" width="20.85546875" style="18" bestFit="1" customWidth="1"/>
    <col min="6974" max="6974" width="19.5703125" style="18" bestFit="1" customWidth="1"/>
    <col min="6975" max="6975" width="18" style="18" customWidth="1"/>
    <col min="6976" max="6976" width="20" style="18" bestFit="1" customWidth="1"/>
    <col min="6977" max="6977" width="35.7109375" style="18" customWidth="1"/>
    <col min="6978" max="6978" width="21.140625" style="18" bestFit="1" customWidth="1"/>
    <col min="6979" max="6979" width="20.5703125" style="18" bestFit="1" customWidth="1"/>
    <col min="6980" max="6980" width="19.42578125" style="18" bestFit="1" customWidth="1"/>
    <col min="6981" max="6981" width="18.5703125" style="18" bestFit="1" customWidth="1"/>
    <col min="6982" max="6982" width="20.5703125" style="18" bestFit="1" customWidth="1"/>
    <col min="6983" max="6983" width="21.28515625" style="18" bestFit="1" customWidth="1"/>
    <col min="6984" max="6984" width="15.42578125" style="18" customWidth="1"/>
    <col min="6985" max="6985" width="20.7109375" style="18" customWidth="1"/>
    <col min="6986" max="6986" width="21.28515625" style="18" customWidth="1"/>
    <col min="6987" max="6987" width="14.85546875" style="18" bestFit="1" customWidth="1"/>
    <col min="6988" max="6988" width="23" style="18" bestFit="1" customWidth="1"/>
    <col min="6989" max="6989" width="21.28515625" style="18" bestFit="1" customWidth="1"/>
    <col min="6990" max="6990" width="20.28515625" style="18" bestFit="1" customWidth="1"/>
    <col min="6991" max="6991" width="21" style="18" bestFit="1" customWidth="1"/>
    <col min="6992" max="6992" width="18.85546875" style="18" bestFit="1" customWidth="1"/>
    <col min="6993" max="6993" width="80.7109375" style="18" customWidth="1"/>
    <col min="6994" max="7181" width="9.140625" style="18"/>
    <col min="7182" max="7182" width="2.5703125" style="18" customWidth="1"/>
    <col min="7183" max="7183" width="17.85546875" style="18" customWidth="1"/>
    <col min="7184" max="7184" width="41.5703125" style="18" customWidth="1"/>
    <col min="7185" max="7186" width="12" style="18" customWidth="1"/>
    <col min="7187" max="7187" width="17" style="18" customWidth="1"/>
    <col min="7188" max="7188" width="9.7109375" style="18" customWidth="1"/>
    <col min="7189" max="7189" width="12.28515625" style="18" customWidth="1"/>
    <col min="7190" max="7190" width="13.7109375" style="18" customWidth="1"/>
    <col min="7191" max="7191" width="13.5703125" style="18" bestFit="1" customWidth="1"/>
    <col min="7192" max="7192" width="13.5703125" style="18" customWidth="1"/>
    <col min="7193" max="7193" width="21" style="18" customWidth="1"/>
    <col min="7194" max="7197" width="13.42578125" style="18" customWidth="1"/>
    <col min="7198" max="7199" width="19" style="18" customWidth="1"/>
    <col min="7200" max="7200" width="34" style="18" customWidth="1"/>
    <col min="7201" max="7201" width="19" style="18" customWidth="1"/>
    <col min="7202" max="7202" width="20" style="18" bestFit="1" customWidth="1"/>
    <col min="7203" max="7203" width="20.28515625" style="18" bestFit="1" customWidth="1"/>
    <col min="7204" max="7204" width="26.7109375" style="18" customWidth="1"/>
    <col min="7205" max="7205" width="20.85546875" style="18" bestFit="1" customWidth="1"/>
    <col min="7206" max="7206" width="20.85546875" style="18" customWidth="1"/>
    <col min="7207" max="7207" width="18.85546875" style="18" customWidth="1"/>
    <col min="7208" max="7208" width="17.5703125" style="18" customWidth="1"/>
    <col min="7209" max="7210" width="19.42578125" style="18" customWidth="1"/>
    <col min="7211" max="7211" width="20.7109375" style="18" bestFit="1" customWidth="1"/>
    <col min="7212" max="7212" width="80.7109375" style="18" customWidth="1"/>
    <col min="7213" max="7213" width="14.7109375" style="18" bestFit="1" customWidth="1"/>
    <col min="7214" max="7214" width="18.140625" style="18" bestFit="1" customWidth="1"/>
    <col min="7215" max="7215" width="16.7109375" style="18" bestFit="1" customWidth="1"/>
    <col min="7216" max="7216" width="18.5703125" style="18" bestFit="1" customWidth="1"/>
    <col min="7217" max="7217" width="21.28515625" style="18" bestFit="1" customWidth="1"/>
    <col min="7218" max="7218" width="16.28515625" style="18" bestFit="1" customWidth="1"/>
    <col min="7219" max="7219" width="21.140625" style="18" bestFit="1" customWidth="1"/>
    <col min="7220" max="7220" width="19" style="18" bestFit="1" customWidth="1"/>
    <col min="7221" max="7221" width="19.140625" style="18" customWidth="1"/>
    <col min="7222" max="7222" width="16.7109375" style="18" customWidth="1"/>
    <col min="7223" max="7223" width="21.140625" style="18" bestFit="1" customWidth="1"/>
    <col min="7224" max="7224" width="20.42578125" style="18" bestFit="1" customWidth="1"/>
    <col min="7225" max="7225" width="21.140625" style="18" customWidth="1"/>
    <col min="7226" max="7226" width="20.5703125" style="18" bestFit="1" customWidth="1"/>
    <col min="7227" max="7227" width="19.7109375" style="18" bestFit="1" customWidth="1"/>
    <col min="7228" max="7228" width="20.28515625" style="18" customWidth="1"/>
    <col min="7229" max="7229" width="20.85546875" style="18" bestFit="1" customWidth="1"/>
    <col min="7230" max="7230" width="19.5703125" style="18" bestFit="1" customWidth="1"/>
    <col min="7231" max="7231" width="18" style="18" customWidth="1"/>
    <col min="7232" max="7232" width="20" style="18" bestFit="1" customWidth="1"/>
    <col min="7233" max="7233" width="35.7109375" style="18" customWidth="1"/>
    <col min="7234" max="7234" width="21.140625" style="18" bestFit="1" customWidth="1"/>
    <col min="7235" max="7235" width="20.5703125" style="18" bestFit="1" customWidth="1"/>
    <col min="7236" max="7236" width="19.42578125" style="18" bestFit="1" customWidth="1"/>
    <col min="7237" max="7237" width="18.5703125" style="18" bestFit="1" customWidth="1"/>
    <col min="7238" max="7238" width="20.5703125" style="18" bestFit="1" customWidth="1"/>
    <col min="7239" max="7239" width="21.28515625" style="18" bestFit="1" customWidth="1"/>
    <col min="7240" max="7240" width="15.42578125" style="18" customWidth="1"/>
    <col min="7241" max="7241" width="20.7109375" style="18" customWidth="1"/>
    <col min="7242" max="7242" width="21.28515625" style="18" customWidth="1"/>
    <col min="7243" max="7243" width="14.85546875" style="18" bestFit="1" customWidth="1"/>
    <col min="7244" max="7244" width="23" style="18" bestFit="1" customWidth="1"/>
    <col min="7245" max="7245" width="21.28515625" style="18" bestFit="1" customWidth="1"/>
    <col min="7246" max="7246" width="20.28515625" style="18" bestFit="1" customWidth="1"/>
    <col min="7247" max="7247" width="21" style="18" bestFit="1" customWidth="1"/>
    <col min="7248" max="7248" width="18.85546875" style="18" bestFit="1" customWidth="1"/>
    <col min="7249" max="7249" width="80.7109375" style="18" customWidth="1"/>
    <col min="7250" max="7437" width="9.140625" style="18"/>
    <col min="7438" max="7438" width="2.5703125" style="18" customWidth="1"/>
    <col min="7439" max="7439" width="17.85546875" style="18" customWidth="1"/>
    <col min="7440" max="7440" width="41.5703125" style="18" customWidth="1"/>
    <col min="7441" max="7442" width="12" style="18" customWidth="1"/>
    <col min="7443" max="7443" width="17" style="18" customWidth="1"/>
    <col min="7444" max="7444" width="9.7109375" style="18" customWidth="1"/>
    <col min="7445" max="7445" width="12.28515625" style="18" customWidth="1"/>
    <col min="7446" max="7446" width="13.7109375" style="18" customWidth="1"/>
    <col min="7447" max="7447" width="13.5703125" style="18" bestFit="1" customWidth="1"/>
    <col min="7448" max="7448" width="13.5703125" style="18" customWidth="1"/>
    <col min="7449" max="7449" width="21" style="18" customWidth="1"/>
    <col min="7450" max="7453" width="13.42578125" style="18" customWidth="1"/>
    <col min="7454" max="7455" width="19" style="18" customWidth="1"/>
    <col min="7456" max="7456" width="34" style="18" customWidth="1"/>
    <col min="7457" max="7457" width="19" style="18" customWidth="1"/>
    <col min="7458" max="7458" width="20" style="18" bestFit="1" customWidth="1"/>
    <col min="7459" max="7459" width="20.28515625" style="18" bestFit="1" customWidth="1"/>
    <col min="7460" max="7460" width="26.7109375" style="18" customWidth="1"/>
    <col min="7461" max="7461" width="20.85546875" style="18" bestFit="1" customWidth="1"/>
    <col min="7462" max="7462" width="20.85546875" style="18" customWidth="1"/>
    <col min="7463" max="7463" width="18.85546875" style="18" customWidth="1"/>
    <col min="7464" max="7464" width="17.5703125" style="18" customWidth="1"/>
    <col min="7465" max="7466" width="19.42578125" style="18" customWidth="1"/>
    <col min="7467" max="7467" width="20.7109375" style="18" bestFit="1" customWidth="1"/>
    <col min="7468" max="7468" width="80.7109375" style="18" customWidth="1"/>
    <col min="7469" max="7469" width="14.7109375" style="18" bestFit="1" customWidth="1"/>
    <col min="7470" max="7470" width="18.140625" style="18" bestFit="1" customWidth="1"/>
    <col min="7471" max="7471" width="16.7109375" style="18" bestFit="1" customWidth="1"/>
    <col min="7472" max="7472" width="18.5703125" style="18" bestFit="1" customWidth="1"/>
    <col min="7473" max="7473" width="21.28515625" style="18" bestFit="1" customWidth="1"/>
    <col min="7474" max="7474" width="16.28515625" style="18" bestFit="1" customWidth="1"/>
    <col min="7475" max="7475" width="21.140625" style="18" bestFit="1" customWidth="1"/>
    <col min="7476" max="7476" width="19" style="18" bestFit="1" customWidth="1"/>
    <col min="7477" max="7477" width="19.140625" style="18" customWidth="1"/>
    <col min="7478" max="7478" width="16.7109375" style="18" customWidth="1"/>
    <col min="7479" max="7479" width="21.140625" style="18" bestFit="1" customWidth="1"/>
    <col min="7480" max="7480" width="20.42578125" style="18" bestFit="1" customWidth="1"/>
    <col min="7481" max="7481" width="21.140625" style="18" customWidth="1"/>
    <col min="7482" max="7482" width="20.5703125" style="18" bestFit="1" customWidth="1"/>
    <col min="7483" max="7483" width="19.7109375" style="18" bestFit="1" customWidth="1"/>
    <col min="7484" max="7484" width="20.28515625" style="18" customWidth="1"/>
    <col min="7485" max="7485" width="20.85546875" style="18" bestFit="1" customWidth="1"/>
    <col min="7486" max="7486" width="19.5703125" style="18" bestFit="1" customWidth="1"/>
    <col min="7487" max="7487" width="18" style="18" customWidth="1"/>
    <col min="7488" max="7488" width="20" style="18" bestFit="1" customWidth="1"/>
    <col min="7489" max="7489" width="35.7109375" style="18" customWidth="1"/>
    <col min="7490" max="7490" width="21.140625" style="18" bestFit="1" customWidth="1"/>
    <col min="7491" max="7491" width="20.5703125" style="18" bestFit="1" customWidth="1"/>
    <col min="7492" max="7492" width="19.42578125" style="18" bestFit="1" customWidth="1"/>
    <col min="7493" max="7493" width="18.5703125" style="18" bestFit="1" customWidth="1"/>
    <col min="7494" max="7494" width="20.5703125" style="18" bestFit="1" customWidth="1"/>
    <col min="7495" max="7495" width="21.28515625" style="18" bestFit="1" customWidth="1"/>
    <col min="7496" max="7496" width="15.42578125" style="18" customWidth="1"/>
    <col min="7497" max="7497" width="20.7109375" style="18" customWidth="1"/>
    <col min="7498" max="7498" width="21.28515625" style="18" customWidth="1"/>
    <col min="7499" max="7499" width="14.85546875" style="18" bestFit="1" customWidth="1"/>
    <col min="7500" max="7500" width="23" style="18" bestFit="1" customWidth="1"/>
    <col min="7501" max="7501" width="21.28515625" style="18" bestFit="1" customWidth="1"/>
    <col min="7502" max="7502" width="20.28515625" style="18" bestFit="1" customWidth="1"/>
    <col min="7503" max="7503" width="21" style="18" bestFit="1" customWidth="1"/>
    <col min="7504" max="7504" width="18.85546875" style="18" bestFit="1" customWidth="1"/>
    <col min="7505" max="7505" width="80.7109375" style="18" customWidth="1"/>
    <col min="7506" max="7693" width="9.140625" style="18"/>
    <col min="7694" max="7694" width="2.5703125" style="18" customWidth="1"/>
    <col min="7695" max="7695" width="17.85546875" style="18" customWidth="1"/>
    <col min="7696" max="7696" width="41.5703125" style="18" customWidth="1"/>
    <col min="7697" max="7698" width="12" style="18" customWidth="1"/>
    <col min="7699" max="7699" width="17" style="18" customWidth="1"/>
    <col min="7700" max="7700" width="9.7109375" style="18" customWidth="1"/>
    <col min="7701" max="7701" width="12.28515625" style="18" customWidth="1"/>
    <col min="7702" max="7702" width="13.7109375" style="18" customWidth="1"/>
    <col min="7703" max="7703" width="13.5703125" style="18" bestFit="1" customWidth="1"/>
    <col min="7704" max="7704" width="13.5703125" style="18" customWidth="1"/>
    <col min="7705" max="7705" width="21" style="18" customWidth="1"/>
    <col min="7706" max="7709" width="13.42578125" style="18" customWidth="1"/>
    <col min="7710" max="7711" width="19" style="18" customWidth="1"/>
    <col min="7712" max="7712" width="34" style="18" customWidth="1"/>
    <col min="7713" max="7713" width="19" style="18" customWidth="1"/>
    <col min="7714" max="7714" width="20" style="18" bestFit="1" customWidth="1"/>
    <col min="7715" max="7715" width="20.28515625" style="18" bestFit="1" customWidth="1"/>
    <col min="7716" max="7716" width="26.7109375" style="18" customWidth="1"/>
    <col min="7717" max="7717" width="20.85546875" style="18" bestFit="1" customWidth="1"/>
    <col min="7718" max="7718" width="20.85546875" style="18" customWidth="1"/>
    <col min="7719" max="7719" width="18.85546875" style="18" customWidth="1"/>
    <col min="7720" max="7720" width="17.5703125" style="18" customWidth="1"/>
    <col min="7721" max="7722" width="19.42578125" style="18" customWidth="1"/>
    <col min="7723" max="7723" width="20.7109375" style="18" bestFit="1" customWidth="1"/>
    <col min="7724" max="7724" width="80.7109375" style="18" customWidth="1"/>
    <col min="7725" max="7725" width="14.7109375" style="18" bestFit="1" customWidth="1"/>
    <col min="7726" max="7726" width="18.140625" style="18" bestFit="1" customWidth="1"/>
    <col min="7727" max="7727" width="16.7109375" style="18" bestFit="1" customWidth="1"/>
    <col min="7728" max="7728" width="18.5703125" style="18" bestFit="1" customWidth="1"/>
    <col min="7729" max="7729" width="21.28515625" style="18" bestFit="1" customWidth="1"/>
    <col min="7730" max="7730" width="16.28515625" style="18" bestFit="1" customWidth="1"/>
    <col min="7731" max="7731" width="21.140625" style="18" bestFit="1" customWidth="1"/>
    <col min="7732" max="7732" width="19" style="18" bestFit="1" customWidth="1"/>
    <col min="7733" max="7733" width="19.140625" style="18" customWidth="1"/>
    <col min="7734" max="7734" width="16.7109375" style="18" customWidth="1"/>
    <col min="7735" max="7735" width="21.140625" style="18" bestFit="1" customWidth="1"/>
    <col min="7736" max="7736" width="20.42578125" style="18" bestFit="1" customWidth="1"/>
    <col min="7737" max="7737" width="21.140625" style="18" customWidth="1"/>
    <col min="7738" max="7738" width="20.5703125" style="18" bestFit="1" customWidth="1"/>
    <col min="7739" max="7739" width="19.7109375" style="18" bestFit="1" customWidth="1"/>
    <col min="7740" max="7740" width="20.28515625" style="18" customWidth="1"/>
    <col min="7741" max="7741" width="20.85546875" style="18" bestFit="1" customWidth="1"/>
    <col min="7742" max="7742" width="19.5703125" style="18" bestFit="1" customWidth="1"/>
    <col min="7743" max="7743" width="18" style="18" customWidth="1"/>
    <col min="7744" max="7744" width="20" style="18" bestFit="1" customWidth="1"/>
    <col min="7745" max="7745" width="35.7109375" style="18" customWidth="1"/>
    <col min="7746" max="7746" width="21.140625" style="18" bestFit="1" customWidth="1"/>
    <col min="7747" max="7747" width="20.5703125" style="18" bestFit="1" customWidth="1"/>
    <col min="7748" max="7748" width="19.42578125" style="18" bestFit="1" customWidth="1"/>
    <col min="7749" max="7749" width="18.5703125" style="18" bestFit="1" customWidth="1"/>
    <col min="7750" max="7750" width="20.5703125" style="18" bestFit="1" customWidth="1"/>
    <col min="7751" max="7751" width="21.28515625" style="18" bestFit="1" customWidth="1"/>
    <col min="7752" max="7752" width="15.42578125" style="18" customWidth="1"/>
    <col min="7753" max="7753" width="20.7109375" style="18" customWidth="1"/>
    <col min="7754" max="7754" width="21.28515625" style="18" customWidth="1"/>
    <col min="7755" max="7755" width="14.85546875" style="18" bestFit="1" customWidth="1"/>
    <col min="7756" max="7756" width="23" style="18" bestFit="1" customWidth="1"/>
    <col min="7757" max="7757" width="21.28515625" style="18" bestFit="1" customWidth="1"/>
    <col min="7758" max="7758" width="20.28515625" style="18" bestFit="1" customWidth="1"/>
    <col min="7759" max="7759" width="21" style="18" bestFit="1" customWidth="1"/>
    <col min="7760" max="7760" width="18.85546875" style="18" bestFit="1" customWidth="1"/>
    <col min="7761" max="7761" width="80.7109375" style="18" customWidth="1"/>
    <col min="7762" max="7949" width="9.140625" style="18"/>
    <col min="7950" max="7950" width="2.5703125" style="18" customWidth="1"/>
    <col min="7951" max="7951" width="17.85546875" style="18" customWidth="1"/>
    <col min="7952" max="7952" width="41.5703125" style="18" customWidth="1"/>
    <col min="7953" max="7954" width="12" style="18" customWidth="1"/>
    <col min="7955" max="7955" width="17" style="18" customWidth="1"/>
    <col min="7956" max="7956" width="9.7109375" style="18" customWidth="1"/>
    <col min="7957" max="7957" width="12.28515625" style="18" customWidth="1"/>
    <col min="7958" max="7958" width="13.7109375" style="18" customWidth="1"/>
    <col min="7959" max="7959" width="13.5703125" style="18" bestFit="1" customWidth="1"/>
    <col min="7960" max="7960" width="13.5703125" style="18" customWidth="1"/>
    <col min="7961" max="7961" width="21" style="18" customWidth="1"/>
    <col min="7962" max="7965" width="13.42578125" style="18" customWidth="1"/>
    <col min="7966" max="7967" width="19" style="18" customWidth="1"/>
    <col min="7968" max="7968" width="34" style="18" customWidth="1"/>
    <col min="7969" max="7969" width="19" style="18" customWidth="1"/>
    <col min="7970" max="7970" width="20" style="18" bestFit="1" customWidth="1"/>
    <col min="7971" max="7971" width="20.28515625" style="18" bestFit="1" customWidth="1"/>
    <col min="7972" max="7972" width="26.7109375" style="18" customWidth="1"/>
    <col min="7973" max="7973" width="20.85546875" style="18" bestFit="1" customWidth="1"/>
    <col min="7974" max="7974" width="20.85546875" style="18" customWidth="1"/>
    <col min="7975" max="7975" width="18.85546875" style="18" customWidth="1"/>
    <col min="7976" max="7976" width="17.5703125" style="18" customWidth="1"/>
    <col min="7977" max="7978" width="19.42578125" style="18" customWidth="1"/>
    <col min="7979" max="7979" width="20.7109375" style="18" bestFit="1" customWidth="1"/>
    <col min="7980" max="7980" width="80.7109375" style="18" customWidth="1"/>
    <col min="7981" max="7981" width="14.7109375" style="18" bestFit="1" customWidth="1"/>
    <col min="7982" max="7982" width="18.140625" style="18" bestFit="1" customWidth="1"/>
    <col min="7983" max="7983" width="16.7109375" style="18" bestFit="1" customWidth="1"/>
    <col min="7984" max="7984" width="18.5703125" style="18" bestFit="1" customWidth="1"/>
    <col min="7985" max="7985" width="21.28515625" style="18" bestFit="1" customWidth="1"/>
    <col min="7986" max="7986" width="16.28515625" style="18" bestFit="1" customWidth="1"/>
    <col min="7987" max="7987" width="21.140625" style="18" bestFit="1" customWidth="1"/>
    <col min="7988" max="7988" width="19" style="18" bestFit="1" customWidth="1"/>
    <col min="7989" max="7989" width="19.140625" style="18" customWidth="1"/>
    <col min="7990" max="7990" width="16.7109375" style="18" customWidth="1"/>
    <col min="7991" max="7991" width="21.140625" style="18" bestFit="1" customWidth="1"/>
    <col min="7992" max="7992" width="20.42578125" style="18" bestFit="1" customWidth="1"/>
    <col min="7993" max="7993" width="21.140625" style="18" customWidth="1"/>
    <col min="7994" max="7994" width="20.5703125" style="18" bestFit="1" customWidth="1"/>
    <col min="7995" max="7995" width="19.7109375" style="18" bestFit="1" customWidth="1"/>
    <col min="7996" max="7996" width="20.28515625" style="18" customWidth="1"/>
    <col min="7997" max="7997" width="20.85546875" style="18" bestFit="1" customWidth="1"/>
    <col min="7998" max="7998" width="19.5703125" style="18" bestFit="1" customWidth="1"/>
    <col min="7999" max="7999" width="18" style="18" customWidth="1"/>
    <col min="8000" max="8000" width="20" style="18" bestFit="1" customWidth="1"/>
    <col min="8001" max="8001" width="35.7109375" style="18" customWidth="1"/>
    <col min="8002" max="8002" width="21.140625" style="18" bestFit="1" customWidth="1"/>
    <col min="8003" max="8003" width="20.5703125" style="18" bestFit="1" customWidth="1"/>
    <col min="8004" max="8004" width="19.42578125" style="18" bestFit="1" customWidth="1"/>
    <col min="8005" max="8005" width="18.5703125" style="18" bestFit="1" customWidth="1"/>
    <col min="8006" max="8006" width="20.5703125" style="18" bestFit="1" customWidth="1"/>
    <col min="8007" max="8007" width="21.28515625" style="18" bestFit="1" customWidth="1"/>
    <col min="8008" max="8008" width="15.42578125" style="18" customWidth="1"/>
    <col min="8009" max="8009" width="20.7109375" style="18" customWidth="1"/>
    <col min="8010" max="8010" width="21.28515625" style="18" customWidth="1"/>
    <col min="8011" max="8011" width="14.85546875" style="18" bestFit="1" customWidth="1"/>
    <col min="8012" max="8012" width="23" style="18" bestFit="1" customWidth="1"/>
    <col min="8013" max="8013" width="21.28515625" style="18" bestFit="1" customWidth="1"/>
    <col min="8014" max="8014" width="20.28515625" style="18" bestFit="1" customWidth="1"/>
    <col min="8015" max="8015" width="21" style="18" bestFit="1" customWidth="1"/>
    <col min="8016" max="8016" width="18.85546875" style="18" bestFit="1" customWidth="1"/>
    <col min="8017" max="8017" width="80.7109375" style="18" customWidth="1"/>
    <col min="8018" max="8205" width="9.140625" style="18"/>
    <col min="8206" max="8206" width="2.5703125" style="18" customWidth="1"/>
    <col min="8207" max="8207" width="17.85546875" style="18" customWidth="1"/>
    <col min="8208" max="8208" width="41.5703125" style="18" customWidth="1"/>
    <col min="8209" max="8210" width="12" style="18" customWidth="1"/>
    <col min="8211" max="8211" width="17" style="18" customWidth="1"/>
    <col min="8212" max="8212" width="9.7109375" style="18" customWidth="1"/>
    <col min="8213" max="8213" width="12.28515625" style="18" customWidth="1"/>
    <col min="8214" max="8214" width="13.7109375" style="18" customWidth="1"/>
    <col min="8215" max="8215" width="13.5703125" style="18" bestFit="1" customWidth="1"/>
    <col min="8216" max="8216" width="13.5703125" style="18" customWidth="1"/>
    <col min="8217" max="8217" width="21" style="18" customWidth="1"/>
    <col min="8218" max="8221" width="13.42578125" style="18" customWidth="1"/>
    <col min="8222" max="8223" width="19" style="18" customWidth="1"/>
    <col min="8224" max="8224" width="34" style="18" customWidth="1"/>
    <col min="8225" max="8225" width="19" style="18" customWidth="1"/>
    <col min="8226" max="8226" width="20" style="18" bestFit="1" customWidth="1"/>
    <col min="8227" max="8227" width="20.28515625" style="18" bestFit="1" customWidth="1"/>
    <col min="8228" max="8228" width="26.7109375" style="18" customWidth="1"/>
    <col min="8229" max="8229" width="20.85546875" style="18" bestFit="1" customWidth="1"/>
    <col min="8230" max="8230" width="20.85546875" style="18" customWidth="1"/>
    <col min="8231" max="8231" width="18.85546875" style="18" customWidth="1"/>
    <col min="8232" max="8232" width="17.5703125" style="18" customWidth="1"/>
    <col min="8233" max="8234" width="19.42578125" style="18" customWidth="1"/>
    <col min="8235" max="8235" width="20.7109375" style="18" bestFit="1" customWidth="1"/>
    <col min="8236" max="8236" width="80.7109375" style="18" customWidth="1"/>
    <col min="8237" max="8237" width="14.7109375" style="18" bestFit="1" customWidth="1"/>
    <col min="8238" max="8238" width="18.140625" style="18" bestFit="1" customWidth="1"/>
    <col min="8239" max="8239" width="16.7109375" style="18" bestFit="1" customWidth="1"/>
    <col min="8240" max="8240" width="18.5703125" style="18" bestFit="1" customWidth="1"/>
    <col min="8241" max="8241" width="21.28515625" style="18" bestFit="1" customWidth="1"/>
    <col min="8242" max="8242" width="16.28515625" style="18" bestFit="1" customWidth="1"/>
    <col min="8243" max="8243" width="21.140625" style="18" bestFit="1" customWidth="1"/>
    <col min="8244" max="8244" width="19" style="18" bestFit="1" customWidth="1"/>
    <col min="8245" max="8245" width="19.140625" style="18" customWidth="1"/>
    <col min="8246" max="8246" width="16.7109375" style="18" customWidth="1"/>
    <col min="8247" max="8247" width="21.140625" style="18" bestFit="1" customWidth="1"/>
    <col min="8248" max="8248" width="20.42578125" style="18" bestFit="1" customWidth="1"/>
    <col min="8249" max="8249" width="21.140625" style="18" customWidth="1"/>
    <col min="8250" max="8250" width="20.5703125" style="18" bestFit="1" customWidth="1"/>
    <col min="8251" max="8251" width="19.7109375" style="18" bestFit="1" customWidth="1"/>
    <col min="8252" max="8252" width="20.28515625" style="18" customWidth="1"/>
    <col min="8253" max="8253" width="20.85546875" style="18" bestFit="1" customWidth="1"/>
    <col min="8254" max="8254" width="19.5703125" style="18" bestFit="1" customWidth="1"/>
    <col min="8255" max="8255" width="18" style="18" customWidth="1"/>
    <col min="8256" max="8256" width="20" style="18" bestFit="1" customWidth="1"/>
    <col min="8257" max="8257" width="35.7109375" style="18" customWidth="1"/>
    <col min="8258" max="8258" width="21.140625" style="18" bestFit="1" customWidth="1"/>
    <col min="8259" max="8259" width="20.5703125" style="18" bestFit="1" customWidth="1"/>
    <col min="8260" max="8260" width="19.42578125" style="18" bestFit="1" customWidth="1"/>
    <col min="8261" max="8261" width="18.5703125" style="18" bestFit="1" customWidth="1"/>
    <col min="8262" max="8262" width="20.5703125" style="18" bestFit="1" customWidth="1"/>
    <col min="8263" max="8263" width="21.28515625" style="18" bestFit="1" customWidth="1"/>
    <col min="8264" max="8264" width="15.42578125" style="18" customWidth="1"/>
    <col min="8265" max="8265" width="20.7109375" style="18" customWidth="1"/>
    <col min="8266" max="8266" width="21.28515625" style="18" customWidth="1"/>
    <col min="8267" max="8267" width="14.85546875" style="18" bestFit="1" customWidth="1"/>
    <col min="8268" max="8268" width="23" style="18" bestFit="1" customWidth="1"/>
    <col min="8269" max="8269" width="21.28515625" style="18" bestFit="1" customWidth="1"/>
    <col min="8270" max="8270" width="20.28515625" style="18" bestFit="1" customWidth="1"/>
    <col min="8271" max="8271" width="21" style="18" bestFit="1" customWidth="1"/>
    <col min="8272" max="8272" width="18.85546875" style="18" bestFit="1" customWidth="1"/>
    <col min="8273" max="8273" width="80.7109375" style="18" customWidth="1"/>
    <col min="8274" max="8461" width="9.140625" style="18"/>
    <col min="8462" max="8462" width="2.5703125" style="18" customWidth="1"/>
    <col min="8463" max="8463" width="17.85546875" style="18" customWidth="1"/>
    <col min="8464" max="8464" width="41.5703125" style="18" customWidth="1"/>
    <col min="8465" max="8466" width="12" style="18" customWidth="1"/>
    <col min="8467" max="8467" width="17" style="18" customWidth="1"/>
    <col min="8468" max="8468" width="9.7109375" style="18" customWidth="1"/>
    <col min="8469" max="8469" width="12.28515625" style="18" customWidth="1"/>
    <col min="8470" max="8470" width="13.7109375" style="18" customWidth="1"/>
    <col min="8471" max="8471" width="13.5703125" style="18" bestFit="1" customWidth="1"/>
    <col min="8472" max="8472" width="13.5703125" style="18" customWidth="1"/>
    <col min="8473" max="8473" width="21" style="18" customWidth="1"/>
    <col min="8474" max="8477" width="13.42578125" style="18" customWidth="1"/>
    <col min="8478" max="8479" width="19" style="18" customWidth="1"/>
    <col min="8480" max="8480" width="34" style="18" customWidth="1"/>
    <col min="8481" max="8481" width="19" style="18" customWidth="1"/>
    <col min="8482" max="8482" width="20" style="18" bestFit="1" customWidth="1"/>
    <col min="8483" max="8483" width="20.28515625" style="18" bestFit="1" customWidth="1"/>
    <col min="8484" max="8484" width="26.7109375" style="18" customWidth="1"/>
    <col min="8485" max="8485" width="20.85546875" style="18" bestFit="1" customWidth="1"/>
    <col min="8486" max="8486" width="20.85546875" style="18" customWidth="1"/>
    <col min="8487" max="8487" width="18.85546875" style="18" customWidth="1"/>
    <col min="8488" max="8488" width="17.5703125" style="18" customWidth="1"/>
    <col min="8489" max="8490" width="19.42578125" style="18" customWidth="1"/>
    <col min="8491" max="8491" width="20.7109375" style="18" bestFit="1" customWidth="1"/>
    <col min="8492" max="8492" width="80.7109375" style="18" customWidth="1"/>
    <col min="8493" max="8493" width="14.7109375" style="18" bestFit="1" customWidth="1"/>
    <col min="8494" max="8494" width="18.140625" style="18" bestFit="1" customWidth="1"/>
    <col min="8495" max="8495" width="16.7109375" style="18" bestFit="1" customWidth="1"/>
    <col min="8496" max="8496" width="18.5703125" style="18" bestFit="1" customWidth="1"/>
    <col min="8497" max="8497" width="21.28515625" style="18" bestFit="1" customWidth="1"/>
    <col min="8498" max="8498" width="16.28515625" style="18" bestFit="1" customWidth="1"/>
    <col min="8499" max="8499" width="21.140625" style="18" bestFit="1" customWidth="1"/>
    <col min="8500" max="8500" width="19" style="18" bestFit="1" customWidth="1"/>
    <col min="8501" max="8501" width="19.140625" style="18" customWidth="1"/>
    <col min="8502" max="8502" width="16.7109375" style="18" customWidth="1"/>
    <col min="8503" max="8503" width="21.140625" style="18" bestFit="1" customWidth="1"/>
    <col min="8504" max="8504" width="20.42578125" style="18" bestFit="1" customWidth="1"/>
    <col min="8505" max="8505" width="21.140625" style="18" customWidth="1"/>
    <col min="8506" max="8506" width="20.5703125" style="18" bestFit="1" customWidth="1"/>
    <col min="8507" max="8507" width="19.7109375" style="18" bestFit="1" customWidth="1"/>
    <col min="8508" max="8508" width="20.28515625" style="18" customWidth="1"/>
    <col min="8509" max="8509" width="20.85546875" style="18" bestFit="1" customWidth="1"/>
    <col min="8510" max="8510" width="19.5703125" style="18" bestFit="1" customWidth="1"/>
    <col min="8511" max="8511" width="18" style="18" customWidth="1"/>
    <col min="8512" max="8512" width="20" style="18" bestFit="1" customWidth="1"/>
    <col min="8513" max="8513" width="35.7109375" style="18" customWidth="1"/>
    <col min="8514" max="8514" width="21.140625" style="18" bestFit="1" customWidth="1"/>
    <col min="8515" max="8515" width="20.5703125" style="18" bestFit="1" customWidth="1"/>
    <col min="8516" max="8516" width="19.42578125" style="18" bestFit="1" customWidth="1"/>
    <col min="8517" max="8517" width="18.5703125" style="18" bestFit="1" customWidth="1"/>
    <col min="8518" max="8518" width="20.5703125" style="18" bestFit="1" customWidth="1"/>
    <col min="8519" max="8519" width="21.28515625" style="18" bestFit="1" customWidth="1"/>
    <col min="8520" max="8520" width="15.42578125" style="18" customWidth="1"/>
    <col min="8521" max="8521" width="20.7109375" style="18" customWidth="1"/>
    <col min="8522" max="8522" width="21.28515625" style="18" customWidth="1"/>
    <col min="8523" max="8523" width="14.85546875" style="18" bestFit="1" customWidth="1"/>
    <col min="8524" max="8524" width="23" style="18" bestFit="1" customWidth="1"/>
    <col min="8525" max="8525" width="21.28515625" style="18" bestFit="1" customWidth="1"/>
    <col min="8526" max="8526" width="20.28515625" style="18" bestFit="1" customWidth="1"/>
    <col min="8527" max="8527" width="21" style="18" bestFit="1" customWidth="1"/>
    <col min="8528" max="8528" width="18.85546875" style="18" bestFit="1" customWidth="1"/>
    <col min="8529" max="8529" width="80.7109375" style="18" customWidth="1"/>
    <col min="8530" max="8717" width="9.140625" style="18"/>
    <col min="8718" max="8718" width="2.5703125" style="18" customWidth="1"/>
    <col min="8719" max="8719" width="17.85546875" style="18" customWidth="1"/>
    <col min="8720" max="8720" width="41.5703125" style="18" customWidth="1"/>
    <col min="8721" max="8722" width="12" style="18" customWidth="1"/>
    <col min="8723" max="8723" width="17" style="18" customWidth="1"/>
    <col min="8724" max="8724" width="9.7109375" style="18" customWidth="1"/>
    <col min="8725" max="8725" width="12.28515625" style="18" customWidth="1"/>
    <col min="8726" max="8726" width="13.7109375" style="18" customWidth="1"/>
    <col min="8727" max="8727" width="13.5703125" style="18" bestFit="1" customWidth="1"/>
    <col min="8728" max="8728" width="13.5703125" style="18" customWidth="1"/>
    <col min="8729" max="8729" width="21" style="18" customWidth="1"/>
    <col min="8730" max="8733" width="13.42578125" style="18" customWidth="1"/>
    <col min="8734" max="8735" width="19" style="18" customWidth="1"/>
    <col min="8736" max="8736" width="34" style="18" customWidth="1"/>
    <col min="8737" max="8737" width="19" style="18" customWidth="1"/>
    <col min="8738" max="8738" width="20" style="18" bestFit="1" customWidth="1"/>
    <col min="8739" max="8739" width="20.28515625" style="18" bestFit="1" customWidth="1"/>
    <col min="8740" max="8740" width="26.7109375" style="18" customWidth="1"/>
    <col min="8741" max="8741" width="20.85546875" style="18" bestFit="1" customWidth="1"/>
    <col min="8742" max="8742" width="20.85546875" style="18" customWidth="1"/>
    <col min="8743" max="8743" width="18.85546875" style="18" customWidth="1"/>
    <col min="8744" max="8744" width="17.5703125" style="18" customWidth="1"/>
    <col min="8745" max="8746" width="19.42578125" style="18" customWidth="1"/>
    <col min="8747" max="8747" width="20.7109375" style="18" bestFit="1" customWidth="1"/>
    <col min="8748" max="8748" width="80.7109375" style="18" customWidth="1"/>
    <col min="8749" max="8749" width="14.7109375" style="18" bestFit="1" customWidth="1"/>
    <col min="8750" max="8750" width="18.140625" style="18" bestFit="1" customWidth="1"/>
    <col min="8751" max="8751" width="16.7109375" style="18" bestFit="1" customWidth="1"/>
    <col min="8752" max="8752" width="18.5703125" style="18" bestFit="1" customWidth="1"/>
    <col min="8753" max="8753" width="21.28515625" style="18" bestFit="1" customWidth="1"/>
    <col min="8754" max="8754" width="16.28515625" style="18" bestFit="1" customWidth="1"/>
    <col min="8755" max="8755" width="21.140625" style="18" bestFit="1" customWidth="1"/>
    <col min="8756" max="8756" width="19" style="18" bestFit="1" customWidth="1"/>
    <col min="8757" max="8757" width="19.140625" style="18" customWidth="1"/>
    <col min="8758" max="8758" width="16.7109375" style="18" customWidth="1"/>
    <col min="8759" max="8759" width="21.140625" style="18" bestFit="1" customWidth="1"/>
    <col min="8760" max="8760" width="20.42578125" style="18" bestFit="1" customWidth="1"/>
    <col min="8761" max="8761" width="21.140625" style="18" customWidth="1"/>
    <col min="8762" max="8762" width="20.5703125" style="18" bestFit="1" customWidth="1"/>
    <col min="8763" max="8763" width="19.7109375" style="18" bestFit="1" customWidth="1"/>
    <col min="8764" max="8764" width="20.28515625" style="18" customWidth="1"/>
    <col min="8765" max="8765" width="20.85546875" style="18" bestFit="1" customWidth="1"/>
    <col min="8766" max="8766" width="19.5703125" style="18" bestFit="1" customWidth="1"/>
    <col min="8767" max="8767" width="18" style="18" customWidth="1"/>
    <col min="8768" max="8768" width="20" style="18" bestFit="1" customWidth="1"/>
    <col min="8769" max="8769" width="35.7109375" style="18" customWidth="1"/>
    <col min="8770" max="8770" width="21.140625" style="18" bestFit="1" customWidth="1"/>
    <col min="8771" max="8771" width="20.5703125" style="18" bestFit="1" customWidth="1"/>
    <col min="8772" max="8772" width="19.42578125" style="18" bestFit="1" customWidth="1"/>
    <col min="8773" max="8773" width="18.5703125" style="18" bestFit="1" customWidth="1"/>
    <col min="8774" max="8774" width="20.5703125" style="18" bestFit="1" customWidth="1"/>
    <col min="8775" max="8775" width="21.28515625" style="18" bestFit="1" customWidth="1"/>
    <col min="8776" max="8776" width="15.42578125" style="18" customWidth="1"/>
    <col min="8777" max="8777" width="20.7109375" style="18" customWidth="1"/>
    <col min="8778" max="8778" width="21.28515625" style="18" customWidth="1"/>
    <col min="8779" max="8779" width="14.85546875" style="18" bestFit="1" customWidth="1"/>
    <col min="8780" max="8780" width="23" style="18" bestFit="1" customWidth="1"/>
    <col min="8781" max="8781" width="21.28515625" style="18" bestFit="1" customWidth="1"/>
    <col min="8782" max="8782" width="20.28515625" style="18" bestFit="1" customWidth="1"/>
    <col min="8783" max="8783" width="21" style="18" bestFit="1" customWidth="1"/>
    <col min="8784" max="8784" width="18.85546875" style="18" bestFit="1" customWidth="1"/>
    <col min="8785" max="8785" width="80.7109375" style="18" customWidth="1"/>
    <col min="8786" max="8973" width="9.140625" style="18"/>
    <col min="8974" max="8974" width="2.5703125" style="18" customWidth="1"/>
    <col min="8975" max="8975" width="17.85546875" style="18" customWidth="1"/>
    <col min="8976" max="8976" width="41.5703125" style="18" customWidth="1"/>
    <col min="8977" max="8978" width="12" style="18" customWidth="1"/>
    <col min="8979" max="8979" width="17" style="18" customWidth="1"/>
    <col min="8980" max="8980" width="9.7109375" style="18" customWidth="1"/>
    <col min="8981" max="8981" width="12.28515625" style="18" customWidth="1"/>
    <col min="8982" max="8982" width="13.7109375" style="18" customWidth="1"/>
    <col min="8983" max="8983" width="13.5703125" style="18" bestFit="1" customWidth="1"/>
    <col min="8984" max="8984" width="13.5703125" style="18" customWidth="1"/>
    <col min="8985" max="8985" width="21" style="18" customWidth="1"/>
    <col min="8986" max="8989" width="13.42578125" style="18" customWidth="1"/>
    <col min="8990" max="8991" width="19" style="18" customWidth="1"/>
    <col min="8992" max="8992" width="34" style="18" customWidth="1"/>
    <col min="8993" max="8993" width="19" style="18" customWidth="1"/>
    <col min="8994" max="8994" width="20" style="18" bestFit="1" customWidth="1"/>
    <col min="8995" max="8995" width="20.28515625" style="18" bestFit="1" customWidth="1"/>
    <col min="8996" max="8996" width="26.7109375" style="18" customWidth="1"/>
    <col min="8997" max="8997" width="20.85546875" style="18" bestFit="1" customWidth="1"/>
    <col min="8998" max="8998" width="20.85546875" style="18" customWidth="1"/>
    <col min="8999" max="8999" width="18.85546875" style="18" customWidth="1"/>
    <col min="9000" max="9000" width="17.5703125" style="18" customWidth="1"/>
    <col min="9001" max="9002" width="19.42578125" style="18" customWidth="1"/>
    <col min="9003" max="9003" width="20.7109375" style="18" bestFit="1" customWidth="1"/>
    <col min="9004" max="9004" width="80.7109375" style="18" customWidth="1"/>
    <col min="9005" max="9005" width="14.7109375" style="18" bestFit="1" customWidth="1"/>
    <col min="9006" max="9006" width="18.140625" style="18" bestFit="1" customWidth="1"/>
    <col min="9007" max="9007" width="16.7109375" style="18" bestFit="1" customWidth="1"/>
    <col min="9008" max="9008" width="18.5703125" style="18" bestFit="1" customWidth="1"/>
    <col min="9009" max="9009" width="21.28515625" style="18" bestFit="1" customWidth="1"/>
    <col min="9010" max="9010" width="16.28515625" style="18" bestFit="1" customWidth="1"/>
    <col min="9011" max="9011" width="21.140625" style="18" bestFit="1" customWidth="1"/>
    <col min="9012" max="9012" width="19" style="18" bestFit="1" customWidth="1"/>
    <col min="9013" max="9013" width="19.140625" style="18" customWidth="1"/>
    <col min="9014" max="9014" width="16.7109375" style="18" customWidth="1"/>
    <col min="9015" max="9015" width="21.140625" style="18" bestFit="1" customWidth="1"/>
    <col min="9016" max="9016" width="20.42578125" style="18" bestFit="1" customWidth="1"/>
    <col min="9017" max="9017" width="21.140625" style="18" customWidth="1"/>
    <col min="9018" max="9018" width="20.5703125" style="18" bestFit="1" customWidth="1"/>
    <col min="9019" max="9019" width="19.7109375" style="18" bestFit="1" customWidth="1"/>
    <col min="9020" max="9020" width="20.28515625" style="18" customWidth="1"/>
    <col min="9021" max="9021" width="20.85546875" style="18" bestFit="1" customWidth="1"/>
    <col min="9022" max="9022" width="19.5703125" style="18" bestFit="1" customWidth="1"/>
    <col min="9023" max="9023" width="18" style="18" customWidth="1"/>
    <col min="9024" max="9024" width="20" style="18" bestFit="1" customWidth="1"/>
    <col min="9025" max="9025" width="35.7109375" style="18" customWidth="1"/>
    <col min="9026" max="9026" width="21.140625" style="18" bestFit="1" customWidth="1"/>
    <col min="9027" max="9027" width="20.5703125" style="18" bestFit="1" customWidth="1"/>
    <col min="9028" max="9028" width="19.42578125" style="18" bestFit="1" customWidth="1"/>
    <col min="9029" max="9029" width="18.5703125" style="18" bestFit="1" customWidth="1"/>
    <col min="9030" max="9030" width="20.5703125" style="18" bestFit="1" customWidth="1"/>
    <col min="9031" max="9031" width="21.28515625" style="18" bestFit="1" customWidth="1"/>
    <col min="9032" max="9032" width="15.42578125" style="18" customWidth="1"/>
    <col min="9033" max="9033" width="20.7109375" style="18" customWidth="1"/>
    <col min="9034" max="9034" width="21.28515625" style="18" customWidth="1"/>
    <col min="9035" max="9035" width="14.85546875" style="18" bestFit="1" customWidth="1"/>
    <col min="9036" max="9036" width="23" style="18" bestFit="1" customWidth="1"/>
    <col min="9037" max="9037" width="21.28515625" style="18" bestFit="1" customWidth="1"/>
    <col min="9038" max="9038" width="20.28515625" style="18" bestFit="1" customWidth="1"/>
    <col min="9039" max="9039" width="21" style="18" bestFit="1" customWidth="1"/>
    <col min="9040" max="9040" width="18.85546875" style="18" bestFit="1" customWidth="1"/>
    <col min="9041" max="9041" width="80.7109375" style="18" customWidth="1"/>
    <col min="9042" max="9229" width="9.140625" style="18"/>
    <col min="9230" max="9230" width="2.5703125" style="18" customWidth="1"/>
    <col min="9231" max="9231" width="17.85546875" style="18" customWidth="1"/>
    <col min="9232" max="9232" width="41.5703125" style="18" customWidth="1"/>
    <col min="9233" max="9234" width="12" style="18" customWidth="1"/>
    <col min="9235" max="9235" width="17" style="18" customWidth="1"/>
    <col min="9236" max="9236" width="9.7109375" style="18" customWidth="1"/>
    <col min="9237" max="9237" width="12.28515625" style="18" customWidth="1"/>
    <col min="9238" max="9238" width="13.7109375" style="18" customWidth="1"/>
    <col min="9239" max="9239" width="13.5703125" style="18" bestFit="1" customWidth="1"/>
    <col min="9240" max="9240" width="13.5703125" style="18" customWidth="1"/>
    <col min="9241" max="9241" width="21" style="18" customWidth="1"/>
    <col min="9242" max="9245" width="13.42578125" style="18" customWidth="1"/>
    <col min="9246" max="9247" width="19" style="18" customWidth="1"/>
    <col min="9248" max="9248" width="34" style="18" customWidth="1"/>
    <col min="9249" max="9249" width="19" style="18" customWidth="1"/>
    <col min="9250" max="9250" width="20" style="18" bestFit="1" customWidth="1"/>
    <col min="9251" max="9251" width="20.28515625" style="18" bestFit="1" customWidth="1"/>
    <col min="9252" max="9252" width="26.7109375" style="18" customWidth="1"/>
    <col min="9253" max="9253" width="20.85546875" style="18" bestFit="1" customWidth="1"/>
    <col min="9254" max="9254" width="20.85546875" style="18" customWidth="1"/>
    <col min="9255" max="9255" width="18.85546875" style="18" customWidth="1"/>
    <col min="9256" max="9256" width="17.5703125" style="18" customWidth="1"/>
    <col min="9257" max="9258" width="19.42578125" style="18" customWidth="1"/>
    <col min="9259" max="9259" width="20.7109375" style="18" bestFit="1" customWidth="1"/>
    <col min="9260" max="9260" width="80.7109375" style="18" customWidth="1"/>
    <col min="9261" max="9261" width="14.7109375" style="18" bestFit="1" customWidth="1"/>
    <col min="9262" max="9262" width="18.140625" style="18" bestFit="1" customWidth="1"/>
    <col min="9263" max="9263" width="16.7109375" style="18" bestFit="1" customWidth="1"/>
    <col min="9264" max="9264" width="18.5703125" style="18" bestFit="1" customWidth="1"/>
    <col min="9265" max="9265" width="21.28515625" style="18" bestFit="1" customWidth="1"/>
    <col min="9266" max="9266" width="16.28515625" style="18" bestFit="1" customWidth="1"/>
    <col min="9267" max="9267" width="21.140625" style="18" bestFit="1" customWidth="1"/>
    <col min="9268" max="9268" width="19" style="18" bestFit="1" customWidth="1"/>
    <col min="9269" max="9269" width="19.140625" style="18" customWidth="1"/>
    <col min="9270" max="9270" width="16.7109375" style="18" customWidth="1"/>
    <col min="9271" max="9271" width="21.140625" style="18" bestFit="1" customWidth="1"/>
    <col min="9272" max="9272" width="20.42578125" style="18" bestFit="1" customWidth="1"/>
    <col min="9273" max="9273" width="21.140625" style="18" customWidth="1"/>
    <col min="9274" max="9274" width="20.5703125" style="18" bestFit="1" customWidth="1"/>
    <col min="9275" max="9275" width="19.7109375" style="18" bestFit="1" customWidth="1"/>
    <col min="9276" max="9276" width="20.28515625" style="18" customWidth="1"/>
    <col min="9277" max="9277" width="20.85546875" style="18" bestFit="1" customWidth="1"/>
    <col min="9278" max="9278" width="19.5703125" style="18" bestFit="1" customWidth="1"/>
    <col min="9279" max="9279" width="18" style="18" customWidth="1"/>
    <col min="9280" max="9280" width="20" style="18" bestFit="1" customWidth="1"/>
    <col min="9281" max="9281" width="35.7109375" style="18" customWidth="1"/>
    <col min="9282" max="9282" width="21.140625" style="18" bestFit="1" customWidth="1"/>
    <col min="9283" max="9283" width="20.5703125" style="18" bestFit="1" customWidth="1"/>
    <col min="9284" max="9284" width="19.42578125" style="18" bestFit="1" customWidth="1"/>
    <col min="9285" max="9285" width="18.5703125" style="18" bestFit="1" customWidth="1"/>
    <col min="9286" max="9286" width="20.5703125" style="18" bestFit="1" customWidth="1"/>
    <col min="9287" max="9287" width="21.28515625" style="18" bestFit="1" customWidth="1"/>
    <col min="9288" max="9288" width="15.42578125" style="18" customWidth="1"/>
    <col min="9289" max="9289" width="20.7109375" style="18" customWidth="1"/>
    <col min="9290" max="9290" width="21.28515625" style="18" customWidth="1"/>
    <col min="9291" max="9291" width="14.85546875" style="18" bestFit="1" customWidth="1"/>
    <col min="9292" max="9292" width="23" style="18" bestFit="1" customWidth="1"/>
    <col min="9293" max="9293" width="21.28515625" style="18" bestFit="1" customWidth="1"/>
    <col min="9294" max="9294" width="20.28515625" style="18" bestFit="1" customWidth="1"/>
    <col min="9295" max="9295" width="21" style="18" bestFit="1" customWidth="1"/>
    <col min="9296" max="9296" width="18.85546875" style="18" bestFit="1" customWidth="1"/>
    <col min="9297" max="9297" width="80.7109375" style="18" customWidth="1"/>
    <col min="9298" max="9485" width="9.140625" style="18"/>
    <col min="9486" max="9486" width="2.5703125" style="18" customWidth="1"/>
    <col min="9487" max="9487" width="17.85546875" style="18" customWidth="1"/>
    <col min="9488" max="9488" width="41.5703125" style="18" customWidth="1"/>
    <col min="9489" max="9490" width="12" style="18" customWidth="1"/>
    <col min="9491" max="9491" width="17" style="18" customWidth="1"/>
    <col min="9492" max="9492" width="9.7109375" style="18" customWidth="1"/>
    <col min="9493" max="9493" width="12.28515625" style="18" customWidth="1"/>
    <col min="9494" max="9494" width="13.7109375" style="18" customWidth="1"/>
    <col min="9495" max="9495" width="13.5703125" style="18" bestFit="1" customWidth="1"/>
    <col min="9496" max="9496" width="13.5703125" style="18" customWidth="1"/>
    <col min="9497" max="9497" width="21" style="18" customWidth="1"/>
    <col min="9498" max="9501" width="13.42578125" style="18" customWidth="1"/>
    <col min="9502" max="9503" width="19" style="18" customWidth="1"/>
    <col min="9504" max="9504" width="34" style="18" customWidth="1"/>
    <col min="9505" max="9505" width="19" style="18" customWidth="1"/>
    <col min="9506" max="9506" width="20" style="18" bestFit="1" customWidth="1"/>
    <col min="9507" max="9507" width="20.28515625" style="18" bestFit="1" customWidth="1"/>
    <col min="9508" max="9508" width="26.7109375" style="18" customWidth="1"/>
    <col min="9509" max="9509" width="20.85546875" style="18" bestFit="1" customWidth="1"/>
    <col min="9510" max="9510" width="20.85546875" style="18" customWidth="1"/>
    <col min="9511" max="9511" width="18.85546875" style="18" customWidth="1"/>
    <col min="9512" max="9512" width="17.5703125" style="18" customWidth="1"/>
    <col min="9513" max="9514" width="19.42578125" style="18" customWidth="1"/>
    <col min="9515" max="9515" width="20.7109375" style="18" bestFit="1" customWidth="1"/>
    <col min="9516" max="9516" width="80.7109375" style="18" customWidth="1"/>
    <col min="9517" max="9517" width="14.7109375" style="18" bestFit="1" customWidth="1"/>
    <col min="9518" max="9518" width="18.140625" style="18" bestFit="1" customWidth="1"/>
    <col min="9519" max="9519" width="16.7109375" style="18" bestFit="1" customWidth="1"/>
    <col min="9520" max="9520" width="18.5703125" style="18" bestFit="1" customWidth="1"/>
    <col min="9521" max="9521" width="21.28515625" style="18" bestFit="1" customWidth="1"/>
    <col min="9522" max="9522" width="16.28515625" style="18" bestFit="1" customWidth="1"/>
    <col min="9523" max="9523" width="21.140625" style="18" bestFit="1" customWidth="1"/>
    <col min="9524" max="9524" width="19" style="18" bestFit="1" customWidth="1"/>
    <col min="9525" max="9525" width="19.140625" style="18" customWidth="1"/>
    <col min="9526" max="9526" width="16.7109375" style="18" customWidth="1"/>
    <col min="9527" max="9527" width="21.140625" style="18" bestFit="1" customWidth="1"/>
    <col min="9528" max="9528" width="20.42578125" style="18" bestFit="1" customWidth="1"/>
    <col min="9529" max="9529" width="21.140625" style="18" customWidth="1"/>
    <col min="9530" max="9530" width="20.5703125" style="18" bestFit="1" customWidth="1"/>
    <col min="9531" max="9531" width="19.7109375" style="18" bestFit="1" customWidth="1"/>
    <col min="9532" max="9532" width="20.28515625" style="18" customWidth="1"/>
    <col min="9533" max="9533" width="20.85546875" style="18" bestFit="1" customWidth="1"/>
    <col min="9534" max="9534" width="19.5703125" style="18" bestFit="1" customWidth="1"/>
    <col min="9535" max="9535" width="18" style="18" customWidth="1"/>
    <col min="9536" max="9536" width="20" style="18" bestFit="1" customWidth="1"/>
    <col min="9537" max="9537" width="35.7109375" style="18" customWidth="1"/>
    <col min="9538" max="9538" width="21.140625" style="18" bestFit="1" customWidth="1"/>
    <col min="9539" max="9539" width="20.5703125" style="18" bestFit="1" customWidth="1"/>
    <col min="9540" max="9540" width="19.42578125" style="18" bestFit="1" customWidth="1"/>
    <col min="9541" max="9541" width="18.5703125" style="18" bestFit="1" customWidth="1"/>
    <col min="9542" max="9542" width="20.5703125" style="18" bestFit="1" customWidth="1"/>
    <col min="9543" max="9543" width="21.28515625" style="18" bestFit="1" customWidth="1"/>
    <col min="9544" max="9544" width="15.42578125" style="18" customWidth="1"/>
    <col min="9545" max="9545" width="20.7109375" style="18" customWidth="1"/>
    <col min="9546" max="9546" width="21.28515625" style="18" customWidth="1"/>
    <col min="9547" max="9547" width="14.85546875" style="18" bestFit="1" customWidth="1"/>
    <col min="9548" max="9548" width="23" style="18" bestFit="1" customWidth="1"/>
    <col min="9549" max="9549" width="21.28515625" style="18" bestFit="1" customWidth="1"/>
    <col min="9550" max="9550" width="20.28515625" style="18" bestFit="1" customWidth="1"/>
    <col min="9551" max="9551" width="21" style="18" bestFit="1" customWidth="1"/>
    <col min="9552" max="9552" width="18.85546875" style="18" bestFit="1" customWidth="1"/>
    <col min="9553" max="9553" width="80.7109375" style="18" customWidth="1"/>
    <col min="9554" max="9741" width="9.140625" style="18"/>
    <col min="9742" max="9742" width="2.5703125" style="18" customWidth="1"/>
    <col min="9743" max="9743" width="17.85546875" style="18" customWidth="1"/>
    <col min="9744" max="9744" width="41.5703125" style="18" customWidth="1"/>
    <col min="9745" max="9746" width="12" style="18" customWidth="1"/>
    <col min="9747" max="9747" width="17" style="18" customWidth="1"/>
    <col min="9748" max="9748" width="9.7109375" style="18" customWidth="1"/>
    <col min="9749" max="9749" width="12.28515625" style="18" customWidth="1"/>
    <col min="9750" max="9750" width="13.7109375" style="18" customWidth="1"/>
    <col min="9751" max="9751" width="13.5703125" style="18" bestFit="1" customWidth="1"/>
    <col min="9752" max="9752" width="13.5703125" style="18" customWidth="1"/>
    <col min="9753" max="9753" width="21" style="18" customWidth="1"/>
    <col min="9754" max="9757" width="13.42578125" style="18" customWidth="1"/>
    <col min="9758" max="9759" width="19" style="18" customWidth="1"/>
    <col min="9760" max="9760" width="34" style="18" customWidth="1"/>
    <col min="9761" max="9761" width="19" style="18" customWidth="1"/>
    <col min="9762" max="9762" width="20" style="18" bestFit="1" customWidth="1"/>
    <col min="9763" max="9763" width="20.28515625" style="18" bestFit="1" customWidth="1"/>
    <col min="9764" max="9764" width="26.7109375" style="18" customWidth="1"/>
    <col min="9765" max="9765" width="20.85546875" style="18" bestFit="1" customWidth="1"/>
    <col min="9766" max="9766" width="20.85546875" style="18" customWidth="1"/>
    <col min="9767" max="9767" width="18.85546875" style="18" customWidth="1"/>
    <col min="9768" max="9768" width="17.5703125" style="18" customWidth="1"/>
    <col min="9769" max="9770" width="19.42578125" style="18" customWidth="1"/>
    <col min="9771" max="9771" width="20.7109375" style="18" bestFit="1" customWidth="1"/>
    <col min="9772" max="9772" width="80.7109375" style="18" customWidth="1"/>
    <col min="9773" max="9773" width="14.7109375" style="18" bestFit="1" customWidth="1"/>
    <col min="9774" max="9774" width="18.140625" style="18" bestFit="1" customWidth="1"/>
    <col min="9775" max="9775" width="16.7109375" style="18" bestFit="1" customWidth="1"/>
    <col min="9776" max="9776" width="18.5703125" style="18" bestFit="1" customWidth="1"/>
    <col min="9777" max="9777" width="21.28515625" style="18" bestFit="1" customWidth="1"/>
    <col min="9778" max="9778" width="16.28515625" style="18" bestFit="1" customWidth="1"/>
    <col min="9779" max="9779" width="21.140625" style="18" bestFit="1" customWidth="1"/>
    <col min="9780" max="9780" width="19" style="18" bestFit="1" customWidth="1"/>
    <col min="9781" max="9781" width="19.140625" style="18" customWidth="1"/>
    <col min="9782" max="9782" width="16.7109375" style="18" customWidth="1"/>
    <col min="9783" max="9783" width="21.140625" style="18" bestFit="1" customWidth="1"/>
    <col min="9784" max="9784" width="20.42578125" style="18" bestFit="1" customWidth="1"/>
    <col min="9785" max="9785" width="21.140625" style="18" customWidth="1"/>
    <col min="9786" max="9786" width="20.5703125" style="18" bestFit="1" customWidth="1"/>
    <col min="9787" max="9787" width="19.7109375" style="18" bestFit="1" customWidth="1"/>
    <col min="9788" max="9788" width="20.28515625" style="18" customWidth="1"/>
    <col min="9789" max="9789" width="20.85546875" style="18" bestFit="1" customWidth="1"/>
    <col min="9790" max="9790" width="19.5703125" style="18" bestFit="1" customWidth="1"/>
    <col min="9791" max="9791" width="18" style="18" customWidth="1"/>
    <col min="9792" max="9792" width="20" style="18" bestFit="1" customWidth="1"/>
    <col min="9793" max="9793" width="35.7109375" style="18" customWidth="1"/>
    <col min="9794" max="9794" width="21.140625" style="18" bestFit="1" customWidth="1"/>
    <col min="9795" max="9795" width="20.5703125" style="18" bestFit="1" customWidth="1"/>
    <col min="9796" max="9796" width="19.42578125" style="18" bestFit="1" customWidth="1"/>
    <col min="9797" max="9797" width="18.5703125" style="18" bestFit="1" customWidth="1"/>
    <col min="9798" max="9798" width="20.5703125" style="18" bestFit="1" customWidth="1"/>
    <col min="9799" max="9799" width="21.28515625" style="18" bestFit="1" customWidth="1"/>
    <col min="9800" max="9800" width="15.42578125" style="18" customWidth="1"/>
    <col min="9801" max="9801" width="20.7109375" style="18" customWidth="1"/>
    <col min="9802" max="9802" width="21.28515625" style="18" customWidth="1"/>
    <col min="9803" max="9803" width="14.85546875" style="18" bestFit="1" customWidth="1"/>
    <col min="9804" max="9804" width="23" style="18" bestFit="1" customWidth="1"/>
    <col min="9805" max="9805" width="21.28515625" style="18" bestFit="1" customWidth="1"/>
    <col min="9806" max="9806" width="20.28515625" style="18" bestFit="1" customWidth="1"/>
    <col min="9807" max="9807" width="21" style="18" bestFit="1" customWidth="1"/>
    <col min="9808" max="9808" width="18.85546875" style="18" bestFit="1" customWidth="1"/>
    <col min="9809" max="9809" width="80.7109375" style="18" customWidth="1"/>
    <col min="9810" max="9997" width="9.140625" style="18"/>
    <col min="9998" max="9998" width="2.5703125" style="18" customWidth="1"/>
    <col min="9999" max="9999" width="17.85546875" style="18" customWidth="1"/>
    <col min="10000" max="10000" width="41.5703125" style="18" customWidth="1"/>
    <col min="10001" max="10002" width="12" style="18" customWidth="1"/>
    <col min="10003" max="10003" width="17" style="18" customWidth="1"/>
    <col min="10004" max="10004" width="9.7109375" style="18" customWidth="1"/>
    <col min="10005" max="10005" width="12.28515625" style="18" customWidth="1"/>
    <col min="10006" max="10006" width="13.7109375" style="18" customWidth="1"/>
    <col min="10007" max="10007" width="13.5703125" style="18" bestFit="1" customWidth="1"/>
    <col min="10008" max="10008" width="13.5703125" style="18" customWidth="1"/>
    <col min="10009" max="10009" width="21" style="18" customWidth="1"/>
    <col min="10010" max="10013" width="13.42578125" style="18" customWidth="1"/>
    <col min="10014" max="10015" width="19" style="18" customWidth="1"/>
    <col min="10016" max="10016" width="34" style="18" customWidth="1"/>
    <col min="10017" max="10017" width="19" style="18" customWidth="1"/>
    <col min="10018" max="10018" width="20" style="18" bestFit="1" customWidth="1"/>
    <col min="10019" max="10019" width="20.28515625" style="18" bestFit="1" customWidth="1"/>
    <col min="10020" max="10020" width="26.7109375" style="18" customWidth="1"/>
    <col min="10021" max="10021" width="20.85546875" style="18" bestFit="1" customWidth="1"/>
    <col min="10022" max="10022" width="20.85546875" style="18" customWidth="1"/>
    <col min="10023" max="10023" width="18.85546875" style="18" customWidth="1"/>
    <col min="10024" max="10024" width="17.5703125" style="18" customWidth="1"/>
    <col min="10025" max="10026" width="19.42578125" style="18" customWidth="1"/>
    <col min="10027" max="10027" width="20.7109375" style="18" bestFit="1" customWidth="1"/>
    <col min="10028" max="10028" width="80.7109375" style="18" customWidth="1"/>
    <col min="10029" max="10029" width="14.7109375" style="18" bestFit="1" customWidth="1"/>
    <col min="10030" max="10030" width="18.140625" style="18" bestFit="1" customWidth="1"/>
    <col min="10031" max="10031" width="16.7109375" style="18" bestFit="1" customWidth="1"/>
    <col min="10032" max="10032" width="18.5703125" style="18" bestFit="1" customWidth="1"/>
    <col min="10033" max="10033" width="21.28515625" style="18" bestFit="1" customWidth="1"/>
    <col min="10034" max="10034" width="16.28515625" style="18" bestFit="1" customWidth="1"/>
    <col min="10035" max="10035" width="21.140625" style="18" bestFit="1" customWidth="1"/>
    <col min="10036" max="10036" width="19" style="18" bestFit="1" customWidth="1"/>
    <col min="10037" max="10037" width="19.140625" style="18" customWidth="1"/>
    <col min="10038" max="10038" width="16.7109375" style="18" customWidth="1"/>
    <col min="10039" max="10039" width="21.140625" style="18" bestFit="1" customWidth="1"/>
    <col min="10040" max="10040" width="20.42578125" style="18" bestFit="1" customWidth="1"/>
    <col min="10041" max="10041" width="21.140625" style="18" customWidth="1"/>
    <col min="10042" max="10042" width="20.5703125" style="18" bestFit="1" customWidth="1"/>
    <col min="10043" max="10043" width="19.7109375" style="18" bestFit="1" customWidth="1"/>
    <col min="10044" max="10044" width="20.28515625" style="18" customWidth="1"/>
    <col min="10045" max="10045" width="20.85546875" style="18" bestFit="1" customWidth="1"/>
    <col min="10046" max="10046" width="19.5703125" style="18" bestFit="1" customWidth="1"/>
    <col min="10047" max="10047" width="18" style="18" customWidth="1"/>
    <col min="10048" max="10048" width="20" style="18" bestFit="1" customWidth="1"/>
    <col min="10049" max="10049" width="35.7109375" style="18" customWidth="1"/>
    <col min="10050" max="10050" width="21.140625" style="18" bestFit="1" customWidth="1"/>
    <col min="10051" max="10051" width="20.5703125" style="18" bestFit="1" customWidth="1"/>
    <col min="10052" max="10052" width="19.42578125" style="18" bestFit="1" customWidth="1"/>
    <col min="10053" max="10053" width="18.5703125" style="18" bestFit="1" customWidth="1"/>
    <col min="10054" max="10054" width="20.5703125" style="18" bestFit="1" customWidth="1"/>
    <col min="10055" max="10055" width="21.28515625" style="18" bestFit="1" customWidth="1"/>
    <col min="10056" max="10056" width="15.42578125" style="18" customWidth="1"/>
    <col min="10057" max="10057" width="20.7109375" style="18" customWidth="1"/>
    <col min="10058" max="10058" width="21.28515625" style="18" customWidth="1"/>
    <col min="10059" max="10059" width="14.85546875" style="18" bestFit="1" customWidth="1"/>
    <col min="10060" max="10060" width="23" style="18" bestFit="1" customWidth="1"/>
    <col min="10061" max="10061" width="21.28515625" style="18" bestFit="1" customWidth="1"/>
    <col min="10062" max="10062" width="20.28515625" style="18" bestFit="1" customWidth="1"/>
    <col min="10063" max="10063" width="21" style="18" bestFit="1" customWidth="1"/>
    <col min="10064" max="10064" width="18.85546875" style="18" bestFit="1" customWidth="1"/>
    <col min="10065" max="10065" width="80.7109375" style="18" customWidth="1"/>
    <col min="10066" max="10253" width="9.140625" style="18"/>
    <col min="10254" max="10254" width="2.5703125" style="18" customWidth="1"/>
    <col min="10255" max="10255" width="17.85546875" style="18" customWidth="1"/>
    <col min="10256" max="10256" width="41.5703125" style="18" customWidth="1"/>
    <col min="10257" max="10258" width="12" style="18" customWidth="1"/>
    <col min="10259" max="10259" width="17" style="18" customWidth="1"/>
    <col min="10260" max="10260" width="9.7109375" style="18" customWidth="1"/>
    <col min="10261" max="10261" width="12.28515625" style="18" customWidth="1"/>
    <col min="10262" max="10262" width="13.7109375" style="18" customWidth="1"/>
    <col min="10263" max="10263" width="13.5703125" style="18" bestFit="1" customWidth="1"/>
    <col min="10264" max="10264" width="13.5703125" style="18" customWidth="1"/>
    <col min="10265" max="10265" width="21" style="18" customWidth="1"/>
    <col min="10266" max="10269" width="13.42578125" style="18" customWidth="1"/>
    <col min="10270" max="10271" width="19" style="18" customWidth="1"/>
    <col min="10272" max="10272" width="34" style="18" customWidth="1"/>
    <col min="10273" max="10273" width="19" style="18" customWidth="1"/>
    <col min="10274" max="10274" width="20" style="18" bestFit="1" customWidth="1"/>
    <col min="10275" max="10275" width="20.28515625" style="18" bestFit="1" customWidth="1"/>
    <col min="10276" max="10276" width="26.7109375" style="18" customWidth="1"/>
    <col min="10277" max="10277" width="20.85546875" style="18" bestFit="1" customWidth="1"/>
    <col min="10278" max="10278" width="20.85546875" style="18" customWidth="1"/>
    <col min="10279" max="10279" width="18.85546875" style="18" customWidth="1"/>
    <col min="10280" max="10280" width="17.5703125" style="18" customWidth="1"/>
    <col min="10281" max="10282" width="19.42578125" style="18" customWidth="1"/>
    <col min="10283" max="10283" width="20.7109375" style="18" bestFit="1" customWidth="1"/>
    <col min="10284" max="10284" width="80.7109375" style="18" customWidth="1"/>
    <col min="10285" max="10285" width="14.7109375" style="18" bestFit="1" customWidth="1"/>
    <col min="10286" max="10286" width="18.140625" style="18" bestFit="1" customWidth="1"/>
    <col min="10287" max="10287" width="16.7109375" style="18" bestFit="1" customWidth="1"/>
    <col min="10288" max="10288" width="18.5703125" style="18" bestFit="1" customWidth="1"/>
    <col min="10289" max="10289" width="21.28515625" style="18" bestFit="1" customWidth="1"/>
    <col min="10290" max="10290" width="16.28515625" style="18" bestFit="1" customWidth="1"/>
    <col min="10291" max="10291" width="21.140625" style="18" bestFit="1" customWidth="1"/>
    <col min="10292" max="10292" width="19" style="18" bestFit="1" customWidth="1"/>
    <col min="10293" max="10293" width="19.140625" style="18" customWidth="1"/>
    <col min="10294" max="10294" width="16.7109375" style="18" customWidth="1"/>
    <col min="10295" max="10295" width="21.140625" style="18" bestFit="1" customWidth="1"/>
    <col min="10296" max="10296" width="20.42578125" style="18" bestFit="1" customWidth="1"/>
    <col min="10297" max="10297" width="21.140625" style="18" customWidth="1"/>
    <col min="10298" max="10298" width="20.5703125" style="18" bestFit="1" customWidth="1"/>
    <col min="10299" max="10299" width="19.7109375" style="18" bestFit="1" customWidth="1"/>
    <col min="10300" max="10300" width="20.28515625" style="18" customWidth="1"/>
    <col min="10301" max="10301" width="20.85546875" style="18" bestFit="1" customWidth="1"/>
    <col min="10302" max="10302" width="19.5703125" style="18" bestFit="1" customWidth="1"/>
    <col min="10303" max="10303" width="18" style="18" customWidth="1"/>
    <col min="10304" max="10304" width="20" style="18" bestFit="1" customWidth="1"/>
    <col min="10305" max="10305" width="35.7109375" style="18" customWidth="1"/>
    <col min="10306" max="10306" width="21.140625" style="18" bestFit="1" customWidth="1"/>
    <col min="10307" max="10307" width="20.5703125" style="18" bestFit="1" customWidth="1"/>
    <col min="10308" max="10308" width="19.42578125" style="18" bestFit="1" customWidth="1"/>
    <col min="10309" max="10309" width="18.5703125" style="18" bestFit="1" customWidth="1"/>
    <col min="10310" max="10310" width="20.5703125" style="18" bestFit="1" customWidth="1"/>
    <col min="10311" max="10311" width="21.28515625" style="18" bestFit="1" customWidth="1"/>
    <col min="10312" max="10312" width="15.42578125" style="18" customWidth="1"/>
    <col min="10313" max="10313" width="20.7109375" style="18" customWidth="1"/>
    <col min="10314" max="10314" width="21.28515625" style="18" customWidth="1"/>
    <col min="10315" max="10315" width="14.85546875" style="18" bestFit="1" customWidth="1"/>
    <col min="10316" max="10316" width="23" style="18" bestFit="1" customWidth="1"/>
    <col min="10317" max="10317" width="21.28515625" style="18" bestFit="1" customWidth="1"/>
    <col min="10318" max="10318" width="20.28515625" style="18" bestFit="1" customWidth="1"/>
    <col min="10319" max="10319" width="21" style="18" bestFit="1" customWidth="1"/>
    <col min="10320" max="10320" width="18.85546875" style="18" bestFit="1" customWidth="1"/>
    <col min="10321" max="10321" width="80.7109375" style="18" customWidth="1"/>
    <col min="10322" max="10509" width="9.140625" style="18"/>
    <col min="10510" max="10510" width="2.5703125" style="18" customWidth="1"/>
    <col min="10511" max="10511" width="17.85546875" style="18" customWidth="1"/>
    <col min="10512" max="10512" width="41.5703125" style="18" customWidth="1"/>
    <col min="10513" max="10514" width="12" style="18" customWidth="1"/>
    <col min="10515" max="10515" width="17" style="18" customWidth="1"/>
    <col min="10516" max="10516" width="9.7109375" style="18" customWidth="1"/>
    <col min="10517" max="10517" width="12.28515625" style="18" customWidth="1"/>
    <col min="10518" max="10518" width="13.7109375" style="18" customWidth="1"/>
    <col min="10519" max="10519" width="13.5703125" style="18" bestFit="1" customWidth="1"/>
    <col min="10520" max="10520" width="13.5703125" style="18" customWidth="1"/>
    <col min="10521" max="10521" width="21" style="18" customWidth="1"/>
    <col min="10522" max="10525" width="13.42578125" style="18" customWidth="1"/>
    <col min="10526" max="10527" width="19" style="18" customWidth="1"/>
    <col min="10528" max="10528" width="34" style="18" customWidth="1"/>
    <col min="10529" max="10529" width="19" style="18" customWidth="1"/>
    <col min="10530" max="10530" width="20" style="18" bestFit="1" customWidth="1"/>
    <col min="10531" max="10531" width="20.28515625" style="18" bestFit="1" customWidth="1"/>
    <col min="10532" max="10532" width="26.7109375" style="18" customWidth="1"/>
    <col min="10533" max="10533" width="20.85546875" style="18" bestFit="1" customWidth="1"/>
    <col min="10534" max="10534" width="20.85546875" style="18" customWidth="1"/>
    <col min="10535" max="10535" width="18.85546875" style="18" customWidth="1"/>
    <col min="10536" max="10536" width="17.5703125" style="18" customWidth="1"/>
    <col min="10537" max="10538" width="19.42578125" style="18" customWidth="1"/>
    <col min="10539" max="10539" width="20.7109375" style="18" bestFit="1" customWidth="1"/>
    <col min="10540" max="10540" width="80.7109375" style="18" customWidth="1"/>
    <col min="10541" max="10541" width="14.7109375" style="18" bestFit="1" customWidth="1"/>
    <col min="10542" max="10542" width="18.140625" style="18" bestFit="1" customWidth="1"/>
    <col min="10543" max="10543" width="16.7109375" style="18" bestFit="1" customWidth="1"/>
    <col min="10544" max="10544" width="18.5703125" style="18" bestFit="1" customWidth="1"/>
    <col min="10545" max="10545" width="21.28515625" style="18" bestFit="1" customWidth="1"/>
    <col min="10546" max="10546" width="16.28515625" style="18" bestFit="1" customWidth="1"/>
    <col min="10547" max="10547" width="21.140625" style="18" bestFit="1" customWidth="1"/>
    <col min="10548" max="10548" width="19" style="18" bestFit="1" customWidth="1"/>
    <col min="10549" max="10549" width="19.140625" style="18" customWidth="1"/>
    <col min="10550" max="10550" width="16.7109375" style="18" customWidth="1"/>
    <col min="10551" max="10551" width="21.140625" style="18" bestFit="1" customWidth="1"/>
    <col min="10552" max="10552" width="20.42578125" style="18" bestFit="1" customWidth="1"/>
    <col min="10553" max="10553" width="21.140625" style="18" customWidth="1"/>
    <col min="10554" max="10554" width="20.5703125" style="18" bestFit="1" customWidth="1"/>
    <col min="10555" max="10555" width="19.7109375" style="18" bestFit="1" customWidth="1"/>
    <col min="10556" max="10556" width="20.28515625" style="18" customWidth="1"/>
    <col min="10557" max="10557" width="20.85546875" style="18" bestFit="1" customWidth="1"/>
    <col min="10558" max="10558" width="19.5703125" style="18" bestFit="1" customWidth="1"/>
    <col min="10559" max="10559" width="18" style="18" customWidth="1"/>
    <col min="10560" max="10560" width="20" style="18" bestFit="1" customWidth="1"/>
    <col min="10561" max="10561" width="35.7109375" style="18" customWidth="1"/>
    <col min="10562" max="10562" width="21.140625" style="18" bestFit="1" customWidth="1"/>
    <col min="10563" max="10563" width="20.5703125" style="18" bestFit="1" customWidth="1"/>
    <col min="10564" max="10564" width="19.42578125" style="18" bestFit="1" customWidth="1"/>
    <col min="10565" max="10565" width="18.5703125" style="18" bestFit="1" customWidth="1"/>
    <col min="10566" max="10566" width="20.5703125" style="18" bestFit="1" customWidth="1"/>
    <col min="10567" max="10567" width="21.28515625" style="18" bestFit="1" customWidth="1"/>
    <col min="10568" max="10568" width="15.42578125" style="18" customWidth="1"/>
    <col min="10569" max="10569" width="20.7109375" style="18" customWidth="1"/>
    <col min="10570" max="10570" width="21.28515625" style="18" customWidth="1"/>
    <col min="10571" max="10571" width="14.85546875" style="18" bestFit="1" customWidth="1"/>
    <col min="10572" max="10572" width="23" style="18" bestFit="1" customWidth="1"/>
    <col min="10573" max="10573" width="21.28515625" style="18" bestFit="1" customWidth="1"/>
    <col min="10574" max="10574" width="20.28515625" style="18" bestFit="1" customWidth="1"/>
    <col min="10575" max="10575" width="21" style="18" bestFit="1" customWidth="1"/>
    <col min="10576" max="10576" width="18.85546875" style="18" bestFit="1" customWidth="1"/>
    <col min="10577" max="10577" width="80.7109375" style="18" customWidth="1"/>
    <col min="10578" max="10765" width="9.140625" style="18"/>
    <col min="10766" max="10766" width="2.5703125" style="18" customWidth="1"/>
    <col min="10767" max="10767" width="17.85546875" style="18" customWidth="1"/>
    <col min="10768" max="10768" width="41.5703125" style="18" customWidth="1"/>
    <col min="10769" max="10770" width="12" style="18" customWidth="1"/>
    <col min="10771" max="10771" width="17" style="18" customWidth="1"/>
    <col min="10772" max="10772" width="9.7109375" style="18" customWidth="1"/>
    <col min="10773" max="10773" width="12.28515625" style="18" customWidth="1"/>
    <col min="10774" max="10774" width="13.7109375" style="18" customWidth="1"/>
    <col min="10775" max="10775" width="13.5703125" style="18" bestFit="1" customWidth="1"/>
    <col min="10776" max="10776" width="13.5703125" style="18" customWidth="1"/>
    <col min="10777" max="10777" width="21" style="18" customWidth="1"/>
    <col min="10778" max="10781" width="13.42578125" style="18" customWidth="1"/>
    <col min="10782" max="10783" width="19" style="18" customWidth="1"/>
    <col min="10784" max="10784" width="34" style="18" customWidth="1"/>
    <col min="10785" max="10785" width="19" style="18" customWidth="1"/>
    <col min="10786" max="10786" width="20" style="18" bestFit="1" customWidth="1"/>
    <col min="10787" max="10787" width="20.28515625" style="18" bestFit="1" customWidth="1"/>
    <col min="10788" max="10788" width="26.7109375" style="18" customWidth="1"/>
    <col min="10789" max="10789" width="20.85546875" style="18" bestFit="1" customWidth="1"/>
    <col min="10790" max="10790" width="20.85546875" style="18" customWidth="1"/>
    <col min="10791" max="10791" width="18.85546875" style="18" customWidth="1"/>
    <col min="10792" max="10792" width="17.5703125" style="18" customWidth="1"/>
    <col min="10793" max="10794" width="19.42578125" style="18" customWidth="1"/>
    <col min="10795" max="10795" width="20.7109375" style="18" bestFit="1" customWidth="1"/>
    <col min="10796" max="10796" width="80.7109375" style="18" customWidth="1"/>
    <col min="10797" max="10797" width="14.7109375" style="18" bestFit="1" customWidth="1"/>
    <col min="10798" max="10798" width="18.140625" style="18" bestFit="1" customWidth="1"/>
    <col min="10799" max="10799" width="16.7109375" style="18" bestFit="1" customWidth="1"/>
    <col min="10800" max="10800" width="18.5703125" style="18" bestFit="1" customWidth="1"/>
    <col min="10801" max="10801" width="21.28515625" style="18" bestFit="1" customWidth="1"/>
    <col min="10802" max="10802" width="16.28515625" style="18" bestFit="1" customWidth="1"/>
    <col min="10803" max="10803" width="21.140625" style="18" bestFit="1" customWidth="1"/>
    <col min="10804" max="10804" width="19" style="18" bestFit="1" customWidth="1"/>
    <col min="10805" max="10805" width="19.140625" style="18" customWidth="1"/>
    <col min="10806" max="10806" width="16.7109375" style="18" customWidth="1"/>
    <col min="10807" max="10807" width="21.140625" style="18" bestFit="1" customWidth="1"/>
    <col min="10808" max="10808" width="20.42578125" style="18" bestFit="1" customWidth="1"/>
    <col min="10809" max="10809" width="21.140625" style="18" customWidth="1"/>
    <col min="10810" max="10810" width="20.5703125" style="18" bestFit="1" customWidth="1"/>
    <col min="10811" max="10811" width="19.7109375" style="18" bestFit="1" customWidth="1"/>
    <col min="10812" max="10812" width="20.28515625" style="18" customWidth="1"/>
    <col min="10813" max="10813" width="20.85546875" style="18" bestFit="1" customWidth="1"/>
    <col min="10814" max="10814" width="19.5703125" style="18" bestFit="1" customWidth="1"/>
    <col min="10815" max="10815" width="18" style="18" customWidth="1"/>
    <col min="10816" max="10816" width="20" style="18" bestFit="1" customWidth="1"/>
    <col min="10817" max="10817" width="35.7109375" style="18" customWidth="1"/>
    <col min="10818" max="10818" width="21.140625" style="18" bestFit="1" customWidth="1"/>
    <col min="10819" max="10819" width="20.5703125" style="18" bestFit="1" customWidth="1"/>
    <col min="10820" max="10820" width="19.42578125" style="18" bestFit="1" customWidth="1"/>
    <col min="10821" max="10821" width="18.5703125" style="18" bestFit="1" customWidth="1"/>
    <col min="10822" max="10822" width="20.5703125" style="18" bestFit="1" customWidth="1"/>
    <col min="10823" max="10823" width="21.28515625" style="18" bestFit="1" customWidth="1"/>
    <col min="10824" max="10824" width="15.42578125" style="18" customWidth="1"/>
    <col min="10825" max="10825" width="20.7109375" style="18" customWidth="1"/>
    <col min="10826" max="10826" width="21.28515625" style="18" customWidth="1"/>
    <col min="10827" max="10827" width="14.85546875" style="18" bestFit="1" customWidth="1"/>
    <col min="10828" max="10828" width="23" style="18" bestFit="1" customWidth="1"/>
    <col min="10829" max="10829" width="21.28515625" style="18" bestFit="1" customWidth="1"/>
    <col min="10830" max="10830" width="20.28515625" style="18" bestFit="1" customWidth="1"/>
    <col min="10831" max="10831" width="21" style="18" bestFit="1" customWidth="1"/>
    <col min="10832" max="10832" width="18.85546875" style="18" bestFit="1" customWidth="1"/>
    <col min="10833" max="10833" width="80.7109375" style="18" customWidth="1"/>
    <col min="10834" max="11021" width="9.140625" style="18"/>
    <col min="11022" max="11022" width="2.5703125" style="18" customWidth="1"/>
    <col min="11023" max="11023" width="17.85546875" style="18" customWidth="1"/>
    <col min="11024" max="11024" width="41.5703125" style="18" customWidth="1"/>
    <col min="11025" max="11026" width="12" style="18" customWidth="1"/>
    <col min="11027" max="11027" width="17" style="18" customWidth="1"/>
    <col min="11028" max="11028" width="9.7109375" style="18" customWidth="1"/>
    <col min="11029" max="11029" width="12.28515625" style="18" customWidth="1"/>
    <col min="11030" max="11030" width="13.7109375" style="18" customWidth="1"/>
    <col min="11031" max="11031" width="13.5703125" style="18" bestFit="1" customWidth="1"/>
    <col min="11032" max="11032" width="13.5703125" style="18" customWidth="1"/>
    <col min="11033" max="11033" width="21" style="18" customWidth="1"/>
    <col min="11034" max="11037" width="13.42578125" style="18" customWidth="1"/>
    <col min="11038" max="11039" width="19" style="18" customWidth="1"/>
    <col min="11040" max="11040" width="34" style="18" customWidth="1"/>
    <col min="11041" max="11041" width="19" style="18" customWidth="1"/>
    <col min="11042" max="11042" width="20" style="18" bestFit="1" customWidth="1"/>
    <col min="11043" max="11043" width="20.28515625" style="18" bestFit="1" customWidth="1"/>
    <col min="11044" max="11044" width="26.7109375" style="18" customWidth="1"/>
    <col min="11045" max="11045" width="20.85546875" style="18" bestFit="1" customWidth="1"/>
    <col min="11046" max="11046" width="20.85546875" style="18" customWidth="1"/>
    <col min="11047" max="11047" width="18.85546875" style="18" customWidth="1"/>
    <col min="11048" max="11048" width="17.5703125" style="18" customWidth="1"/>
    <col min="11049" max="11050" width="19.42578125" style="18" customWidth="1"/>
    <col min="11051" max="11051" width="20.7109375" style="18" bestFit="1" customWidth="1"/>
    <col min="11052" max="11052" width="80.7109375" style="18" customWidth="1"/>
    <col min="11053" max="11053" width="14.7109375" style="18" bestFit="1" customWidth="1"/>
    <col min="11054" max="11054" width="18.140625" style="18" bestFit="1" customWidth="1"/>
    <col min="11055" max="11055" width="16.7109375" style="18" bestFit="1" customWidth="1"/>
    <col min="11056" max="11056" width="18.5703125" style="18" bestFit="1" customWidth="1"/>
    <col min="11057" max="11057" width="21.28515625" style="18" bestFit="1" customWidth="1"/>
    <col min="11058" max="11058" width="16.28515625" style="18" bestFit="1" customWidth="1"/>
    <col min="11059" max="11059" width="21.140625" style="18" bestFit="1" customWidth="1"/>
    <col min="11060" max="11060" width="19" style="18" bestFit="1" customWidth="1"/>
    <col min="11061" max="11061" width="19.140625" style="18" customWidth="1"/>
    <col min="11062" max="11062" width="16.7109375" style="18" customWidth="1"/>
    <col min="11063" max="11063" width="21.140625" style="18" bestFit="1" customWidth="1"/>
    <col min="11064" max="11064" width="20.42578125" style="18" bestFit="1" customWidth="1"/>
    <col min="11065" max="11065" width="21.140625" style="18" customWidth="1"/>
    <col min="11066" max="11066" width="20.5703125" style="18" bestFit="1" customWidth="1"/>
    <col min="11067" max="11067" width="19.7109375" style="18" bestFit="1" customWidth="1"/>
    <col min="11068" max="11068" width="20.28515625" style="18" customWidth="1"/>
    <col min="11069" max="11069" width="20.85546875" style="18" bestFit="1" customWidth="1"/>
    <col min="11070" max="11070" width="19.5703125" style="18" bestFit="1" customWidth="1"/>
    <col min="11071" max="11071" width="18" style="18" customWidth="1"/>
    <col min="11072" max="11072" width="20" style="18" bestFit="1" customWidth="1"/>
    <col min="11073" max="11073" width="35.7109375" style="18" customWidth="1"/>
    <col min="11074" max="11074" width="21.140625" style="18" bestFit="1" customWidth="1"/>
    <col min="11075" max="11075" width="20.5703125" style="18" bestFit="1" customWidth="1"/>
    <col min="11076" max="11076" width="19.42578125" style="18" bestFit="1" customWidth="1"/>
    <col min="11077" max="11077" width="18.5703125" style="18" bestFit="1" customWidth="1"/>
    <col min="11078" max="11078" width="20.5703125" style="18" bestFit="1" customWidth="1"/>
    <col min="11079" max="11079" width="21.28515625" style="18" bestFit="1" customWidth="1"/>
    <col min="11080" max="11080" width="15.42578125" style="18" customWidth="1"/>
    <col min="11081" max="11081" width="20.7109375" style="18" customWidth="1"/>
    <col min="11082" max="11082" width="21.28515625" style="18" customWidth="1"/>
    <col min="11083" max="11083" width="14.85546875" style="18" bestFit="1" customWidth="1"/>
    <col min="11084" max="11084" width="23" style="18" bestFit="1" customWidth="1"/>
    <col min="11085" max="11085" width="21.28515625" style="18" bestFit="1" customWidth="1"/>
    <col min="11086" max="11086" width="20.28515625" style="18" bestFit="1" customWidth="1"/>
    <col min="11087" max="11087" width="21" style="18" bestFit="1" customWidth="1"/>
    <col min="11088" max="11088" width="18.85546875" style="18" bestFit="1" customWidth="1"/>
    <col min="11089" max="11089" width="80.7109375" style="18" customWidth="1"/>
    <col min="11090" max="11277" width="9.140625" style="18"/>
    <col min="11278" max="11278" width="2.5703125" style="18" customWidth="1"/>
    <col min="11279" max="11279" width="17.85546875" style="18" customWidth="1"/>
    <col min="11280" max="11280" width="41.5703125" style="18" customWidth="1"/>
    <col min="11281" max="11282" width="12" style="18" customWidth="1"/>
    <col min="11283" max="11283" width="17" style="18" customWidth="1"/>
    <col min="11284" max="11284" width="9.7109375" style="18" customWidth="1"/>
    <col min="11285" max="11285" width="12.28515625" style="18" customWidth="1"/>
    <col min="11286" max="11286" width="13.7109375" style="18" customWidth="1"/>
    <col min="11287" max="11287" width="13.5703125" style="18" bestFit="1" customWidth="1"/>
    <col min="11288" max="11288" width="13.5703125" style="18" customWidth="1"/>
    <col min="11289" max="11289" width="21" style="18" customWidth="1"/>
    <col min="11290" max="11293" width="13.42578125" style="18" customWidth="1"/>
    <col min="11294" max="11295" width="19" style="18" customWidth="1"/>
    <col min="11296" max="11296" width="34" style="18" customWidth="1"/>
    <col min="11297" max="11297" width="19" style="18" customWidth="1"/>
    <col min="11298" max="11298" width="20" style="18" bestFit="1" customWidth="1"/>
    <col min="11299" max="11299" width="20.28515625" style="18" bestFit="1" customWidth="1"/>
    <col min="11300" max="11300" width="26.7109375" style="18" customWidth="1"/>
    <col min="11301" max="11301" width="20.85546875" style="18" bestFit="1" customWidth="1"/>
    <col min="11302" max="11302" width="20.85546875" style="18" customWidth="1"/>
    <col min="11303" max="11303" width="18.85546875" style="18" customWidth="1"/>
    <col min="11304" max="11304" width="17.5703125" style="18" customWidth="1"/>
    <col min="11305" max="11306" width="19.42578125" style="18" customWidth="1"/>
    <col min="11307" max="11307" width="20.7109375" style="18" bestFit="1" customWidth="1"/>
    <col min="11308" max="11308" width="80.7109375" style="18" customWidth="1"/>
    <col min="11309" max="11309" width="14.7109375" style="18" bestFit="1" customWidth="1"/>
    <col min="11310" max="11310" width="18.140625" style="18" bestFit="1" customWidth="1"/>
    <col min="11311" max="11311" width="16.7109375" style="18" bestFit="1" customWidth="1"/>
    <col min="11312" max="11312" width="18.5703125" style="18" bestFit="1" customWidth="1"/>
    <col min="11313" max="11313" width="21.28515625" style="18" bestFit="1" customWidth="1"/>
    <col min="11314" max="11314" width="16.28515625" style="18" bestFit="1" customWidth="1"/>
    <col min="11315" max="11315" width="21.140625" style="18" bestFit="1" customWidth="1"/>
    <col min="11316" max="11316" width="19" style="18" bestFit="1" customWidth="1"/>
    <col min="11317" max="11317" width="19.140625" style="18" customWidth="1"/>
    <col min="11318" max="11318" width="16.7109375" style="18" customWidth="1"/>
    <col min="11319" max="11319" width="21.140625" style="18" bestFit="1" customWidth="1"/>
    <col min="11320" max="11320" width="20.42578125" style="18" bestFit="1" customWidth="1"/>
    <col min="11321" max="11321" width="21.140625" style="18" customWidth="1"/>
    <col min="11322" max="11322" width="20.5703125" style="18" bestFit="1" customWidth="1"/>
    <col min="11323" max="11323" width="19.7109375" style="18" bestFit="1" customWidth="1"/>
    <col min="11324" max="11324" width="20.28515625" style="18" customWidth="1"/>
    <col min="11325" max="11325" width="20.85546875" style="18" bestFit="1" customWidth="1"/>
    <col min="11326" max="11326" width="19.5703125" style="18" bestFit="1" customWidth="1"/>
    <col min="11327" max="11327" width="18" style="18" customWidth="1"/>
    <col min="11328" max="11328" width="20" style="18" bestFit="1" customWidth="1"/>
    <col min="11329" max="11329" width="35.7109375" style="18" customWidth="1"/>
    <col min="11330" max="11330" width="21.140625" style="18" bestFit="1" customWidth="1"/>
    <col min="11331" max="11331" width="20.5703125" style="18" bestFit="1" customWidth="1"/>
    <col min="11332" max="11332" width="19.42578125" style="18" bestFit="1" customWidth="1"/>
    <col min="11333" max="11333" width="18.5703125" style="18" bestFit="1" customWidth="1"/>
    <col min="11334" max="11334" width="20.5703125" style="18" bestFit="1" customWidth="1"/>
    <col min="11335" max="11335" width="21.28515625" style="18" bestFit="1" customWidth="1"/>
    <col min="11336" max="11336" width="15.42578125" style="18" customWidth="1"/>
    <col min="11337" max="11337" width="20.7109375" style="18" customWidth="1"/>
    <col min="11338" max="11338" width="21.28515625" style="18" customWidth="1"/>
    <col min="11339" max="11339" width="14.85546875" style="18" bestFit="1" customWidth="1"/>
    <col min="11340" max="11340" width="23" style="18" bestFit="1" customWidth="1"/>
    <col min="11341" max="11341" width="21.28515625" style="18" bestFit="1" customWidth="1"/>
    <col min="11342" max="11342" width="20.28515625" style="18" bestFit="1" customWidth="1"/>
    <col min="11343" max="11343" width="21" style="18" bestFit="1" customWidth="1"/>
    <col min="11344" max="11344" width="18.85546875" style="18" bestFit="1" customWidth="1"/>
    <col min="11345" max="11345" width="80.7109375" style="18" customWidth="1"/>
    <col min="11346" max="11533" width="9.140625" style="18"/>
    <col min="11534" max="11534" width="2.5703125" style="18" customWidth="1"/>
    <col min="11535" max="11535" width="17.85546875" style="18" customWidth="1"/>
    <col min="11536" max="11536" width="41.5703125" style="18" customWidth="1"/>
    <col min="11537" max="11538" width="12" style="18" customWidth="1"/>
    <col min="11539" max="11539" width="17" style="18" customWidth="1"/>
    <col min="11540" max="11540" width="9.7109375" style="18" customWidth="1"/>
    <col min="11541" max="11541" width="12.28515625" style="18" customWidth="1"/>
    <col min="11542" max="11542" width="13.7109375" style="18" customWidth="1"/>
    <col min="11543" max="11543" width="13.5703125" style="18" bestFit="1" customWidth="1"/>
    <col min="11544" max="11544" width="13.5703125" style="18" customWidth="1"/>
    <col min="11545" max="11545" width="21" style="18" customWidth="1"/>
    <col min="11546" max="11549" width="13.42578125" style="18" customWidth="1"/>
    <col min="11550" max="11551" width="19" style="18" customWidth="1"/>
    <col min="11552" max="11552" width="34" style="18" customWidth="1"/>
    <col min="11553" max="11553" width="19" style="18" customWidth="1"/>
    <col min="11554" max="11554" width="20" style="18" bestFit="1" customWidth="1"/>
    <col min="11555" max="11555" width="20.28515625" style="18" bestFit="1" customWidth="1"/>
    <col min="11556" max="11556" width="26.7109375" style="18" customWidth="1"/>
    <col min="11557" max="11557" width="20.85546875" style="18" bestFit="1" customWidth="1"/>
    <col min="11558" max="11558" width="20.85546875" style="18" customWidth="1"/>
    <col min="11559" max="11559" width="18.85546875" style="18" customWidth="1"/>
    <col min="11560" max="11560" width="17.5703125" style="18" customWidth="1"/>
    <col min="11561" max="11562" width="19.42578125" style="18" customWidth="1"/>
    <col min="11563" max="11563" width="20.7109375" style="18" bestFit="1" customWidth="1"/>
    <col min="11564" max="11564" width="80.7109375" style="18" customWidth="1"/>
    <col min="11565" max="11565" width="14.7109375" style="18" bestFit="1" customWidth="1"/>
    <col min="11566" max="11566" width="18.140625" style="18" bestFit="1" customWidth="1"/>
    <col min="11567" max="11567" width="16.7109375" style="18" bestFit="1" customWidth="1"/>
    <col min="11568" max="11568" width="18.5703125" style="18" bestFit="1" customWidth="1"/>
    <col min="11569" max="11569" width="21.28515625" style="18" bestFit="1" customWidth="1"/>
    <col min="11570" max="11570" width="16.28515625" style="18" bestFit="1" customWidth="1"/>
    <col min="11571" max="11571" width="21.140625" style="18" bestFit="1" customWidth="1"/>
    <col min="11572" max="11572" width="19" style="18" bestFit="1" customWidth="1"/>
    <col min="11573" max="11573" width="19.140625" style="18" customWidth="1"/>
    <col min="11574" max="11574" width="16.7109375" style="18" customWidth="1"/>
    <col min="11575" max="11575" width="21.140625" style="18" bestFit="1" customWidth="1"/>
    <col min="11576" max="11576" width="20.42578125" style="18" bestFit="1" customWidth="1"/>
    <col min="11577" max="11577" width="21.140625" style="18" customWidth="1"/>
    <col min="11578" max="11578" width="20.5703125" style="18" bestFit="1" customWidth="1"/>
    <col min="11579" max="11579" width="19.7109375" style="18" bestFit="1" customWidth="1"/>
    <col min="11580" max="11580" width="20.28515625" style="18" customWidth="1"/>
    <col min="11581" max="11581" width="20.85546875" style="18" bestFit="1" customWidth="1"/>
    <col min="11582" max="11582" width="19.5703125" style="18" bestFit="1" customWidth="1"/>
    <col min="11583" max="11583" width="18" style="18" customWidth="1"/>
    <col min="11584" max="11584" width="20" style="18" bestFit="1" customWidth="1"/>
    <col min="11585" max="11585" width="35.7109375" style="18" customWidth="1"/>
    <col min="11586" max="11586" width="21.140625" style="18" bestFit="1" customWidth="1"/>
    <col min="11587" max="11587" width="20.5703125" style="18" bestFit="1" customWidth="1"/>
    <col min="11588" max="11588" width="19.42578125" style="18" bestFit="1" customWidth="1"/>
    <col min="11589" max="11589" width="18.5703125" style="18" bestFit="1" customWidth="1"/>
    <col min="11590" max="11590" width="20.5703125" style="18" bestFit="1" customWidth="1"/>
    <col min="11591" max="11591" width="21.28515625" style="18" bestFit="1" customWidth="1"/>
    <col min="11592" max="11592" width="15.42578125" style="18" customWidth="1"/>
    <col min="11593" max="11593" width="20.7109375" style="18" customWidth="1"/>
    <col min="11594" max="11594" width="21.28515625" style="18" customWidth="1"/>
    <col min="11595" max="11595" width="14.85546875" style="18" bestFit="1" customWidth="1"/>
    <col min="11596" max="11596" width="23" style="18" bestFit="1" customWidth="1"/>
    <col min="11597" max="11597" width="21.28515625" style="18" bestFit="1" customWidth="1"/>
    <col min="11598" max="11598" width="20.28515625" style="18" bestFit="1" customWidth="1"/>
    <col min="11599" max="11599" width="21" style="18" bestFit="1" customWidth="1"/>
    <col min="11600" max="11600" width="18.85546875" style="18" bestFit="1" customWidth="1"/>
    <col min="11601" max="11601" width="80.7109375" style="18" customWidth="1"/>
    <col min="11602" max="11789" width="9.140625" style="18"/>
    <col min="11790" max="11790" width="2.5703125" style="18" customWidth="1"/>
    <col min="11791" max="11791" width="17.85546875" style="18" customWidth="1"/>
    <col min="11792" max="11792" width="41.5703125" style="18" customWidth="1"/>
    <col min="11793" max="11794" width="12" style="18" customWidth="1"/>
    <col min="11795" max="11795" width="17" style="18" customWidth="1"/>
    <col min="11796" max="11796" width="9.7109375" style="18" customWidth="1"/>
    <col min="11797" max="11797" width="12.28515625" style="18" customWidth="1"/>
    <col min="11798" max="11798" width="13.7109375" style="18" customWidth="1"/>
    <col min="11799" max="11799" width="13.5703125" style="18" bestFit="1" customWidth="1"/>
    <col min="11800" max="11800" width="13.5703125" style="18" customWidth="1"/>
    <col min="11801" max="11801" width="21" style="18" customWidth="1"/>
    <col min="11802" max="11805" width="13.42578125" style="18" customWidth="1"/>
    <col min="11806" max="11807" width="19" style="18" customWidth="1"/>
    <col min="11808" max="11808" width="34" style="18" customWidth="1"/>
    <col min="11809" max="11809" width="19" style="18" customWidth="1"/>
    <col min="11810" max="11810" width="20" style="18" bestFit="1" customWidth="1"/>
    <col min="11811" max="11811" width="20.28515625" style="18" bestFit="1" customWidth="1"/>
    <col min="11812" max="11812" width="26.7109375" style="18" customWidth="1"/>
    <col min="11813" max="11813" width="20.85546875" style="18" bestFit="1" customWidth="1"/>
    <col min="11814" max="11814" width="20.85546875" style="18" customWidth="1"/>
    <col min="11815" max="11815" width="18.85546875" style="18" customWidth="1"/>
    <col min="11816" max="11816" width="17.5703125" style="18" customWidth="1"/>
    <col min="11817" max="11818" width="19.42578125" style="18" customWidth="1"/>
    <col min="11819" max="11819" width="20.7109375" style="18" bestFit="1" customWidth="1"/>
    <col min="11820" max="11820" width="80.7109375" style="18" customWidth="1"/>
    <col min="11821" max="11821" width="14.7109375" style="18" bestFit="1" customWidth="1"/>
    <col min="11822" max="11822" width="18.140625" style="18" bestFit="1" customWidth="1"/>
    <col min="11823" max="11823" width="16.7109375" style="18" bestFit="1" customWidth="1"/>
    <col min="11824" max="11824" width="18.5703125" style="18" bestFit="1" customWidth="1"/>
    <col min="11825" max="11825" width="21.28515625" style="18" bestFit="1" customWidth="1"/>
    <col min="11826" max="11826" width="16.28515625" style="18" bestFit="1" customWidth="1"/>
    <col min="11827" max="11827" width="21.140625" style="18" bestFit="1" customWidth="1"/>
    <col min="11828" max="11828" width="19" style="18" bestFit="1" customWidth="1"/>
    <col min="11829" max="11829" width="19.140625" style="18" customWidth="1"/>
    <col min="11830" max="11830" width="16.7109375" style="18" customWidth="1"/>
    <col min="11831" max="11831" width="21.140625" style="18" bestFit="1" customWidth="1"/>
    <col min="11832" max="11832" width="20.42578125" style="18" bestFit="1" customWidth="1"/>
    <col min="11833" max="11833" width="21.140625" style="18" customWidth="1"/>
    <col min="11834" max="11834" width="20.5703125" style="18" bestFit="1" customWidth="1"/>
    <col min="11835" max="11835" width="19.7109375" style="18" bestFit="1" customWidth="1"/>
    <col min="11836" max="11836" width="20.28515625" style="18" customWidth="1"/>
    <col min="11837" max="11837" width="20.85546875" style="18" bestFit="1" customWidth="1"/>
    <col min="11838" max="11838" width="19.5703125" style="18" bestFit="1" customWidth="1"/>
    <col min="11839" max="11839" width="18" style="18" customWidth="1"/>
    <col min="11840" max="11840" width="20" style="18" bestFit="1" customWidth="1"/>
    <col min="11841" max="11841" width="35.7109375" style="18" customWidth="1"/>
    <col min="11842" max="11842" width="21.140625" style="18" bestFit="1" customWidth="1"/>
    <col min="11843" max="11843" width="20.5703125" style="18" bestFit="1" customWidth="1"/>
    <col min="11844" max="11844" width="19.42578125" style="18" bestFit="1" customWidth="1"/>
    <col min="11845" max="11845" width="18.5703125" style="18" bestFit="1" customWidth="1"/>
    <col min="11846" max="11846" width="20.5703125" style="18" bestFit="1" customWidth="1"/>
    <col min="11847" max="11847" width="21.28515625" style="18" bestFit="1" customWidth="1"/>
    <col min="11848" max="11848" width="15.42578125" style="18" customWidth="1"/>
    <col min="11849" max="11849" width="20.7109375" style="18" customWidth="1"/>
    <col min="11850" max="11850" width="21.28515625" style="18" customWidth="1"/>
    <col min="11851" max="11851" width="14.85546875" style="18" bestFit="1" customWidth="1"/>
    <col min="11852" max="11852" width="23" style="18" bestFit="1" customWidth="1"/>
    <col min="11853" max="11853" width="21.28515625" style="18" bestFit="1" customWidth="1"/>
    <col min="11854" max="11854" width="20.28515625" style="18" bestFit="1" customWidth="1"/>
    <col min="11855" max="11855" width="21" style="18" bestFit="1" customWidth="1"/>
    <col min="11856" max="11856" width="18.85546875" style="18" bestFit="1" customWidth="1"/>
    <col min="11857" max="11857" width="80.7109375" style="18" customWidth="1"/>
    <col min="11858" max="12045" width="9.140625" style="18"/>
    <col min="12046" max="12046" width="2.5703125" style="18" customWidth="1"/>
    <col min="12047" max="12047" width="17.85546875" style="18" customWidth="1"/>
    <col min="12048" max="12048" width="41.5703125" style="18" customWidth="1"/>
    <col min="12049" max="12050" width="12" style="18" customWidth="1"/>
    <col min="12051" max="12051" width="17" style="18" customWidth="1"/>
    <col min="12052" max="12052" width="9.7109375" style="18" customWidth="1"/>
    <col min="12053" max="12053" width="12.28515625" style="18" customWidth="1"/>
    <col min="12054" max="12054" width="13.7109375" style="18" customWidth="1"/>
    <col min="12055" max="12055" width="13.5703125" style="18" bestFit="1" customWidth="1"/>
    <col min="12056" max="12056" width="13.5703125" style="18" customWidth="1"/>
    <col min="12057" max="12057" width="21" style="18" customWidth="1"/>
    <col min="12058" max="12061" width="13.42578125" style="18" customWidth="1"/>
    <col min="12062" max="12063" width="19" style="18" customWidth="1"/>
    <col min="12064" max="12064" width="34" style="18" customWidth="1"/>
    <col min="12065" max="12065" width="19" style="18" customWidth="1"/>
    <col min="12066" max="12066" width="20" style="18" bestFit="1" customWidth="1"/>
    <col min="12067" max="12067" width="20.28515625" style="18" bestFit="1" customWidth="1"/>
    <col min="12068" max="12068" width="26.7109375" style="18" customWidth="1"/>
    <col min="12069" max="12069" width="20.85546875" style="18" bestFit="1" customWidth="1"/>
    <col min="12070" max="12070" width="20.85546875" style="18" customWidth="1"/>
    <col min="12071" max="12071" width="18.85546875" style="18" customWidth="1"/>
    <col min="12072" max="12072" width="17.5703125" style="18" customWidth="1"/>
    <col min="12073" max="12074" width="19.42578125" style="18" customWidth="1"/>
    <col min="12075" max="12075" width="20.7109375" style="18" bestFit="1" customWidth="1"/>
    <col min="12076" max="12076" width="80.7109375" style="18" customWidth="1"/>
    <col min="12077" max="12077" width="14.7109375" style="18" bestFit="1" customWidth="1"/>
    <col min="12078" max="12078" width="18.140625" style="18" bestFit="1" customWidth="1"/>
    <col min="12079" max="12079" width="16.7109375" style="18" bestFit="1" customWidth="1"/>
    <col min="12080" max="12080" width="18.5703125" style="18" bestFit="1" customWidth="1"/>
    <col min="12081" max="12081" width="21.28515625" style="18" bestFit="1" customWidth="1"/>
    <col min="12082" max="12082" width="16.28515625" style="18" bestFit="1" customWidth="1"/>
    <col min="12083" max="12083" width="21.140625" style="18" bestFit="1" customWidth="1"/>
    <col min="12084" max="12084" width="19" style="18" bestFit="1" customWidth="1"/>
    <col min="12085" max="12085" width="19.140625" style="18" customWidth="1"/>
    <col min="12086" max="12086" width="16.7109375" style="18" customWidth="1"/>
    <col min="12087" max="12087" width="21.140625" style="18" bestFit="1" customWidth="1"/>
    <col min="12088" max="12088" width="20.42578125" style="18" bestFit="1" customWidth="1"/>
    <col min="12089" max="12089" width="21.140625" style="18" customWidth="1"/>
    <col min="12090" max="12090" width="20.5703125" style="18" bestFit="1" customWidth="1"/>
    <col min="12091" max="12091" width="19.7109375" style="18" bestFit="1" customWidth="1"/>
    <col min="12092" max="12092" width="20.28515625" style="18" customWidth="1"/>
    <col min="12093" max="12093" width="20.85546875" style="18" bestFit="1" customWidth="1"/>
    <col min="12094" max="12094" width="19.5703125" style="18" bestFit="1" customWidth="1"/>
    <col min="12095" max="12095" width="18" style="18" customWidth="1"/>
    <col min="12096" max="12096" width="20" style="18" bestFit="1" customWidth="1"/>
    <col min="12097" max="12097" width="35.7109375" style="18" customWidth="1"/>
    <col min="12098" max="12098" width="21.140625" style="18" bestFit="1" customWidth="1"/>
    <col min="12099" max="12099" width="20.5703125" style="18" bestFit="1" customWidth="1"/>
    <col min="12100" max="12100" width="19.42578125" style="18" bestFit="1" customWidth="1"/>
    <col min="12101" max="12101" width="18.5703125" style="18" bestFit="1" customWidth="1"/>
    <col min="12102" max="12102" width="20.5703125" style="18" bestFit="1" customWidth="1"/>
    <col min="12103" max="12103" width="21.28515625" style="18" bestFit="1" customWidth="1"/>
    <col min="12104" max="12104" width="15.42578125" style="18" customWidth="1"/>
    <col min="12105" max="12105" width="20.7109375" style="18" customWidth="1"/>
    <col min="12106" max="12106" width="21.28515625" style="18" customWidth="1"/>
    <col min="12107" max="12107" width="14.85546875" style="18" bestFit="1" customWidth="1"/>
    <col min="12108" max="12108" width="23" style="18" bestFit="1" customWidth="1"/>
    <col min="12109" max="12109" width="21.28515625" style="18" bestFit="1" customWidth="1"/>
    <col min="12110" max="12110" width="20.28515625" style="18" bestFit="1" customWidth="1"/>
    <col min="12111" max="12111" width="21" style="18" bestFit="1" customWidth="1"/>
    <col min="12112" max="12112" width="18.85546875" style="18" bestFit="1" customWidth="1"/>
    <col min="12113" max="12113" width="80.7109375" style="18" customWidth="1"/>
    <col min="12114" max="12301" width="9.140625" style="18"/>
    <col min="12302" max="12302" width="2.5703125" style="18" customWidth="1"/>
    <col min="12303" max="12303" width="17.85546875" style="18" customWidth="1"/>
    <col min="12304" max="12304" width="41.5703125" style="18" customWidth="1"/>
    <col min="12305" max="12306" width="12" style="18" customWidth="1"/>
    <col min="12307" max="12307" width="17" style="18" customWidth="1"/>
    <col min="12308" max="12308" width="9.7109375" style="18" customWidth="1"/>
    <col min="12309" max="12309" width="12.28515625" style="18" customWidth="1"/>
    <col min="12310" max="12310" width="13.7109375" style="18" customWidth="1"/>
    <col min="12311" max="12311" width="13.5703125" style="18" bestFit="1" customWidth="1"/>
    <col min="12312" max="12312" width="13.5703125" style="18" customWidth="1"/>
    <col min="12313" max="12313" width="21" style="18" customWidth="1"/>
    <col min="12314" max="12317" width="13.42578125" style="18" customWidth="1"/>
    <col min="12318" max="12319" width="19" style="18" customWidth="1"/>
    <col min="12320" max="12320" width="34" style="18" customWidth="1"/>
    <col min="12321" max="12321" width="19" style="18" customWidth="1"/>
    <col min="12322" max="12322" width="20" style="18" bestFit="1" customWidth="1"/>
    <col min="12323" max="12323" width="20.28515625" style="18" bestFit="1" customWidth="1"/>
    <col min="12324" max="12324" width="26.7109375" style="18" customWidth="1"/>
    <col min="12325" max="12325" width="20.85546875" style="18" bestFit="1" customWidth="1"/>
    <col min="12326" max="12326" width="20.85546875" style="18" customWidth="1"/>
    <col min="12327" max="12327" width="18.85546875" style="18" customWidth="1"/>
    <col min="12328" max="12328" width="17.5703125" style="18" customWidth="1"/>
    <col min="12329" max="12330" width="19.42578125" style="18" customWidth="1"/>
    <col min="12331" max="12331" width="20.7109375" style="18" bestFit="1" customWidth="1"/>
    <col min="12332" max="12332" width="80.7109375" style="18" customWidth="1"/>
    <col min="12333" max="12333" width="14.7109375" style="18" bestFit="1" customWidth="1"/>
    <col min="12334" max="12334" width="18.140625" style="18" bestFit="1" customWidth="1"/>
    <col min="12335" max="12335" width="16.7109375" style="18" bestFit="1" customWidth="1"/>
    <col min="12336" max="12336" width="18.5703125" style="18" bestFit="1" customWidth="1"/>
    <col min="12337" max="12337" width="21.28515625" style="18" bestFit="1" customWidth="1"/>
    <col min="12338" max="12338" width="16.28515625" style="18" bestFit="1" customWidth="1"/>
    <col min="12339" max="12339" width="21.140625" style="18" bestFit="1" customWidth="1"/>
    <col min="12340" max="12340" width="19" style="18" bestFit="1" customWidth="1"/>
    <col min="12341" max="12341" width="19.140625" style="18" customWidth="1"/>
    <col min="12342" max="12342" width="16.7109375" style="18" customWidth="1"/>
    <col min="12343" max="12343" width="21.140625" style="18" bestFit="1" customWidth="1"/>
    <col min="12344" max="12344" width="20.42578125" style="18" bestFit="1" customWidth="1"/>
    <col min="12345" max="12345" width="21.140625" style="18" customWidth="1"/>
    <col min="12346" max="12346" width="20.5703125" style="18" bestFit="1" customWidth="1"/>
    <col min="12347" max="12347" width="19.7109375" style="18" bestFit="1" customWidth="1"/>
    <col min="12348" max="12348" width="20.28515625" style="18" customWidth="1"/>
    <col min="12349" max="12349" width="20.85546875" style="18" bestFit="1" customWidth="1"/>
    <col min="12350" max="12350" width="19.5703125" style="18" bestFit="1" customWidth="1"/>
    <col min="12351" max="12351" width="18" style="18" customWidth="1"/>
    <col min="12352" max="12352" width="20" style="18" bestFit="1" customWidth="1"/>
    <col min="12353" max="12353" width="35.7109375" style="18" customWidth="1"/>
    <col min="12354" max="12354" width="21.140625" style="18" bestFit="1" customWidth="1"/>
    <col min="12355" max="12355" width="20.5703125" style="18" bestFit="1" customWidth="1"/>
    <col min="12356" max="12356" width="19.42578125" style="18" bestFit="1" customWidth="1"/>
    <col min="12357" max="12357" width="18.5703125" style="18" bestFit="1" customWidth="1"/>
    <col min="12358" max="12358" width="20.5703125" style="18" bestFit="1" customWidth="1"/>
    <col min="12359" max="12359" width="21.28515625" style="18" bestFit="1" customWidth="1"/>
    <col min="12360" max="12360" width="15.42578125" style="18" customWidth="1"/>
    <col min="12361" max="12361" width="20.7109375" style="18" customWidth="1"/>
    <col min="12362" max="12362" width="21.28515625" style="18" customWidth="1"/>
    <col min="12363" max="12363" width="14.85546875" style="18" bestFit="1" customWidth="1"/>
    <col min="12364" max="12364" width="23" style="18" bestFit="1" customWidth="1"/>
    <col min="12365" max="12365" width="21.28515625" style="18" bestFit="1" customWidth="1"/>
    <col min="12366" max="12366" width="20.28515625" style="18" bestFit="1" customWidth="1"/>
    <col min="12367" max="12367" width="21" style="18" bestFit="1" customWidth="1"/>
    <col min="12368" max="12368" width="18.85546875" style="18" bestFit="1" customWidth="1"/>
    <col min="12369" max="12369" width="80.7109375" style="18" customWidth="1"/>
    <col min="12370" max="12557" width="9.140625" style="18"/>
    <col min="12558" max="12558" width="2.5703125" style="18" customWidth="1"/>
    <col min="12559" max="12559" width="17.85546875" style="18" customWidth="1"/>
    <col min="12560" max="12560" width="41.5703125" style="18" customWidth="1"/>
    <col min="12561" max="12562" width="12" style="18" customWidth="1"/>
    <col min="12563" max="12563" width="17" style="18" customWidth="1"/>
    <col min="12564" max="12564" width="9.7109375" style="18" customWidth="1"/>
    <col min="12565" max="12565" width="12.28515625" style="18" customWidth="1"/>
    <col min="12566" max="12566" width="13.7109375" style="18" customWidth="1"/>
    <col min="12567" max="12567" width="13.5703125" style="18" bestFit="1" customWidth="1"/>
    <col min="12568" max="12568" width="13.5703125" style="18" customWidth="1"/>
    <col min="12569" max="12569" width="21" style="18" customWidth="1"/>
    <col min="12570" max="12573" width="13.42578125" style="18" customWidth="1"/>
    <col min="12574" max="12575" width="19" style="18" customWidth="1"/>
    <col min="12576" max="12576" width="34" style="18" customWidth="1"/>
    <col min="12577" max="12577" width="19" style="18" customWidth="1"/>
    <col min="12578" max="12578" width="20" style="18" bestFit="1" customWidth="1"/>
    <col min="12579" max="12579" width="20.28515625" style="18" bestFit="1" customWidth="1"/>
    <col min="12580" max="12580" width="26.7109375" style="18" customWidth="1"/>
    <col min="12581" max="12581" width="20.85546875" style="18" bestFit="1" customWidth="1"/>
    <col min="12582" max="12582" width="20.85546875" style="18" customWidth="1"/>
    <col min="12583" max="12583" width="18.85546875" style="18" customWidth="1"/>
    <col min="12584" max="12584" width="17.5703125" style="18" customWidth="1"/>
    <col min="12585" max="12586" width="19.42578125" style="18" customWidth="1"/>
    <col min="12587" max="12587" width="20.7109375" style="18" bestFit="1" customWidth="1"/>
    <col min="12588" max="12588" width="80.7109375" style="18" customWidth="1"/>
    <col min="12589" max="12589" width="14.7109375" style="18" bestFit="1" customWidth="1"/>
    <col min="12590" max="12590" width="18.140625" style="18" bestFit="1" customWidth="1"/>
    <col min="12591" max="12591" width="16.7109375" style="18" bestFit="1" customWidth="1"/>
    <col min="12592" max="12592" width="18.5703125" style="18" bestFit="1" customWidth="1"/>
    <col min="12593" max="12593" width="21.28515625" style="18" bestFit="1" customWidth="1"/>
    <col min="12594" max="12594" width="16.28515625" style="18" bestFit="1" customWidth="1"/>
    <col min="12595" max="12595" width="21.140625" style="18" bestFit="1" customWidth="1"/>
    <col min="12596" max="12596" width="19" style="18" bestFit="1" customWidth="1"/>
    <col min="12597" max="12597" width="19.140625" style="18" customWidth="1"/>
    <col min="12598" max="12598" width="16.7109375" style="18" customWidth="1"/>
    <col min="12599" max="12599" width="21.140625" style="18" bestFit="1" customWidth="1"/>
    <col min="12600" max="12600" width="20.42578125" style="18" bestFit="1" customWidth="1"/>
    <col min="12601" max="12601" width="21.140625" style="18" customWidth="1"/>
    <col min="12602" max="12602" width="20.5703125" style="18" bestFit="1" customWidth="1"/>
    <col min="12603" max="12603" width="19.7109375" style="18" bestFit="1" customWidth="1"/>
    <col min="12604" max="12604" width="20.28515625" style="18" customWidth="1"/>
    <col min="12605" max="12605" width="20.85546875" style="18" bestFit="1" customWidth="1"/>
    <col min="12606" max="12606" width="19.5703125" style="18" bestFit="1" customWidth="1"/>
    <col min="12607" max="12607" width="18" style="18" customWidth="1"/>
    <col min="12608" max="12608" width="20" style="18" bestFit="1" customWidth="1"/>
    <col min="12609" max="12609" width="35.7109375" style="18" customWidth="1"/>
    <col min="12610" max="12610" width="21.140625" style="18" bestFit="1" customWidth="1"/>
    <col min="12611" max="12611" width="20.5703125" style="18" bestFit="1" customWidth="1"/>
    <col min="12612" max="12612" width="19.42578125" style="18" bestFit="1" customWidth="1"/>
    <col min="12613" max="12613" width="18.5703125" style="18" bestFit="1" customWidth="1"/>
    <col min="12614" max="12614" width="20.5703125" style="18" bestFit="1" customWidth="1"/>
    <col min="12615" max="12615" width="21.28515625" style="18" bestFit="1" customWidth="1"/>
    <col min="12616" max="12616" width="15.42578125" style="18" customWidth="1"/>
    <col min="12617" max="12617" width="20.7109375" style="18" customWidth="1"/>
    <col min="12618" max="12618" width="21.28515625" style="18" customWidth="1"/>
    <col min="12619" max="12619" width="14.85546875" style="18" bestFit="1" customWidth="1"/>
    <col min="12620" max="12620" width="23" style="18" bestFit="1" customWidth="1"/>
    <col min="12621" max="12621" width="21.28515625" style="18" bestFit="1" customWidth="1"/>
    <col min="12622" max="12622" width="20.28515625" style="18" bestFit="1" customWidth="1"/>
    <col min="12623" max="12623" width="21" style="18" bestFit="1" customWidth="1"/>
    <col min="12624" max="12624" width="18.85546875" style="18" bestFit="1" customWidth="1"/>
    <col min="12625" max="12625" width="80.7109375" style="18" customWidth="1"/>
    <col min="12626" max="12813" width="9.140625" style="18"/>
    <col min="12814" max="12814" width="2.5703125" style="18" customWidth="1"/>
    <col min="12815" max="12815" width="17.85546875" style="18" customWidth="1"/>
    <col min="12816" max="12816" width="41.5703125" style="18" customWidth="1"/>
    <col min="12817" max="12818" width="12" style="18" customWidth="1"/>
    <col min="12819" max="12819" width="17" style="18" customWidth="1"/>
    <col min="12820" max="12820" width="9.7109375" style="18" customWidth="1"/>
    <col min="12821" max="12821" width="12.28515625" style="18" customWidth="1"/>
    <col min="12822" max="12822" width="13.7109375" style="18" customWidth="1"/>
    <col min="12823" max="12823" width="13.5703125" style="18" bestFit="1" customWidth="1"/>
    <col min="12824" max="12824" width="13.5703125" style="18" customWidth="1"/>
    <col min="12825" max="12825" width="21" style="18" customWidth="1"/>
    <col min="12826" max="12829" width="13.42578125" style="18" customWidth="1"/>
    <col min="12830" max="12831" width="19" style="18" customWidth="1"/>
    <col min="12832" max="12832" width="34" style="18" customWidth="1"/>
    <col min="12833" max="12833" width="19" style="18" customWidth="1"/>
    <col min="12834" max="12834" width="20" style="18" bestFit="1" customWidth="1"/>
    <col min="12835" max="12835" width="20.28515625" style="18" bestFit="1" customWidth="1"/>
    <col min="12836" max="12836" width="26.7109375" style="18" customWidth="1"/>
    <col min="12837" max="12837" width="20.85546875" style="18" bestFit="1" customWidth="1"/>
    <col min="12838" max="12838" width="20.85546875" style="18" customWidth="1"/>
    <col min="12839" max="12839" width="18.85546875" style="18" customWidth="1"/>
    <col min="12840" max="12840" width="17.5703125" style="18" customWidth="1"/>
    <col min="12841" max="12842" width="19.42578125" style="18" customWidth="1"/>
    <col min="12843" max="12843" width="20.7109375" style="18" bestFit="1" customWidth="1"/>
    <col min="12844" max="12844" width="80.7109375" style="18" customWidth="1"/>
    <col min="12845" max="12845" width="14.7109375" style="18" bestFit="1" customWidth="1"/>
    <col min="12846" max="12846" width="18.140625" style="18" bestFit="1" customWidth="1"/>
    <col min="12847" max="12847" width="16.7109375" style="18" bestFit="1" customWidth="1"/>
    <col min="12848" max="12848" width="18.5703125" style="18" bestFit="1" customWidth="1"/>
    <col min="12849" max="12849" width="21.28515625" style="18" bestFit="1" customWidth="1"/>
    <col min="12850" max="12850" width="16.28515625" style="18" bestFit="1" customWidth="1"/>
    <col min="12851" max="12851" width="21.140625" style="18" bestFit="1" customWidth="1"/>
    <col min="12852" max="12852" width="19" style="18" bestFit="1" customWidth="1"/>
    <col min="12853" max="12853" width="19.140625" style="18" customWidth="1"/>
    <col min="12854" max="12854" width="16.7109375" style="18" customWidth="1"/>
    <col min="12855" max="12855" width="21.140625" style="18" bestFit="1" customWidth="1"/>
    <col min="12856" max="12856" width="20.42578125" style="18" bestFit="1" customWidth="1"/>
    <col min="12857" max="12857" width="21.140625" style="18" customWidth="1"/>
    <col min="12858" max="12858" width="20.5703125" style="18" bestFit="1" customWidth="1"/>
    <col min="12859" max="12859" width="19.7109375" style="18" bestFit="1" customWidth="1"/>
    <col min="12860" max="12860" width="20.28515625" style="18" customWidth="1"/>
    <col min="12861" max="12861" width="20.85546875" style="18" bestFit="1" customWidth="1"/>
    <col min="12862" max="12862" width="19.5703125" style="18" bestFit="1" customWidth="1"/>
    <col min="12863" max="12863" width="18" style="18" customWidth="1"/>
    <col min="12864" max="12864" width="20" style="18" bestFit="1" customWidth="1"/>
    <col min="12865" max="12865" width="35.7109375" style="18" customWidth="1"/>
    <col min="12866" max="12866" width="21.140625" style="18" bestFit="1" customWidth="1"/>
    <col min="12867" max="12867" width="20.5703125" style="18" bestFit="1" customWidth="1"/>
    <col min="12868" max="12868" width="19.42578125" style="18" bestFit="1" customWidth="1"/>
    <col min="12869" max="12869" width="18.5703125" style="18" bestFit="1" customWidth="1"/>
    <col min="12870" max="12870" width="20.5703125" style="18" bestFit="1" customWidth="1"/>
    <col min="12871" max="12871" width="21.28515625" style="18" bestFit="1" customWidth="1"/>
    <col min="12872" max="12872" width="15.42578125" style="18" customWidth="1"/>
    <col min="12873" max="12873" width="20.7109375" style="18" customWidth="1"/>
    <col min="12874" max="12874" width="21.28515625" style="18" customWidth="1"/>
    <col min="12875" max="12875" width="14.85546875" style="18" bestFit="1" customWidth="1"/>
    <col min="12876" max="12876" width="23" style="18" bestFit="1" customWidth="1"/>
    <col min="12877" max="12877" width="21.28515625" style="18" bestFit="1" customWidth="1"/>
    <col min="12878" max="12878" width="20.28515625" style="18" bestFit="1" customWidth="1"/>
    <col min="12879" max="12879" width="21" style="18" bestFit="1" customWidth="1"/>
    <col min="12880" max="12880" width="18.85546875" style="18" bestFit="1" customWidth="1"/>
    <col min="12881" max="12881" width="80.7109375" style="18" customWidth="1"/>
    <col min="12882" max="13069" width="9.140625" style="18"/>
    <col min="13070" max="13070" width="2.5703125" style="18" customWidth="1"/>
    <col min="13071" max="13071" width="17.85546875" style="18" customWidth="1"/>
    <col min="13072" max="13072" width="41.5703125" style="18" customWidth="1"/>
    <col min="13073" max="13074" width="12" style="18" customWidth="1"/>
    <col min="13075" max="13075" width="17" style="18" customWidth="1"/>
    <col min="13076" max="13076" width="9.7109375" style="18" customWidth="1"/>
    <col min="13077" max="13077" width="12.28515625" style="18" customWidth="1"/>
    <col min="13078" max="13078" width="13.7109375" style="18" customWidth="1"/>
    <col min="13079" max="13079" width="13.5703125" style="18" bestFit="1" customWidth="1"/>
    <col min="13080" max="13080" width="13.5703125" style="18" customWidth="1"/>
    <col min="13081" max="13081" width="21" style="18" customWidth="1"/>
    <col min="13082" max="13085" width="13.42578125" style="18" customWidth="1"/>
    <col min="13086" max="13087" width="19" style="18" customWidth="1"/>
    <col min="13088" max="13088" width="34" style="18" customWidth="1"/>
    <col min="13089" max="13089" width="19" style="18" customWidth="1"/>
    <col min="13090" max="13090" width="20" style="18" bestFit="1" customWidth="1"/>
    <col min="13091" max="13091" width="20.28515625" style="18" bestFit="1" customWidth="1"/>
    <col min="13092" max="13092" width="26.7109375" style="18" customWidth="1"/>
    <col min="13093" max="13093" width="20.85546875" style="18" bestFit="1" customWidth="1"/>
    <col min="13094" max="13094" width="20.85546875" style="18" customWidth="1"/>
    <col min="13095" max="13095" width="18.85546875" style="18" customWidth="1"/>
    <col min="13096" max="13096" width="17.5703125" style="18" customWidth="1"/>
    <col min="13097" max="13098" width="19.42578125" style="18" customWidth="1"/>
    <col min="13099" max="13099" width="20.7109375" style="18" bestFit="1" customWidth="1"/>
    <col min="13100" max="13100" width="80.7109375" style="18" customWidth="1"/>
    <col min="13101" max="13101" width="14.7109375" style="18" bestFit="1" customWidth="1"/>
    <col min="13102" max="13102" width="18.140625" style="18" bestFit="1" customWidth="1"/>
    <col min="13103" max="13103" width="16.7109375" style="18" bestFit="1" customWidth="1"/>
    <col min="13104" max="13104" width="18.5703125" style="18" bestFit="1" customWidth="1"/>
    <col min="13105" max="13105" width="21.28515625" style="18" bestFit="1" customWidth="1"/>
    <col min="13106" max="13106" width="16.28515625" style="18" bestFit="1" customWidth="1"/>
    <col min="13107" max="13107" width="21.140625" style="18" bestFit="1" customWidth="1"/>
    <col min="13108" max="13108" width="19" style="18" bestFit="1" customWidth="1"/>
    <col min="13109" max="13109" width="19.140625" style="18" customWidth="1"/>
    <col min="13110" max="13110" width="16.7109375" style="18" customWidth="1"/>
    <col min="13111" max="13111" width="21.140625" style="18" bestFit="1" customWidth="1"/>
    <col min="13112" max="13112" width="20.42578125" style="18" bestFit="1" customWidth="1"/>
    <col min="13113" max="13113" width="21.140625" style="18" customWidth="1"/>
    <col min="13114" max="13114" width="20.5703125" style="18" bestFit="1" customWidth="1"/>
    <col min="13115" max="13115" width="19.7109375" style="18" bestFit="1" customWidth="1"/>
    <col min="13116" max="13116" width="20.28515625" style="18" customWidth="1"/>
    <col min="13117" max="13117" width="20.85546875" style="18" bestFit="1" customWidth="1"/>
    <col min="13118" max="13118" width="19.5703125" style="18" bestFit="1" customWidth="1"/>
    <col min="13119" max="13119" width="18" style="18" customWidth="1"/>
    <col min="13120" max="13120" width="20" style="18" bestFit="1" customWidth="1"/>
    <col min="13121" max="13121" width="35.7109375" style="18" customWidth="1"/>
    <col min="13122" max="13122" width="21.140625" style="18" bestFit="1" customWidth="1"/>
    <col min="13123" max="13123" width="20.5703125" style="18" bestFit="1" customWidth="1"/>
    <col min="13124" max="13124" width="19.42578125" style="18" bestFit="1" customWidth="1"/>
    <col min="13125" max="13125" width="18.5703125" style="18" bestFit="1" customWidth="1"/>
    <col min="13126" max="13126" width="20.5703125" style="18" bestFit="1" customWidth="1"/>
    <col min="13127" max="13127" width="21.28515625" style="18" bestFit="1" customWidth="1"/>
    <col min="13128" max="13128" width="15.42578125" style="18" customWidth="1"/>
    <col min="13129" max="13129" width="20.7109375" style="18" customWidth="1"/>
    <col min="13130" max="13130" width="21.28515625" style="18" customWidth="1"/>
    <col min="13131" max="13131" width="14.85546875" style="18" bestFit="1" customWidth="1"/>
    <col min="13132" max="13132" width="23" style="18" bestFit="1" customWidth="1"/>
    <col min="13133" max="13133" width="21.28515625" style="18" bestFit="1" customWidth="1"/>
    <col min="13134" max="13134" width="20.28515625" style="18" bestFit="1" customWidth="1"/>
    <col min="13135" max="13135" width="21" style="18" bestFit="1" customWidth="1"/>
    <col min="13136" max="13136" width="18.85546875" style="18" bestFit="1" customWidth="1"/>
    <col min="13137" max="13137" width="80.7109375" style="18" customWidth="1"/>
    <col min="13138" max="13325" width="9.140625" style="18"/>
    <col min="13326" max="13326" width="2.5703125" style="18" customWidth="1"/>
    <col min="13327" max="13327" width="17.85546875" style="18" customWidth="1"/>
    <col min="13328" max="13328" width="41.5703125" style="18" customWidth="1"/>
    <col min="13329" max="13330" width="12" style="18" customWidth="1"/>
    <col min="13331" max="13331" width="17" style="18" customWidth="1"/>
    <col min="13332" max="13332" width="9.7109375" style="18" customWidth="1"/>
    <col min="13333" max="13333" width="12.28515625" style="18" customWidth="1"/>
    <col min="13334" max="13334" width="13.7109375" style="18" customWidth="1"/>
    <col min="13335" max="13335" width="13.5703125" style="18" bestFit="1" customWidth="1"/>
    <col min="13336" max="13336" width="13.5703125" style="18" customWidth="1"/>
    <col min="13337" max="13337" width="21" style="18" customWidth="1"/>
    <col min="13338" max="13341" width="13.42578125" style="18" customWidth="1"/>
    <col min="13342" max="13343" width="19" style="18" customWidth="1"/>
    <col min="13344" max="13344" width="34" style="18" customWidth="1"/>
    <col min="13345" max="13345" width="19" style="18" customWidth="1"/>
    <col min="13346" max="13346" width="20" style="18" bestFit="1" customWidth="1"/>
    <col min="13347" max="13347" width="20.28515625" style="18" bestFit="1" customWidth="1"/>
    <col min="13348" max="13348" width="26.7109375" style="18" customWidth="1"/>
    <col min="13349" max="13349" width="20.85546875" style="18" bestFit="1" customWidth="1"/>
    <col min="13350" max="13350" width="20.85546875" style="18" customWidth="1"/>
    <col min="13351" max="13351" width="18.85546875" style="18" customWidth="1"/>
    <col min="13352" max="13352" width="17.5703125" style="18" customWidth="1"/>
    <col min="13353" max="13354" width="19.42578125" style="18" customWidth="1"/>
    <col min="13355" max="13355" width="20.7109375" style="18" bestFit="1" customWidth="1"/>
    <col min="13356" max="13356" width="80.7109375" style="18" customWidth="1"/>
    <col min="13357" max="13357" width="14.7109375" style="18" bestFit="1" customWidth="1"/>
    <col min="13358" max="13358" width="18.140625" style="18" bestFit="1" customWidth="1"/>
    <col min="13359" max="13359" width="16.7109375" style="18" bestFit="1" customWidth="1"/>
    <col min="13360" max="13360" width="18.5703125" style="18" bestFit="1" customWidth="1"/>
    <col min="13361" max="13361" width="21.28515625" style="18" bestFit="1" customWidth="1"/>
    <col min="13362" max="13362" width="16.28515625" style="18" bestFit="1" customWidth="1"/>
    <col min="13363" max="13363" width="21.140625" style="18" bestFit="1" customWidth="1"/>
    <col min="13364" max="13364" width="19" style="18" bestFit="1" customWidth="1"/>
    <col min="13365" max="13365" width="19.140625" style="18" customWidth="1"/>
    <col min="13366" max="13366" width="16.7109375" style="18" customWidth="1"/>
    <col min="13367" max="13367" width="21.140625" style="18" bestFit="1" customWidth="1"/>
    <col min="13368" max="13368" width="20.42578125" style="18" bestFit="1" customWidth="1"/>
    <col min="13369" max="13369" width="21.140625" style="18" customWidth="1"/>
    <col min="13370" max="13370" width="20.5703125" style="18" bestFit="1" customWidth="1"/>
    <col min="13371" max="13371" width="19.7109375" style="18" bestFit="1" customWidth="1"/>
    <col min="13372" max="13372" width="20.28515625" style="18" customWidth="1"/>
    <col min="13373" max="13373" width="20.85546875" style="18" bestFit="1" customWidth="1"/>
    <col min="13374" max="13374" width="19.5703125" style="18" bestFit="1" customWidth="1"/>
    <col min="13375" max="13375" width="18" style="18" customWidth="1"/>
    <col min="13376" max="13376" width="20" style="18" bestFit="1" customWidth="1"/>
    <col min="13377" max="13377" width="35.7109375" style="18" customWidth="1"/>
    <col min="13378" max="13378" width="21.140625" style="18" bestFit="1" customWidth="1"/>
    <col min="13379" max="13379" width="20.5703125" style="18" bestFit="1" customWidth="1"/>
    <col min="13380" max="13380" width="19.42578125" style="18" bestFit="1" customWidth="1"/>
    <col min="13381" max="13381" width="18.5703125" style="18" bestFit="1" customWidth="1"/>
    <col min="13382" max="13382" width="20.5703125" style="18" bestFit="1" customWidth="1"/>
    <col min="13383" max="13383" width="21.28515625" style="18" bestFit="1" customWidth="1"/>
    <col min="13384" max="13384" width="15.42578125" style="18" customWidth="1"/>
    <col min="13385" max="13385" width="20.7109375" style="18" customWidth="1"/>
    <col min="13386" max="13386" width="21.28515625" style="18" customWidth="1"/>
    <col min="13387" max="13387" width="14.85546875" style="18" bestFit="1" customWidth="1"/>
    <col min="13388" max="13388" width="23" style="18" bestFit="1" customWidth="1"/>
    <col min="13389" max="13389" width="21.28515625" style="18" bestFit="1" customWidth="1"/>
    <col min="13390" max="13390" width="20.28515625" style="18" bestFit="1" customWidth="1"/>
    <col min="13391" max="13391" width="21" style="18" bestFit="1" customWidth="1"/>
    <col min="13392" max="13392" width="18.85546875" style="18" bestFit="1" customWidth="1"/>
    <col min="13393" max="13393" width="80.7109375" style="18" customWidth="1"/>
    <col min="13394" max="13581" width="9.140625" style="18"/>
    <col min="13582" max="13582" width="2.5703125" style="18" customWidth="1"/>
    <col min="13583" max="13583" width="17.85546875" style="18" customWidth="1"/>
    <col min="13584" max="13584" width="41.5703125" style="18" customWidth="1"/>
    <col min="13585" max="13586" width="12" style="18" customWidth="1"/>
    <col min="13587" max="13587" width="17" style="18" customWidth="1"/>
    <col min="13588" max="13588" width="9.7109375" style="18" customWidth="1"/>
    <col min="13589" max="13589" width="12.28515625" style="18" customWidth="1"/>
    <col min="13590" max="13590" width="13.7109375" style="18" customWidth="1"/>
    <col min="13591" max="13591" width="13.5703125" style="18" bestFit="1" customWidth="1"/>
    <col min="13592" max="13592" width="13.5703125" style="18" customWidth="1"/>
    <col min="13593" max="13593" width="21" style="18" customWidth="1"/>
    <col min="13594" max="13597" width="13.42578125" style="18" customWidth="1"/>
    <col min="13598" max="13599" width="19" style="18" customWidth="1"/>
    <col min="13600" max="13600" width="34" style="18" customWidth="1"/>
    <col min="13601" max="13601" width="19" style="18" customWidth="1"/>
    <col min="13602" max="13602" width="20" style="18" bestFit="1" customWidth="1"/>
    <col min="13603" max="13603" width="20.28515625" style="18" bestFit="1" customWidth="1"/>
    <col min="13604" max="13604" width="26.7109375" style="18" customWidth="1"/>
    <col min="13605" max="13605" width="20.85546875" style="18" bestFit="1" customWidth="1"/>
    <col min="13606" max="13606" width="20.85546875" style="18" customWidth="1"/>
    <col min="13607" max="13607" width="18.85546875" style="18" customWidth="1"/>
    <col min="13608" max="13608" width="17.5703125" style="18" customWidth="1"/>
    <col min="13609" max="13610" width="19.42578125" style="18" customWidth="1"/>
    <col min="13611" max="13611" width="20.7109375" style="18" bestFit="1" customWidth="1"/>
    <col min="13612" max="13612" width="80.7109375" style="18" customWidth="1"/>
    <col min="13613" max="13613" width="14.7109375" style="18" bestFit="1" customWidth="1"/>
    <col min="13614" max="13614" width="18.140625" style="18" bestFit="1" customWidth="1"/>
    <col min="13615" max="13615" width="16.7109375" style="18" bestFit="1" customWidth="1"/>
    <col min="13616" max="13616" width="18.5703125" style="18" bestFit="1" customWidth="1"/>
    <col min="13617" max="13617" width="21.28515625" style="18" bestFit="1" customWidth="1"/>
    <col min="13618" max="13618" width="16.28515625" style="18" bestFit="1" customWidth="1"/>
    <col min="13619" max="13619" width="21.140625" style="18" bestFit="1" customWidth="1"/>
    <col min="13620" max="13620" width="19" style="18" bestFit="1" customWidth="1"/>
    <col min="13621" max="13621" width="19.140625" style="18" customWidth="1"/>
    <col min="13622" max="13622" width="16.7109375" style="18" customWidth="1"/>
    <col min="13623" max="13623" width="21.140625" style="18" bestFit="1" customWidth="1"/>
    <col min="13624" max="13624" width="20.42578125" style="18" bestFit="1" customWidth="1"/>
    <col min="13625" max="13625" width="21.140625" style="18" customWidth="1"/>
    <col min="13626" max="13626" width="20.5703125" style="18" bestFit="1" customWidth="1"/>
    <col min="13627" max="13627" width="19.7109375" style="18" bestFit="1" customWidth="1"/>
    <col min="13628" max="13628" width="20.28515625" style="18" customWidth="1"/>
    <col min="13629" max="13629" width="20.85546875" style="18" bestFit="1" customWidth="1"/>
    <col min="13630" max="13630" width="19.5703125" style="18" bestFit="1" customWidth="1"/>
    <col min="13631" max="13631" width="18" style="18" customWidth="1"/>
    <col min="13632" max="13632" width="20" style="18" bestFit="1" customWidth="1"/>
    <col min="13633" max="13633" width="35.7109375" style="18" customWidth="1"/>
    <col min="13634" max="13634" width="21.140625" style="18" bestFit="1" customWidth="1"/>
    <col min="13635" max="13635" width="20.5703125" style="18" bestFit="1" customWidth="1"/>
    <col min="13636" max="13636" width="19.42578125" style="18" bestFit="1" customWidth="1"/>
    <col min="13637" max="13637" width="18.5703125" style="18" bestFit="1" customWidth="1"/>
    <col min="13638" max="13638" width="20.5703125" style="18" bestFit="1" customWidth="1"/>
    <col min="13639" max="13639" width="21.28515625" style="18" bestFit="1" customWidth="1"/>
    <col min="13640" max="13640" width="15.42578125" style="18" customWidth="1"/>
    <col min="13641" max="13641" width="20.7109375" style="18" customWidth="1"/>
    <col min="13642" max="13642" width="21.28515625" style="18" customWidth="1"/>
    <col min="13643" max="13643" width="14.85546875" style="18" bestFit="1" customWidth="1"/>
    <col min="13644" max="13644" width="23" style="18" bestFit="1" customWidth="1"/>
    <col min="13645" max="13645" width="21.28515625" style="18" bestFit="1" customWidth="1"/>
    <col min="13646" max="13646" width="20.28515625" style="18" bestFit="1" customWidth="1"/>
    <col min="13647" max="13647" width="21" style="18" bestFit="1" customWidth="1"/>
    <col min="13648" max="13648" width="18.85546875" style="18" bestFit="1" customWidth="1"/>
    <col min="13649" max="13649" width="80.7109375" style="18" customWidth="1"/>
    <col min="13650" max="13837" width="9.140625" style="18"/>
    <col min="13838" max="13838" width="2.5703125" style="18" customWidth="1"/>
    <col min="13839" max="13839" width="17.85546875" style="18" customWidth="1"/>
    <col min="13840" max="13840" width="41.5703125" style="18" customWidth="1"/>
    <col min="13841" max="13842" width="12" style="18" customWidth="1"/>
    <col min="13843" max="13843" width="17" style="18" customWidth="1"/>
    <col min="13844" max="13844" width="9.7109375" style="18" customWidth="1"/>
    <col min="13845" max="13845" width="12.28515625" style="18" customWidth="1"/>
    <col min="13846" max="13846" width="13.7109375" style="18" customWidth="1"/>
    <col min="13847" max="13847" width="13.5703125" style="18" bestFit="1" customWidth="1"/>
    <col min="13848" max="13848" width="13.5703125" style="18" customWidth="1"/>
    <col min="13849" max="13849" width="21" style="18" customWidth="1"/>
    <col min="13850" max="13853" width="13.42578125" style="18" customWidth="1"/>
    <col min="13854" max="13855" width="19" style="18" customWidth="1"/>
    <col min="13856" max="13856" width="34" style="18" customWidth="1"/>
    <col min="13857" max="13857" width="19" style="18" customWidth="1"/>
    <col min="13858" max="13858" width="20" style="18" bestFit="1" customWidth="1"/>
    <col min="13859" max="13859" width="20.28515625" style="18" bestFit="1" customWidth="1"/>
    <col min="13860" max="13860" width="26.7109375" style="18" customWidth="1"/>
    <col min="13861" max="13861" width="20.85546875" style="18" bestFit="1" customWidth="1"/>
    <col min="13862" max="13862" width="20.85546875" style="18" customWidth="1"/>
    <col min="13863" max="13863" width="18.85546875" style="18" customWidth="1"/>
    <col min="13864" max="13864" width="17.5703125" style="18" customWidth="1"/>
    <col min="13865" max="13866" width="19.42578125" style="18" customWidth="1"/>
    <col min="13867" max="13867" width="20.7109375" style="18" bestFit="1" customWidth="1"/>
    <col min="13868" max="13868" width="80.7109375" style="18" customWidth="1"/>
    <col min="13869" max="13869" width="14.7109375" style="18" bestFit="1" customWidth="1"/>
    <col min="13870" max="13870" width="18.140625" style="18" bestFit="1" customWidth="1"/>
    <col min="13871" max="13871" width="16.7109375" style="18" bestFit="1" customWidth="1"/>
    <col min="13872" max="13872" width="18.5703125" style="18" bestFit="1" customWidth="1"/>
    <col min="13873" max="13873" width="21.28515625" style="18" bestFit="1" customWidth="1"/>
    <col min="13874" max="13874" width="16.28515625" style="18" bestFit="1" customWidth="1"/>
    <col min="13875" max="13875" width="21.140625" style="18" bestFit="1" customWidth="1"/>
    <col min="13876" max="13876" width="19" style="18" bestFit="1" customWidth="1"/>
    <col min="13877" max="13877" width="19.140625" style="18" customWidth="1"/>
    <col min="13878" max="13878" width="16.7109375" style="18" customWidth="1"/>
    <col min="13879" max="13879" width="21.140625" style="18" bestFit="1" customWidth="1"/>
    <col min="13880" max="13880" width="20.42578125" style="18" bestFit="1" customWidth="1"/>
    <col min="13881" max="13881" width="21.140625" style="18" customWidth="1"/>
    <col min="13882" max="13882" width="20.5703125" style="18" bestFit="1" customWidth="1"/>
    <col min="13883" max="13883" width="19.7109375" style="18" bestFit="1" customWidth="1"/>
    <col min="13884" max="13884" width="20.28515625" style="18" customWidth="1"/>
    <col min="13885" max="13885" width="20.85546875" style="18" bestFit="1" customWidth="1"/>
    <col min="13886" max="13886" width="19.5703125" style="18" bestFit="1" customWidth="1"/>
    <col min="13887" max="13887" width="18" style="18" customWidth="1"/>
    <col min="13888" max="13888" width="20" style="18" bestFit="1" customWidth="1"/>
    <col min="13889" max="13889" width="35.7109375" style="18" customWidth="1"/>
    <col min="13890" max="13890" width="21.140625" style="18" bestFit="1" customWidth="1"/>
    <col min="13891" max="13891" width="20.5703125" style="18" bestFit="1" customWidth="1"/>
    <col min="13892" max="13892" width="19.42578125" style="18" bestFit="1" customWidth="1"/>
    <col min="13893" max="13893" width="18.5703125" style="18" bestFit="1" customWidth="1"/>
    <col min="13894" max="13894" width="20.5703125" style="18" bestFit="1" customWidth="1"/>
    <col min="13895" max="13895" width="21.28515625" style="18" bestFit="1" customWidth="1"/>
    <col min="13896" max="13896" width="15.42578125" style="18" customWidth="1"/>
    <col min="13897" max="13897" width="20.7109375" style="18" customWidth="1"/>
    <col min="13898" max="13898" width="21.28515625" style="18" customWidth="1"/>
    <col min="13899" max="13899" width="14.85546875" style="18" bestFit="1" customWidth="1"/>
    <col min="13900" max="13900" width="23" style="18" bestFit="1" customWidth="1"/>
    <col min="13901" max="13901" width="21.28515625" style="18" bestFit="1" customWidth="1"/>
    <col min="13902" max="13902" width="20.28515625" style="18" bestFit="1" customWidth="1"/>
    <col min="13903" max="13903" width="21" style="18" bestFit="1" customWidth="1"/>
    <col min="13904" max="13904" width="18.85546875" style="18" bestFit="1" customWidth="1"/>
    <col min="13905" max="13905" width="80.7109375" style="18" customWidth="1"/>
    <col min="13906" max="14093" width="9.140625" style="18"/>
    <col min="14094" max="14094" width="2.5703125" style="18" customWidth="1"/>
    <col min="14095" max="14095" width="17.85546875" style="18" customWidth="1"/>
    <col min="14096" max="14096" width="41.5703125" style="18" customWidth="1"/>
    <col min="14097" max="14098" width="12" style="18" customWidth="1"/>
    <col min="14099" max="14099" width="17" style="18" customWidth="1"/>
    <col min="14100" max="14100" width="9.7109375" style="18" customWidth="1"/>
    <col min="14101" max="14101" width="12.28515625" style="18" customWidth="1"/>
    <col min="14102" max="14102" width="13.7109375" style="18" customWidth="1"/>
    <col min="14103" max="14103" width="13.5703125" style="18" bestFit="1" customWidth="1"/>
    <col min="14104" max="14104" width="13.5703125" style="18" customWidth="1"/>
    <col min="14105" max="14105" width="21" style="18" customWidth="1"/>
    <col min="14106" max="14109" width="13.42578125" style="18" customWidth="1"/>
    <col min="14110" max="14111" width="19" style="18" customWidth="1"/>
    <col min="14112" max="14112" width="34" style="18" customWidth="1"/>
    <col min="14113" max="14113" width="19" style="18" customWidth="1"/>
    <col min="14114" max="14114" width="20" style="18" bestFit="1" customWidth="1"/>
    <col min="14115" max="14115" width="20.28515625" style="18" bestFit="1" customWidth="1"/>
    <col min="14116" max="14116" width="26.7109375" style="18" customWidth="1"/>
    <col min="14117" max="14117" width="20.85546875" style="18" bestFit="1" customWidth="1"/>
    <col min="14118" max="14118" width="20.85546875" style="18" customWidth="1"/>
    <col min="14119" max="14119" width="18.85546875" style="18" customWidth="1"/>
    <col min="14120" max="14120" width="17.5703125" style="18" customWidth="1"/>
    <col min="14121" max="14122" width="19.42578125" style="18" customWidth="1"/>
    <col min="14123" max="14123" width="20.7109375" style="18" bestFit="1" customWidth="1"/>
    <col min="14124" max="14124" width="80.7109375" style="18" customWidth="1"/>
    <col min="14125" max="14125" width="14.7109375" style="18" bestFit="1" customWidth="1"/>
    <col min="14126" max="14126" width="18.140625" style="18" bestFit="1" customWidth="1"/>
    <col min="14127" max="14127" width="16.7109375" style="18" bestFit="1" customWidth="1"/>
    <col min="14128" max="14128" width="18.5703125" style="18" bestFit="1" customWidth="1"/>
    <col min="14129" max="14129" width="21.28515625" style="18" bestFit="1" customWidth="1"/>
    <col min="14130" max="14130" width="16.28515625" style="18" bestFit="1" customWidth="1"/>
    <col min="14131" max="14131" width="21.140625" style="18" bestFit="1" customWidth="1"/>
    <col min="14132" max="14132" width="19" style="18" bestFit="1" customWidth="1"/>
    <col min="14133" max="14133" width="19.140625" style="18" customWidth="1"/>
    <col min="14134" max="14134" width="16.7109375" style="18" customWidth="1"/>
    <col min="14135" max="14135" width="21.140625" style="18" bestFit="1" customWidth="1"/>
    <col min="14136" max="14136" width="20.42578125" style="18" bestFit="1" customWidth="1"/>
    <col min="14137" max="14137" width="21.140625" style="18" customWidth="1"/>
    <col min="14138" max="14138" width="20.5703125" style="18" bestFit="1" customWidth="1"/>
    <col min="14139" max="14139" width="19.7109375" style="18" bestFit="1" customWidth="1"/>
    <col min="14140" max="14140" width="20.28515625" style="18" customWidth="1"/>
    <col min="14141" max="14141" width="20.85546875" style="18" bestFit="1" customWidth="1"/>
    <col min="14142" max="14142" width="19.5703125" style="18" bestFit="1" customWidth="1"/>
    <col min="14143" max="14143" width="18" style="18" customWidth="1"/>
    <col min="14144" max="14144" width="20" style="18" bestFit="1" customWidth="1"/>
    <col min="14145" max="14145" width="35.7109375" style="18" customWidth="1"/>
    <col min="14146" max="14146" width="21.140625" style="18" bestFit="1" customWidth="1"/>
    <col min="14147" max="14147" width="20.5703125" style="18" bestFit="1" customWidth="1"/>
    <col min="14148" max="14148" width="19.42578125" style="18" bestFit="1" customWidth="1"/>
    <col min="14149" max="14149" width="18.5703125" style="18" bestFit="1" customWidth="1"/>
    <col min="14150" max="14150" width="20.5703125" style="18" bestFit="1" customWidth="1"/>
    <col min="14151" max="14151" width="21.28515625" style="18" bestFit="1" customWidth="1"/>
    <col min="14152" max="14152" width="15.42578125" style="18" customWidth="1"/>
    <col min="14153" max="14153" width="20.7109375" style="18" customWidth="1"/>
    <col min="14154" max="14154" width="21.28515625" style="18" customWidth="1"/>
    <col min="14155" max="14155" width="14.85546875" style="18" bestFit="1" customWidth="1"/>
    <col min="14156" max="14156" width="23" style="18" bestFit="1" customWidth="1"/>
    <col min="14157" max="14157" width="21.28515625" style="18" bestFit="1" customWidth="1"/>
    <col min="14158" max="14158" width="20.28515625" style="18" bestFit="1" customWidth="1"/>
    <col min="14159" max="14159" width="21" style="18" bestFit="1" customWidth="1"/>
    <col min="14160" max="14160" width="18.85546875" style="18" bestFit="1" customWidth="1"/>
    <col min="14161" max="14161" width="80.7109375" style="18" customWidth="1"/>
    <col min="14162" max="14349" width="9.140625" style="18"/>
    <col min="14350" max="14350" width="2.5703125" style="18" customWidth="1"/>
    <col min="14351" max="14351" width="17.85546875" style="18" customWidth="1"/>
    <col min="14352" max="14352" width="41.5703125" style="18" customWidth="1"/>
    <col min="14353" max="14354" width="12" style="18" customWidth="1"/>
    <col min="14355" max="14355" width="17" style="18" customWidth="1"/>
    <col min="14356" max="14356" width="9.7109375" style="18" customWidth="1"/>
    <col min="14357" max="14357" width="12.28515625" style="18" customWidth="1"/>
    <col min="14358" max="14358" width="13.7109375" style="18" customWidth="1"/>
    <col min="14359" max="14359" width="13.5703125" style="18" bestFit="1" customWidth="1"/>
    <col min="14360" max="14360" width="13.5703125" style="18" customWidth="1"/>
    <col min="14361" max="14361" width="21" style="18" customWidth="1"/>
    <col min="14362" max="14365" width="13.42578125" style="18" customWidth="1"/>
    <col min="14366" max="14367" width="19" style="18" customWidth="1"/>
    <col min="14368" max="14368" width="34" style="18" customWidth="1"/>
    <col min="14369" max="14369" width="19" style="18" customWidth="1"/>
    <col min="14370" max="14370" width="20" style="18" bestFit="1" customWidth="1"/>
    <col min="14371" max="14371" width="20.28515625" style="18" bestFit="1" customWidth="1"/>
    <col min="14372" max="14372" width="26.7109375" style="18" customWidth="1"/>
    <col min="14373" max="14373" width="20.85546875" style="18" bestFit="1" customWidth="1"/>
    <col min="14374" max="14374" width="20.85546875" style="18" customWidth="1"/>
    <col min="14375" max="14375" width="18.85546875" style="18" customWidth="1"/>
    <col min="14376" max="14376" width="17.5703125" style="18" customWidth="1"/>
    <col min="14377" max="14378" width="19.42578125" style="18" customWidth="1"/>
    <col min="14379" max="14379" width="20.7109375" style="18" bestFit="1" customWidth="1"/>
    <col min="14380" max="14380" width="80.7109375" style="18" customWidth="1"/>
    <col min="14381" max="14381" width="14.7109375" style="18" bestFit="1" customWidth="1"/>
    <col min="14382" max="14382" width="18.140625" style="18" bestFit="1" customWidth="1"/>
    <col min="14383" max="14383" width="16.7109375" style="18" bestFit="1" customWidth="1"/>
    <col min="14384" max="14384" width="18.5703125" style="18" bestFit="1" customWidth="1"/>
    <col min="14385" max="14385" width="21.28515625" style="18" bestFit="1" customWidth="1"/>
    <col min="14386" max="14386" width="16.28515625" style="18" bestFit="1" customWidth="1"/>
    <col min="14387" max="14387" width="21.140625" style="18" bestFit="1" customWidth="1"/>
    <col min="14388" max="14388" width="19" style="18" bestFit="1" customWidth="1"/>
    <col min="14389" max="14389" width="19.140625" style="18" customWidth="1"/>
    <col min="14390" max="14390" width="16.7109375" style="18" customWidth="1"/>
    <col min="14391" max="14391" width="21.140625" style="18" bestFit="1" customWidth="1"/>
    <col min="14392" max="14392" width="20.42578125" style="18" bestFit="1" customWidth="1"/>
    <col min="14393" max="14393" width="21.140625" style="18" customWidth="1"/>
    <col min="14394" max="14394" width="20.5703125" style="18" bestFit="1" customWidth="1"/>
    <col min="14395" max="14395" width="19.7109375" style="18" bestFit="1" customWidth="1"/>
    <col min="14396" max="14396" width="20.28515625" style="18" customWidth="1"/>
    <col min="14397" max="14397" width="20.85546875" style="18" bestFit="1" customWidth="1"/>
    <col min="14398" max="14398" width="19.5703125" style="18" bestFit="1" customWidth="1"/>
    <col min="14399" max="14399" width="18" style="18" customWidth="1"/>
    <col min="14400" max="14400" width="20" style="18" bestFit="1" customWidth="1"/>
    <col min="14401" max="14401" width="35.7109375" style="18" customWidth="1"/>
    <col min="14402" max="14402" width="21.140625" style="18" bestFit="1" customWidth="1"/>
    <col min="14403" max="14403" width="20.5703125" style="18" bestFit="1" customWidth="1"/>
    <col min="14404" max="14404" width="19.42578125" style="18" bestFit="1" customWidth="1"/>
    <col min="14405" max="14405" width="18.5703125" style="18" bestFit="1" customWidth="1"/>
    <col min="14406" max="14406" width="20.5703125" style="18" bestFit="1" customWidth="1"/>
    <col min="14407" max="14407" width="21.28515625" style="18" bestFit="1" customWidth="1"/>
    <col min="14408" max="14408" width="15.42578125" style="18" customWidth="1"/>
    <col min="14409" max="14409" width="20.7109375" style="18" customWidth="1"/>
    <col min="14410" max="14410" width="21.28515625" style="18" customWidth="1"/>
    <col min="14411" max="14411" width="14.85546875" style="18" bestFit="1" customWidth="1"/>
    <col min="14412" max="14412" width="23" style="18" bestFit="1" customWidth="1"/>
    <col min="14413" max="14413" width="21.28515625" style="18" bestFit="1" customWidth="1"/>
    <col min="14414" max="14414" width="20.28515625" style="18" bestFit="1" customWidth="1"/>
    <col min="14415" max="14415" width="21" style="18" bestFit="1" customWidth="1"/>
    <col min="14416" max="14416" width="18.85546875" style="18" bestFit="1" customWidth="1"/>
    <col min="14417" max="14417" width="80.7109375" style="18" customWidth="1"/>
    <col min="14418" max="14605" width="9.140625" style="18"/>
    <col min="14606" max="14606" width="2.5703125" style="18" customWidth="1"/>
    <col min="14607" max="14607" width="17.85546875" style="18" customWidth="1"/>
    <col min="14608" max="14608" width="41.5703125" style="18" customWidth="1"/>
    <col min="14609" max="14610" width="12" style="18" customWidth="1"/>
    <col min="14611" max="14611" width="17" style="18" customWidth="1"/>
    <col min="14612" max="14612" width="9.7109375" style="18" customWidth="1"/>
    <col min="14613" max="14613" width="12.28515625" style="18" customWidth="1"/>
    <col min="14614" max="14614" width="13.7109375" style="18" customWidth="1"/>
    <col min="14615" max="14615" width="13.5703125" style="18" bestFit="1" customWidth="1"/>
    <col min="14616" max="14616" width="13.5703125" style="18" customWidth="1"/>
    <col min="14617" max="14617" width="21" style="18" customWidth="1"/>
    <col min="14618" max="14621" width="13.42578125" style="18" customWidth="1"/>
    <col min="14622" max="14623" width="19" style="18" customWidth="1"/>
    <col min="14624" max="14624" width="34" style="18" customWidth="1"/>
    <col min="14625" max="14625" width="19" style="18" customWidth="1"/>
    <col min="14626" max="14626" width="20" style="18" bestFit="1" customWidth="1"/>
    <col min="14627" max="14627" width="20.28515625" style="18" bestFit="1" customWidth="1"/>
    <col min="14628" max="14628" width="26.7109375" style="18" customWidth="1"/>
    <col min="14629" max="14629" width="20.85546875" style="18" bestFit="1" customWidth="1"/>
    <col min="14630" max="14630" width="20.85546875" style="18" customWidth="1"/>
    <col min="14631" max="14631" width="18.85546875" style="18" customWidth="1"/>
    <col min="14632" max="14632" width="17.5703125" style="18" customWidth="1"/>
    <col min="14633" max="14634" width="19.42578125" style="18" customWidth="1"/>
    <col min="14635" max="14635" width="20.7109375" style="18" bestFit="1" customWidth="1"/>
    <col min="14636" max="14636" width="80.7109375" style="18" customWidth="1"/>
    <col min="14637" max="14637" width="14.7109375" style="18" bestFit="1" customWidth="1"/>
    <col min="14638" max="14638" width="18.140625" style="18" bestFit="1" customWidth="1"/>
    <col min="14639" max="14639" width="16.7109375" style="18" bestFit="1" customWidth="1"/>
    <col min="14640" max="14640" width="18.5703125" style="18" bestFit="1" customWidth="1"/>
    <col min="14641" max="14641" width="21.28515625" style="18" bestFit="1" customWidth="1"/>
    <col min="14642" max="14642" width="16.28515625" style="18" bestFit="1" customWidth="1"/>
    <col min="14643" max="14643" width="21.140625" style="18" bestFit="1" customWidth="1"/>
    <col min="14644" max="14644" width="19" style="18" bestFit="1" customWidth="1"/>
    <col min="14645" max="14645" width="19.140625" style="18" customWidth="1"/>
    <col min="14646" max="14646" width="16.7109375" style="18" customWidth="1"/>
    <col min="14647" max="14647" width="21.140625" style="18" bestFit="1" customWidth="1"/>
    <col min="14648" max="14648" width="20.42578125" style="18" bestFit="1" customWidth="1"/>
    <col min="14649" max="14649" width="21.140625" style="18" customWidth="1"/>
    <col min="14650" max="14650" width="20.5703125" style="18" bestFit="1" customWidth="1"/>
    <col min="14651" max="14651" width="19.7109375" style="18" bestFit="1" customWidth="1"/>
    <col min="14652" max="14652" width="20.28515625" style="18" customWidth="1"/>
    <col min="14653" max="14653" width="20.85546875" style="18" bestFit="1" customWidth="1"/>
    <col min="14654" max="14654" width="19.5703125" style="18" bestFit="1" customWidth="1"/>
    <col min="14655" max="14655" width="18" style="18" customWidth="1"/>
    <col min="14656" max="14656" width="20" style="18" bestFit="1" customWidth="1"/>
    <col min="14657" max="14657" width="35.7109375" style="18" customWidth="1"/>
    <col min="14658" max="14658" width="21.140625" style="18" bestFit="1" customWidth="1"/>
    <col min="14659" max="14659" width="20.5703125" style="18" bestFit="1" customWidth="1"/>
    <col min="14660" max="14660" width="19.42578125" style="18" bestFit="1" customWidth="1"/>
    <col min="14661" max="14661" width="18.5703125" style="18" bestFit="1" customWidth="1"/>
    <col min="14662" max="14662" width="20.5703125" style="18" bestFit="1" customWidth="1"/>
    <col min="14663" max="14663" width="21.28515625" style="18" bestFit="1" customWidth="1"/>
    <col min="14664" max="14664" width="15.42578125" style="18" customWidth="1"/>
    <col min="14665" max="14665" width="20.7109375" style="18" customWidth="1"/>
    <col min="14666" max="14666" width="21.28515625" style="18" customWidth="1"/>
    <col min="14667" max="14667" width="14.85546875" style="18" bestFit="1" customWidth="1"/>
    <col min="14668" max="14668" width="23" style="18" bestFit="1" customWidth="1"/>
    <col min="14669" max="14669" width="21.28515625" style="18" bestFit="1" customWidth="1"/>
    <col min="14670" max="14670" width="20.28515625" style="18" bestFit="1" customWidth="1"/>
    <col min="14671" max="14671" width="21" style="18" bestFit="1" customWidth="1"/>
    <col min="14672" max="14672" width="18.85546875" style="18" bestFit="1" customWidth="1"/>
    <col min="14673" max="14673" width="80.7109375" style="18" customWidth="1"/>
    <col min="14674" max="14861" width="9.140625" style="18"/>
    <col min="14862" max="14862" width="2.5703125" style="18" customWidth="1"/>
    <col min="14863" max="14863" width="17.85546875" style="18" customWidth="1"/>
    <col min="14864" max="14864" width="41.5703125" style="18" customWidth="1"/>
    <col min="14865" max="14866" width="12" style="18" customWidth="1"/>
    <col min="14867" max="14867" width="17" style="18" customWidth="1"/>
    <col min="14868" max="14868" width="9.7109375" style="18" customWidth="1"/>
    <col min="14869" max="14869" width="12.28515625" style="18" customWidth="1"/>
    <col min="14870" max="14870" width="13.7109375" style="18" customWidth="1"/>
    <col min="14871" max="14871" width="13.5703125" style="18" bestFit="1" customWidth="1"/>
    <col min="14872" max="14872" width="13.5703125" style="18" customWidth="1"/>
    <col min="14873" max="14873" width="21" style="18" customWidth="1"/>
    <col min="14874" max="14877" width="13.42578125" style="18" customWidth="1"/>
    <col min="14878" max="14879" width="19" style="18" customWidth="1"/>
    <col min="14880" max="14880" width="34" style="18" customWidth="1"/>
    <col min="14881" max="14881" width="19" style="18" customWidth="1"/>
    <col min="14882" max="14882" width="20" style="18" bestFit="1" customWidth="1"/>
    <col min="14883" max="14883" width="20.28515625" style="18" bestFit="1" customWidth="1"/>
    <col min="14884" max="14884" width="26.7109375" style="18" customWidth="1"/>
    <col min="14885" max="14885" width="20.85546875" style="18" bestFit="1" customWidth="1"/>
    <col min="14886" max="14886" width="20.85546875" style="18" customWidth="1"/>
    <col min="14887" max="14887" width="18.85546875" style="18" customWidth="1"/>
    <col min="14888" max="14888" width="17.5703125" style="18" customWidth="1"/>
    <col min="14889" max="14890" width="19.42578125" style="18" customWidth="1"/>
    <col min="14891" max="14891" width="20.7109375" style="18" bestFit="1" customWidth="1"/>
    <col min="14892" max="14892" width="80.7109375" style="18" customWidth="1"/>
    <col min="14893" max="14893" width="14.7109375" style="18" bestFit="1" customWidth="1"/>
    <col min="14894" max="14894" width="18.140625" style="18" bestFit="1" customWidth="1"/>
    <col min="14895" max="14895" width="16.7109375" style="18" bestFit="1" customWidth="1"/>
    <col min="14896" max="14896" width="18.5703125" style="18" bestFit="1" customWidth="1"/>
    <col min="14897" max="14897" width="21.28515625" style="18" bestFit="1" customWidth="1"/>
    <col min="14898" max="14898" width="16.28515625" style="18" bestFit="1" customWidth="1"/>
    <col min="14899" max="14899" width="21.140625" style="18" bestFit="1" customWidth="1"/>
    <col min="14900" max="14900" width="19" style="18" bestFit="1" customWidth="1"/>
    <col min="14901" max="14901" width="19.140625" style="18" customWidth="1"/>
    <col min="14902" max="14902" width="16.7109375" style="18" customWidth="1"/>
    <col min="14903" max="14903" width="21.140625" style="18" bestFit="1" customWidth="1"/>
    <col min="14904" max="14904" width="20.42578125" style="18" bestFit="1" customWidth="1"/>
    <col min="14905" max="14905" width="21.140625" style="18" customWidth="1"/>
    <col min="14906" max="14906" width="20.5703125" style="18" bestFit="1" customWidth="1"/>
    <col min="14907" max="14907" width="19.7109375" style="18" bestFit="1" customWidth="1"/>
    <col min="14908" max="14908" width="20.28515625" style="18" customWidth="1"/>
    <col min="14909" max="14909" width="20.85546875" style="18" bestFit="1" customWidth="1"/>
    <col min="14910" max="14910" width="19.5703125" style="18" bestFit="1" customWidth="1"/>
    <col min="14911" max="14911" width="18" style="18" customWidth="1"/>
    <col min="14912" max="14912" width="20" style="18" bestFit="1" customWidth="1"/>
    <col min="14913" max="14913" width="35.7109375" style="18" customWidth="1"/>
    <col min="14914" max="14914" width="21.140625" style="18" bestFit="1" customWidth="1"/>
    <col min="14915" max="14915" width="20.5703125" style="18" bestFit="1" customWidth="1"/>
    <col min="14916" max="14916" width="19.42578125" style="18" bestFit="1" customWidth="1"/>
    <col min="14917" max="14917" width="18.5703125" style="18" bestFit="1" customWidth="1"/>
    <col min="14918" max="14918" width="20.5703125" style="18" bestFit="1" customWidth="1"/>
    <col min="14919" max="14919" width="21.28515625" style="18" bestFit="1" customWidth="1"/>
    <col min="14920" max="14920" width="15.42578125" style="18" customWidth="1"/>
    <col min="14921" max="14921" width="20.7109375" style="18" customWidth="1"/>
    <col min="14922" max="14922" width="21.28515625" style="18" customWidth="1"/>
    <col min="14923" max="14923" width="14.85546875" style="18" bestFit="1" customWidth="1"/>
    <col min="14924" max="14924" width="23" style="18" bestFit="1" customWidth="1"/>
    <col min="14925" max="14925" width="21.28515625" style="18" bestFit="1" customWidth="1"/>
    <col min="14926" max="14926" width="20.28515625" style="18" bestFit="1" customWidth="1"/>
    <col min="14927" max="14927" width="21" style="18" bestFit="1" customWidth="1"/>
    <col min="14928" max="14928" width="18.85546875" style="18" bestFit="1" customWidth="1"/>
    <col min="14929" max="14929" width="80.7109375" style="18" customWidth="1"/>
    <col min="14930" max="15117" width="9.140625" style="18"/>
    <col min="15118" max="15118" width="2.5703125" style="18" customWidth="1"/>
    <col min="15119" max="15119" width="17.85546875" style="18" customWidth="1"/>
    <col min="15120" max="15120" width="41.5703125" style="18" customWidth="1"/>
    <col min="15121" max="15122" width="12" style="18" customWidth="1"/>
    <col min="15123" max="15123" width="17" style="18" customWidth="1"/>
    <col min="15124" max="15124" width="9.7109375" style="18" customWidth="1"/>
    <col min="15125" max="15125" width="12.28515625" style="18" customWidth="1"/>
    <col min="15126" max="15126" width="13.7109375" style="18" customWidth="1"/>
    <col min="15127" max="15127" width="13.5703125" style="18" bestFit="1" customWidth="1"/>
    <col min="15128" max="15128" width="13.5703125" style="18" customWidth="1"/>
    <col min="15129" max="15129" width="21" style="18" customWidth="1"/>
    <col min="15130" max="15133" width="13.42578125" style="18" customWidth="1"/>
    <col min="15134" max="15135" width="19" style="18" customWidth="1"/>
    <col min="15136" max="15136" width="34" style="18" customWidth="1"/>
    <col min="15137" max="15137" width="19" style="18" customWidth="1"/>
    <col min="15138" max="15138" width="20" style="18" bestFit="1" customWidth="1"/>
    <col min="15139" max="15139" width="20.28515625" style="18" bestFit="1" customWidth="1"/>
    <col min="15140" max="15140" width="26.7109375" style="18" customWidth="1"/>
    <col min="15141" max="15141" width="20.85546875" style="18" bestFit="1" customWidth="1"/>
    <col min="15142" max="15142" width="20.85546875" style="18" customWidth="1"/>
    <col min="15143" max="15143" width="18.85546875" style="18" customWidth="1"/>
    <col min="15144" max="15144" width="17.5703125" style="18" customWidth="1"/>
    <col min="15145" max="15146" width="19.42578125" style="18" customWidth="1"/>
    <col min="15147" max="15147" width="20.7109375" style="18" bestFit="1" customWidth="1"/>
    <col min="15148" max="15148" width="80.7109375" style="18" customWidth="1"/>
    <col min="15149" max="15149" width="14.7109375" style="18" bestFit="1" customWidth="1"/>
    <col min="15150" max="15150" width="18.140625" style="18" bestFit="1" customWidth="1"/>
    <col min="15151" max="15151" width="16.7109375" style="18" bestFit="1" customWidth="1"/>
    <col min="15152" max="15152" width="18.5703125" style="18" bestFit="1" customWidth="1"/>
    <col min="15153" max="15153" width="21.28515625" style="18" bestFit="1" customWidth="1"/>
    <col min="15154" max="15154" width="16.28515625" style="18" bestFit="1" customWidth="1"/>
    <col min="15155" max="15155" width="21.140625" style="18" bestFit="1" customWidth="1"/>
    <col min="15156" max="15156" width="19" style="18" bestFit="1" customWidth="1"/>
    <col min="15157" max="15157" width="19.140625" style="18" customWidth="1"/>
    <col min="15158" max="15158" width="16.7109375" style="18" customWidth="1"/>
    <col min="15159" max="15159" width="21.140625" style="18" bestFit="1" customWidth="1"/>
    <col min="15160" max="15160" width="20.42578125" style="18" bestFit="1" customWidth="1"/>
    <col min="15161" max="15161" width="21.140625" style="18" customWidth="1"/>
    <col min="15162" max="15162" width="20.5703125" style="18" bestFit="1" customWidth="1"/>
    <col min="15163" max="15163" width="19.7109375" style="18" bestFit="1" customWidth="1"/>
    <col min="15164" max="15164" width="20.28515625" style="18" customWidth="1"/>
    <col min="15165" max="15165" width="20.85546875" style="18" bestFit="1" customWidth="1"/>
    <col min="15166" max="15166" width="19.5703125" style="18" bestFit="1" customWidth="1"/>
    <col min="15167" max="15167" width="18" style="18" customWidth="1"/>
    <col min="15168" max="15168" width="20" style="18" bestFit="1" customWidth="1"/>
    <col min="15169" max="15169" width="35.7109375" style="18" customWidth="1"/>
    <col min="15170" max="15170" width="21.140625" style="18" bestFit="1" customWidth="1"/>
    <col min="15171" max="15171" width="20.5703125" style="18" bestFit="1" customWidth="1"/>
    <col min="15172" max="15172" width="19.42578125" style="18" bestFit="1" customWidth="1"/>
    <col min="15173" max="15173" width="18.5703125" style="18" bestFit="1" customWidth="1"/>
    <col min="15174" max="15174" width="20.5703125" style="18" bestFit="1" customWidth="1"/>
    <col min="15175" max="15175" width="21.28515625" style="18" bestFit="1" customWidth="1"/>
    <col min="15176" max="15176" width="15.42578125" style="18" customWidth="1"/>
    <col min="15177" max="15177" width="20.7109375" style="18" customWidth="1"/>
    <col min="15178" max="15178" width="21.28515625" style="18" customWidth="1"/>
    <col min="15179" max="15179" width="14.85546875" style="18" bestFit="1" customWidth="1"/>
    <col min="15180" max="15180" width="23" style="18" bestFit="1" customWidth="1"/>
    <col min="15181" max="15181" width="21.28515625" style="18" bestFit="1" customWidth="1"/>
    <col min="15182" max="15182" width="20.28515625" style="18" bestFit="1" customWidth="1"/>
    <col min="15183" max="15183" width="21" style="18" bestFit="1" customWidth="1"/>
    <col min="15184" max="15184" width="18.85546875" style="18" bestFit="1" customWidth="1"/>
    <col min="15185" max="15185" width="80.7109375" style="18" customWidth="1"/>
    <col min="15186" max="15373" width="9.140625" style="18"/>
    <col min="15374" max="15374" width="2.5703125" style="18" customWidth="1"/>
    <col min="15375" max="15375" width="17.85546875" style="18" customWidth="1"/>
    <col min="15376" max="15376" width="41.5703125" style="18" customWidth="1"/>
    <col min="15377" max="15378" width="12" style="18" customWidth="1"/>
    <col min="15379" max="15379" width="17" style="18" customWidth="1"/>
    <col min="15380" max="15380" width="9.7109375" style="18" customWidth="1"/>
    <col min="15381" max="15381" width="12.28515625" style="18" customWidth="1"/>
    <col min="15382" max="15382" width="13.7109375" style="18" customWidth="1"/>
    <col min="15383" max="15383" width="13.5703125" style="18" bestFit="1" customWidth="1"/>
    <col min="15384" max="15384" width="13.5703125" style="18" customWidth="1"/>
    <col min="15385" max="15385" width="21" style="18" customWidth="1"/>
    <col min="15386" max="15389" width="13.42578125" style="18" customWidth="1"/>
    <col min="15390" max="15391" width="19" style="18" customWidth="1"/>
    <col min="15392" max="15392" width="34" style="18" customWidth="1"/>
    <col min="15393" max="15393" width="19" style="18" customWidth="1"/>
    <col min="15394" max="15394" width="20" style="18" bestFit="1" customWidth="1"/>
    <col min="15395" max="15395" width="20.28515625" style="18" bestFit="1" customWidth="1"/>
    <col min="15396" max="15396" width="26.7109375" style="18" customWidth="1"/>
    <col min="15397" max="15397" width="20.85546875" style="18" bestFit="1" customWidth="1"/>
    <col min="15398" max="15398" width="20.85546875" style="18" customWidth="1"/>
    <col min="15399" max="15399" width="18.85546875" style="18" customWidth="1"/>
    <col min="15400" max="15400" width="17.5703125" style="18" customWidth="1"/>
    <col min="15401" max="15402" width="19.42578125" style="18" customWidth="1"/>
    <col min="15403" max="15403" width="20.7109375" style="18" bestFit="1" customWidth="1"/>
    <col min="15404" max="15404" width="80.7109375" style="18" customWidth="1"/>
    <col min="15405" max="15405" width="14.7109375" style="18" bestFit="1" customWidth="1"/>
    <col min="15406" max="15406" width="18.140625" style="18" bestFit="1" customWidth="1"/>
    <col min="15407" max="15407" width="16.7109375" style="18" bestFit="1" customWidth="1"/>
    <col min="15408" max="15408" width="18.5703125" style="18" bestFit="1" customWidth="1"/>
    <col min="15409" max="15409" width="21.28515625" style="18" bestFit="1" customWidth="1"/>
    <col min="15410" max="15410" width="16.28515625" style="18" bestFit="1" customWidth="1"/>
    <col min="15411" max="15411" width="21.140625" style="18" bestFit="1" customWidth="1"/>
    <col min="15412" max="15412" width="19" style="18" bestFit="1" customWidth="1"/>
    <col min="15413" max="15413" width="19.140625" style="18" customWidth="1"/>
    <col min="15414" max="15414" width="16.7109375" style="18" customWidth="1"/>
    <col min="15415" max="15415" width="21.140625" style="18" bestFit="1" customWidth="1"/>
    <col min="15416" max="15416" width="20.42578125" style="18" bestFit="1" customWidth="1"/>
    <col min="15417" max="15417" width="21.140625" style="18" customWidth="1"/>
    <col min="15418" max="15418" width="20.5703125" style="18" bestFit="1" customWidth="1"/>
    <col min="15419" max="15419" width="19.7109375" style="18" bestFit="1" customWidth="1"/>
    <col min="15420" max="15420" width="20.28515625" style="18" customWidth="1"/>
    <col min="15421" max="15421" width="20.85546875" style="18" bestFit="1" customWidth="1"/>
    <col min="15422" max="15422" width="19.5703125" style="18" bestFit="1" customWidth="1"/>
    <col min="15423" max="15423" width="18" style="18" customWidth="1"/>
    <col min="15424" max="15424" width="20" style="18" bestFit="1" customWidth="1"/>
    <col min="15425" max="15425" width="35.7109375" style="18" customWidth="1"/>
    <col min="15426" max="15426" width="21.140625" style="18" bestFit="1" customWidth="1"/>
    <col min="15427" max="15427" width="20.5703125" style="18" bestFit="1" customWidth="1"/>
    <col min="15428" max="15428" width="19.42578125" style="18" bestFit="1" customWidth="1"/>
    <col min="15429" max="15429" width="18.5703125" style="18" bestFit="1" customWidth="1"/>
    <col min="15430" max="15430" width="20.5703125" style="18" bestFit="1" customWidth="1"/>
    <col min="15431" max="15431" width="21.28515625" style="18" bestFit="1" customWidth="1"/>
    <col min="15432" max="15432" width="15.42578125" style="18" customWidth="1"/>
    <col min="15433" max="15433" width="20.7109375" style="18" customWidth="1"/>
    <col min="15434" max="15434" width="21.28515625" style="18" customWidth="1"/>
    <col min="15435" max="15435" width="14.85546875" style="18" bestFit="1" customWidth="1"/>
    <col min="15436" max="15436" width="23" style="18" bestFit="1" customWidth="1"/>
    <col min="15437" max="15437" width="21.28515625" style="18" bestFit="1" customWidth="1"/>
    <col min="15438" max="15438" width="20.28515625" style="18" bestFit="1" customWidth="1"/>
    <col min="15439" max="15439" width="21" style="18" bestFit="1" customWidth="1"/>
    <col min="15440" max="15440" width="18.85546875" style="18" bestFit="1" customWidth="1"/>
    <col min="15441" max="15441" width="80.7109375" style="18" customWidth="1"/>
    <col min="15442" max="15629" width="9.140625" style="18"/>
    <col min="15630" max="15630" width="2.5703125" style="18" customWidth="1"/>
    <col min="15631" max="15631" width="17.85546875" style="18" customWidth="1"/>
    <col min="15632" max="15632" width="41.5703125" style="18" customWidth="1"/>
    <col min="15633" max="15634" width="12" style="18" customWidth="1"/>
    <col min="15635" max="15635" width="17" style="18" customWidth="1"/>
    <col min="15636" max="15636" width="9.7109375" style="18" customWidth="1"/>
    <col min="15637" max="15637" width="12.28515625" style="18" customWidth="1"/>
    <col min="15638" max="15638" width="13.7109375" style="18" customWidth="1"/>
    <col min="15639" max="15639" width="13.5703125" style="18" bestFit="1" customWidth="1"/>
    <col min="15640" max="15640" width="13.5703125" style="18" customWidth="1"/>
    <col min="15641" max="15641" width="21" style="18" customWidth="1"/>
    <col min="15642" max="15645" width="13.42578125" style="18" customWidth="1"/>
    <col min="15646" max="15647" width="19" style="18" customWidth="1"/>
    <col min="15648" max="15648" width="34" style="18" customWidth="1"/>
    <col min="15649" max="15649" width="19" style="18" customWidth="1"/>
    <col min="15650" max="15650" width="20" style="18" bestFit="1" customWidth="1"/>
    <col min="15651" max="15651" width="20.28515625" style="18" bestFit="1" customWidth="1"/>
    <col min="15652" max="15652" width="26.7109375" style="18" customWidth="1"/>
    <col min="15653" max="15653" width="20.85546875" style="18" bestFit="1" customWidth="1"/>
    <col min="15654" max="15654" width="20.85546875" style="18" customWidth="1"/>
    <col min="15655" max="15655" width="18.85546875" style="18" customWidth="1"/>
    <col min="15656" max="15656" width="17.5703125" style="18" customWidth="1"/>
    <col min="15657" max="15658" width="19.42578125" style="18" customWidth="1"/>
    <col min="15659" max="15659" width="20.7109375" style="18" bestFit="1" customWidth="1"/>
    <col min="15660" max="15660" width="80.7109375" style="18" customWidth="1"/>
    <col min="15661" max="15661" width="14.7109375" style="18" bestFit="1" customWidth="1"/>
    <col min="15662" max="15662" width="18.140625" style="18" bestFit="1" customWidth="1"/>
    <col min="15663" max="15663" width="16.7109375" style="18" bestFit="1" customWidth="1"/>
    <col min="15664" max="15664" width="18.5703125" style="18" bestFit="1" customWidth="1"/>
    <col min="15665" max="15665" width="21.28515625" style="18" bestFit="1" customWidth="1"/>
    <col min="15666" max="15666" width="16.28515625" style="18" bestFit="1" customWidth="1"/>
    <col min="15667" max="15667" width="21.140625" style="18" bestFit="1" customWidth="1"/>
    <col min="15668" max="15668" width="19" style="18" bestFit="1" customWidth="1"/>
    <col min="15669" max="15669" width="19.140625" style="18" customWidth="1"/>
    <col min="15670" max="15670" width="16.7109375" style="18" customWidth="1"/>
    <col min="15671" max="15671" width="21.140625" style="18" bestFit="1" customWidth="1"/>
    <col min="15672" max="15672" width="20.42578125" style="18" bestFit="1" customWidth="1"/>
    <col min="15673" max="15673" width="21.140625" style="18" customWidth="1"/>
    <col min="15674" max="15674" width="20.5703125" style="18" bestFit="1" customWidth="1"/>
    <col min="15675" max="15675" width="19.7109375" style="18" bestFit="1" customWidth="1"/>
    <col min="15676" max="15676" width="20.28515625" style="18" customWidth="1"/>
    <col min="15677" max="15677" width="20.85546875" style="18" bestFit="1" customWidth="1"/>
    <col min="15678" max="15678" width="19.5703125" style="18" bestFit="1" customWidth="1"/>
    <col min="15679" max="15679" width="18" style="18" customWidth="1"/>
    <col min="15680" max="15680" width="20" style="18" bestFit="1" customWidth="1"/>
    <col min="15681" max="15681" width="35.7109375" style="18" customWidth="1"/>
    <col min="15682" max="15682" width="21.140625" style="18" bestFit="1" customWidth="1"/>
    <col min="15683" max="15683" width="20.5703125" style="18" bestFit="1" customWidth="1"/>
    <col min="15684" max="15684" width="19.42578125" style="18" bestFit="1" customWidth="1"/>
    <col min="15685" max="15685" width="18.5703125" style="18" bestFit="1" customWidth="1"/>
    <col min="15686" max="15686" width="20.5703125" style="18" bestFit="1" customWidth="1"/>
    <col min="15687" max="15687" width="21.28515625" style="18" bestFit="1" customWidth="1"/>
    <col min="15688" max="15688" width="15.42578125" style="18" customWidth="1"/>
    <col min="15689" max="15689" width="20.7109375" style="18" customWidth="1"/>
    <col min="15690" max="15690" width="21.28515625" style="18" customWidth="1"/>
    <col min="15691" max="15691" width="14.85546875" style="18" bestFit="1" customWidth="1"/>
    <col min="15692" max="15692" width="23" style="18" bestFit="1" customWidth="1"/>
    <col min="15693" max="15693" width="21.28515625" style="18" bestFit="1" customWidth="1"/>
    <col min="15694" max="15694" width="20.28515625" style="18" bestFit="1" customWidth="1"/>
    <col min="15695" max="15695" width="21" style="18" bestFit="1" customWidth="1"/>
    <col min="15696" max="15696" width="18.85546875" style="18" bestFit="1" customWidth="1"/>
    <col min="15697" max="15697" width="80.7109375" style="18" customWidth="1"/>
    <col min="15698" max="15885" width="9.140625" style="18"/>
    <col min="15886" max="15886" width="2.5703125" style="18" customWidth="1"/>
    <col min="15887" max="15887" width="17.85546875" style="18" customWidth="1"/>
    <col min="15888" max="15888" width="41.5703125" style="18" customWidth="1"/>
    <col min="15889" max="15890" width="12" style="18" customWidth="1"/>
    <col min="15891" max="15891" width="17" style="18" customWidth="1"/>
    <col min="15892" max="15892" width="9.7109375" style="18" customWidth="1"/>
    <col min="15893" max="15893" width="12.28515625" style="18" customWidth="1"/>
    <col min="15894" max="15894" width="13.7109375" style="18" customWidth="1"/>
    <col min="15895" max="15895" width="13.5703125" style="18" bestFit="1" customWidth="1"/>
    <col min="15896" max="15896" width="13.5703125" style="18" customWidth="1"/>
    <col min="15897" max="15897" width="21" style="18" customWidth="1"/>
    <col min="15898" max="15901" width="13.42578125" style="18" customWidth="1"/>
    <col min="15902" max="15903" width="19" style="18" customWidth="1"/>
    <col min="15904" max="15904" width="34" style="18" customWidth="1"/>
    <col min="15905" max="15905" width="19" style="18" customWidth="1"/>
    <col min="15906" max="15906" width="20" style="18" bestFit="1" customWidth="1"/>
    <col min="15907" max="15907" width="20.28515625" style="18" bestFit="1" customWidth="1"/>
    <col min="15908" max="15908" width="26.7109375" style="18" customWidth="1"/>
    <col min="15909" max="15909" width="20.85546875" style="18" bestFit="1" customWidth="1"/>
    <col min="15910" max="15910" width="20.85546875" style="18" customWidth="1"/>
    <col min="15911" max="15911" width="18.85546875" style="18" customWidth="1"/>
    <col min="15912" max="15912" width="17.5703125" style="18" customWidth="1"/>
    <col min="15913" max="15914" width="19.42578125" style="18" customWidth="1"/>
    <col min="15915" max="15915" width="20.7109375" style="18" bestFit="1" customWidth="1"/>
    <col min="15916" max="15916" width="80.7109375" style="18" customWidth="1"/>
    <col min="15917" max="15917" width="14.7109375" style="18" bestFit="1" customWidth="1"/>
    <col min="15918" max="15918" width="18.140625" style="18" bestFit="1" customWidth="1"/>
    <col min="15919" max="15919" width="16.7109375" style="18" bestFit="1" customWidth="1"/>
    <col min="15920" max="15920" width="18.5703125" style="18" bestFit="1" customWidth="1"/>
    <col min="15921" max="15921" width="21.28515625" style="18" bestFit="1" customWidth="1"/>
    <col min="15922" max="15922" width="16.28515625" style="18" bestFit="1" customWidth="1"/>
    <col min="15923" max="15923" width="21.140625" style="18" bestFit="1" customWidth="1"/>
    <col min="15924" max="15924" width="19" style="18" bestFit="1" customWidth="1"/>
    <col min="15925" max="15925" width="19.140625" style="18" customWidth="1"/>
    <col min="15926" max="15926" width="16.7109375" style="18" customWidth="1"/>
    <col min="15927" max="15927" width="21.140625" style="18" bestFit="1" customWidth="1"/>
    <col min="15928" max="15928" width="20.42578125" style="18" bestFit="1" customWidth="1"/>
    <col min="15929" max="15929" width="21.140625" style="18" customWidth="1"/>
    <col min="15930" max="15930" width="20.5703125" style="18" bestFit="1" customWidth="1"/>
    <col min="15931" max="15931" width="19.7109375" style="18" bestFit="1" customWidth="1"/>
    <col min="15932" max="15932" width="20.28515625" style="18" customWidth="1"/>
    <col min="15933" max="15933" width="20.85546875" style="18" bestFit="1" customWidth="1"/>
    <col min="15934" max="15934" width="19.5703125" style="18" bestFit="1" customWidth="1"/>
    <col min="15935" max="15935" width="18" style="18" customWidth="1"/>
    <col min="15936" max="15936" width="20" style="18" bestFit="1" customWidth="1"/>
    <col min="15937" max="15937" width="35.7109375" style="18" customWidth="1"/>
    <col min="15938" max="15938" width="21.140625" style="18" bestFit="1" customWidth="1"/>
    <col min="15939" max="15939" width="20.5703125" style="18" bestFit="1" customWidth="1"/>
    <col min="15940" max="15940" width="19.42578125" style="18" bestFit="1" customWidth="1"/>
    <col min="15941" max="15941" width="18.5703125" style="18" bestFit="1" customWidth="1"/>
    <col min="15942" max="15942" width="20.5703125" style="18" bestFit="1" customWidth="1"/>
    <col min="15943" max="15943" width="21.28515625" style="18" bestFit="1" customWidth="1"/>
    <col min="15944" max="15944" width="15.42578125" style="18" customWidth="1"/>
    <col min="15945" max="15945" width="20.7109375" style="18" customWidth="1"/>
    <col min="15946" max="15946" width="21.28515625" style="18" customWidth="1"/>
    <col min="15947" max="15947" width="14.85546875" style="18" bestFit="1" customWidth="1"/>
    <col min="15948" max="15948" width="23" style="18" bestFit="1" customWidth="1"/>
    <col min="15949" max="15949" width="21.28515625" style="18" bestFit="1" customWidth="1"/>
    <col min="15950" max="15950" width="20.28515625" style="18" bestFit="1" customWidth="1"/>
    <col min="15951" max="15951" width="21" style="18" bestFit="1" customWidth="1"/>
    <col min="15952" max="15952" width="18.85546875" style="18" bestFit="1" customWidth="1"/>
    <col min="15953" max="15953" width="80.7109375" style="18" customWidth="1"/>
    <col min="15954" max="16141" width="9.140625" style="18"/>
    <col min="16142" max="16142" width="2.5703125" style="18" customWidth="1"/>
    <col min="16143" max="16143" width="17.85546875" style="18" customWidth="1"/>
    <col min="16144" max="16144" width="41.5703125" style="18" customWidth="1"/>
    <col min="16145" max="16146" width="12" style="18" customWidth="1"/>
    <col min="16147" max="16147" width="17" style="18" customWidth="1"/>
    <col min="16148" max="16148" width="9.7109375" style="18" customWidth="1"/>
    <col min="16149" max="16149" width="12.28515625" style="18" customWidth="1"/>
    <col min="16150" max="16150" width="13.7109375" style="18" customWidth="1"/>
    <col min="16151" max="16151" width="13.5703125" style="18" bestFit="1" customWidth="1"/>
    <col min="16152" max="16152" width="13.5703125" style="18" customWidth="1"/>
    <col min="16153" max="16153" width="21" style="18" customWidth="1"/>
    <col min="16154" max="16157" width="13.42578125" style="18" customWidth="1"/>
    <col min="16158" max="16159" width="19" style="18" customWidth="1"/>
    <col min="16160" max="16160" width="34" style="18" customWidth="1"/>
    <col min="16161" max="16161" width="19" style="18" customWidth="1"/>
    <col min="16162" max="16162" width="20" style="18" bestFit="1" customWidth="1"/>
    <col min="16163" max="16163" width="20.28515625" style="18" bestFit="1" customWidth="1"/>
    <col min="16164" max="16164" width="26.7109375" style="18" customWidth="1"/>
    <col min="16165" max="16165" width="20.85546875" style="18" bestFit="1" customWidth="1"/>
    <col min="16166" max="16166" width="20.85546875" style="18" customWidth="1"/>
    <col min="16167" max="16167" width="18.85546875" style="18" customWidth="1"/>
    <col min="16168" max="16168" width="17.5703125" style="18" customWidth="1"/>
    <col min="16169" max="16170" width="19.42578125" style="18" customWidth="1"/>
    <col min="16171" max="16171" width="20.7109375" style="18" bestFit="1" customWidth="1"/>
    <col min="16172" max="16172" width="80.7109375" style="18" customWidth="1"/>
    <col min="16173" max="16173" width="14.7109375" style="18" bestFit="1" customWidth="1"/>
    <col min="16174" max="16174" width="18.140625" style="18" bestFit="1" customWidth="1"/>
    <col min="16175" max="16175" width="16.7109375" style="18" bestFit="1" customWidth="1"/>
    <col min="16176" max="16176" width="18.5703125" style="18" bestFit="1" customWidth="1"/>
    <col min="16177" max="16177" width="21.28515625" style="18" bestFit="1" customWidth="1"/>
    <col min="16178" max="16178" width="16.28515625" style="18" bestFit="1" customWidth="1"/>
    <col min="16179" max="16179" width="21.140625" style="18" bestFit="1" customWidth="1"/>
    <col min="16180" max="16180" width="19" style="18" bestFit="1" customWidth="1"/>
    <col min="16181" max="16181" width="19.140625" style="18" customWidth="1"/>
    <col min="16182" max="16182" width="16.7109375" style="18" customWidth="1"/>
    <col min="16183" max="16183" width="21.140625" style="18" bestFit="1" customWidth="1"/>
    <col min="16184" max="16184" width="20.42578125" style="18" bestFit="1" customWidth="1"/>
    <col min="16185" max="16185" width="21.140625" style="18" customWidth="1"/>
    <col min="16186" max="16186" width="20.5703125" style="18" bestFit="1" customWidth="1"/>
    <col min="16187" max="16187" width="19.7109375" style="18" bestFit="1" customWidth="1"/>
    <col min="16188" max="16188" width="20.28515625" style="18" customWidth="1"/>
    <col min="16189" max="16189" width="20.85546875" style="18" bestFit="1" customWidth="1"/>
    <col min="16190" max="16190" width="19.5703125" style="18" bestFit="1" customWidth="1"/>
    <col min="16191" max="16191" width="18" style="18" customWidth="1"/>
    <col min="16192" max="16192" width="20" style="18" bestFit="1" customWidth="1"/>
    <col min="16193" max="16193" width="35.7109375" style="18" customWidth="1"/>
    <col min="16194" max="16194" width="21.140625" style="18" bestFit="1" customWidth="1"/>
    <col min="16195" max="16195" width="20.5703125" style="18" bestFit="1" customWidth="1"/>
    <col min="16196" max="16196" width="19.42578125" style="18" bestFit="1" customWidth="1"/>
    <col min="16197" max="16197" width="18.5703125" style="18" bestFit="1" customWidth="1"/>
    <col min="16198" max="16198" width="20.5703125" style="18" bestFit="1" customWidth="1"/>
    <col min="16199" max="16199" width="21.28515625" style="18" bestFit="1" customWidth="1"/>
    <col min="16200" max="16200" width="15.42578125" style="18" customWidth="1"/>
    <col min="16201" max="16201" width="20.7109375" style="18" customWidth="1"/>
    <col min="16202" max="16202" width="21.28515625" style="18" customWidth="1"/>
    <col min="16203" max="16203" width="14.85546875" style="18" bestFit="1" customWidth="1"/>
    <col min="16204" max="16204" width="23" style="18" bestFit="1" customWidth="1"/>
    <col min="16205" max="16205" width="21.28515625" style="18" bestFit="1" customWidth="1"/>
    <col min="16206" max="16206" width="20.28515625" style="18" bestFit="1" customWidth="1"/>
    <col min="16207" max="16207" width="21" style="18" bestFit="1" customWidth="1"/>
    <col min="16208" max="16208" width="18.85546875" style="18" bestFit="1" customWidth="1"/>
    <col min="16209" max="16209" width="80.7109375" style="18" customWidth="1"/>
    <col min="16210" max="16384" width="9.140625" style="18"/>
  </cols>
  <sheetData>
    <row r="1" spans="2:85" ht="38.450000000000003" customHeight="1" thickBot="1" x14ac:dyDescent="0.25"/>
    <row r="2" spans="2:85" s="25" customFormat="1" ht="33.6" customHeight="1" thickTop="1" thickBot="1" x14ac:dyDescent="0.3">
      <c r="B2" s="20" t="s">
        <v>25</v>
      </c>
      <c r="C2" s="34"/>
      <c r="D2" s="34"/>
      <c r="E2" s="21">
        <v>42215</v>
      </c>
      <c r="F2" s="833" t="s">
        <v>457</v>
      </c>
      <c r="G2" s="834"/>
      <c r="H2" s="834"/>
      <c r="I2" s="834"/>
      <c r="J2" s="835"/>
      <c r="K2" s="835"/>
      <c r="L2" s="836"/>
      <c r="M2" s="22"/>
      <c r="N2" s="729"/>
      <c r="O2" s="335"/>
      <c r="U2" s="850" t="s">
        <v>243</v>
      </c>
      <c r="V2" s="851"/>
      <c r="W2" s="851"/>
      <c r="X2" s="851"/>
      <c r="Y2" s="851"/>
      <c r="Z2" s="851"/>
      <c r="AA2" s="851"/>
      <c r="AB2" s="851"/>
      <c r="AC2" s="851"/>
      <c r="AD2" s="851"/>
      <c r="AE2" s="851"/>
      <c r="AF2" s="851"/>
      <c r="AG2" s="851"/>
      <c r="AH2" s="851"/>
      <c r="AI2" s="851"/>
      <c r="AJ2" s="851"/>
      <c r="AK2" s="851"/>
      <c r="AL2" s="851"/>
      <c r="AM2" s="851"/>
      <c r="AN2" s="851"/>
      <c r="AO2" s="851"/>
      <c r="AP2" s="851"/>
      <c r="AQ2" s="852"/>
      <c r="AR2" s="853" t="s">
        <v>712</v>
      </c>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5"/>
      <c r="BR2" s="282"/>
      <c r="BS2" s="33"/>
      <c r="BT2" s="33"/>
      <c r="BU2" s="33"/>
      <c r="BV2" s="33"/>
      <c r="BW2" s="33"/>
      <c r="BX2" s="33"/>
      <c r="BY2" s="33"/>
      <c r="BZ2" s="33"/>
      <c r="CA2" s="33"/>
      <c r="CB2" s="282"/>
      <c r="CC2" s="33"/>
      <c r="CD2" s="33"/>
      <c r="CE2" s="33"/>
      <c r="CF2" s="33"/>
      <c r="CG2" s="344"/>
    </row>
    <row r="3" spans="2:85" s="25" customFormat="1" ht="28.15" customHeight="1" thickBot="1" x14ac:dyDescent="0.3">
      <c r="B3" s="31" t="s">
        <v>6</v>
      </c>
      <c r="C3" s="35"/>
      <c r="D3" s="35"/>
      <c r="E3" s="32">
        <f>COUNTA(Database!E5:E714)</f>
        <v>176</v>
      </c>
      <c r="F3" s="837"/>
      <c r="G3" s="838"/>
      <c r="H3" s="838"/>
      <c r="I3" s="839"/>
      <c r="J3" s="339">
        <f>SUM(Database!J5:J180)</f>
        <v>17820</v>
      </c>
      <c r="K3" s="339">
        <f>SUM(Database!K5:K180)</f>
        <v>85974</v>
      </c>
      <c r="L3" s="340">
        <f>SUM(Database!L5:L180)</f>
        <v>84095</v>
      </c>
      <c r="M3" s="23"/>
      <c r="N3" s="23"/>
      <c r="O3" s="336"/>
      <c r="P3" s="840" t="s">
        <v>83</v>
      </c>
      <c r="Q3" s="841"/>
      <c r="R3" s="841"/>
      <c r="S3" s="842"/>
      <c r="T3" s="378"/>
      <c r="U3" s="843" t="s">
        <v>85</v>
      </c>
      <c r="V3" s="844"/>
      <c r="W3" s="845"/>
      <c r="X3" s="843" t="s">
        <v>86</v>
      </c>
      <c r="Y3" s="844"/>
      <c r="Z3" s="844"/>
      <c r="AA3" s="846" t="s">
        <v>241</v>
      </c>
      <c r="AB3" s="847"/>
      <c r="AC3" s="843" t="s">
        <v>10</v>
      </c>
      <c r="AD3" s="844"/>
      <c r="AE3" s="844"/>
      <c r="AF3" s="844"/>
      <c r="AG3" s="844"/>
      <c r="AH3" s="844"/>
      <c r="AI3" s="844"/>
      <c r="AJ3" s="844"/>
      <c r="AK3" s="844"/>
      <c r="AL3" s="844"/>
      <c r="AM3" s="844"/>
      <c r="AN3" s="844"/>
      <c r="AO3" s="844"/>
      <c r="AP3" s="844"/>
      <c r="AQ3" s="845"/>
      <c r="AR3" s="848" t="s">
        <v>13</v>
      </c>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346"/>
      <c r="BR3" s="829" t="s">
        <v>713</v>
      </c>
      <c r="BS3" s="830"/>
      <c r="BT3" s="830"/>
      <c r="BU3" s="830"/>
      <c r="BV3" s="830"/>
      <c r="BW3" s="830"/>
      <c r="BX3" s="830"/>
      <c r="BY3" s="831"/>
      <c r="BZ3" s="832" t="s">
        <v>99</v>
      </c>
      <c r="CA3" s="830"/>
      <c r="CB3" s="831"/>
      <c r="CC3" s="832" t="s">
        <v>102</v>
      </c>
      <c r="CD3" s="830"/>
      <c r="CE3" s="830"/>
      <c r="CF3" s="830"/>
      <c r="CG3" s="347"/>
    </row>
    <row r="4" spans="2:85" s="19" customFormat="1" ht="117.75" customHeight="1" thickBot="1" x14ac:dyDescent="0.25">
      <c r="B4" s="776" t="s">
        <v>0</v>
      </c>
      <c r="C4" s="777" t="s">
        <v>483</v>
      </c>
      <c r="D4" s="777" t="s">
        <v>256</v>
      </c>
      <c r="E4" s="777" t="s">
        <v>1</v>
      </c>
      <c r="F4" s="777" t="s">
        <v>100</v>
      </c>
      <c r="G4" s="777" t="s">
        <v>101</v>
      </c>
      <c r="H4" s="778" t="s">
        <v>3</v>
      </c>
      <c r="I4" s="777" t="s">
        <v>4</v>
      </c>
      <c r="J4" s="777" t="s">
        <v>738</v>
      </c>
      <c r="K4" s="777" t="s">
        <v>8</v>
      </c>
      <c r="L4" s="777" t="s">
        <v>9</v>
      </c>
      <c r="M4" s="777" t="s">
        <v>77</v>
      </c>
      <c r="N4" s="777" t="s">
        <v>322</v>
      </c>
      <c r="O4" s="792" t="s">
        <v>17</v>
      </c>
      <c r="P4" s="791" t="s">
        <v>7</v>
      </c>
      <c r="Q4" s="779" t="s">
        <v>650</v>
      </c>
      <c r="R4" s="777" t="s">
        <v>815</v>
      </c>
      <c r="S4" s="792" t="s">
        <v>252</v>
      </c>
      <c r="T4" s="793" t="s">
        <v>286</v>
      </c>
      <c r="U4" s="780" t="s">
        <v>229</v>
      </c>
      <c r="V4" s="780" t="s">
        <v>230</v>
      </c>
      <c r="W4" s="795" t="s">
        <v>84</v>
      </c>
      <c r="X4" s="794" t="s">
        <v>295</v>
      </c>
      <c r="Y4" s="780" t="s">
        <v>97</v>
      </c>
      <c r="Z4" s="797" t="s">
        <v>244</v>
      </c>
      <c r="AA4" s="796" t="s">
        <v>245</v>
      </c>
      <c r="AB4" s="799" t="s">
        <v>631</v>
      </c>
      <c r="AC4" s="798" t="s">
        <v>87</v>
      </c>
      <c r="AD4" s="783" t="s">
        <v>301</v>
      </c>
      <c r="AE4" s="781" t="s">
        <v>265</v>
      </c>
      <c r="AF4" s="783" t="s">
        <v>305</v>
      </c>
      <c r="AG4" s="781" t="s">
        <v>242</v>
      </c>
      <c r="AH4" s="779" t="s">
        <v>304</v>
      </c>
      <c r="AI4" s="781" t="s">
        <v>76</v>
      </c>
      <c r="AJ4" s="781" t="s">
        <v>96</v>
      </c>
      <c r="AK4" s="779" t="s">
        <v>303</v>
      </c>
      <c r="AL4" s="779" t="s">
        <v>451</v>
      </c>
      <c r="AM4" s="779" t="s">
        <v>452</v>
      </c>
      <c r="AN4" s="779" t="s">
        <v>453</v>
      </c>
      <c r="AO4" s="782" t="s">
        <v>273</v>
      </c>
      <c r="AP4" s="784" t="s">
        <v>302</v>
      </c>
      <c r="AQ4" s="795" t="s">
        <v>15</v>
      </c>
      <c r="AR4" s="800" t="s">
        <v>98</v>
      </c>
      <c r="AS4" s="785" t="s">
        <v>246</v>
      </c>
      <c r="AT4" s="785" t="s">
        <v>247</v>
      </c>
      <c r="AU4" s="786" t="s">
        <v>90</v>
      </c>
      <c r="AV4" s="786" t="s">
        <v>23</v>
      </c>
      <c r="AW4" s="779" t="s">
        <v>307</v>
      </c>
      <c r="AX4" s="786" t="s">
        <v>88</v>
      </c>
      <c r="AY4" s="779" t="s">
        <v>306</v>
      </c>
      <c r="AZ4" s="786" t="s">
        <v>264</v>
      </c>
      <c r="BA4" s="779" t="s">
        <v>308</v>
      </c>
      <c r="BB4" s="786" t="s">
        <v>26</v>
      </c>
      <c r="BC4" s="785" t="s">
        <v>271</v>
      </c>
      <c r="BD4" s="784" t="s">
        <v>309</v>
      </c>
      <c r="BE4" s="786" t="s">
        <v>24</v>
      </c>
      <c r="BF4" s="786" t="s">
        <v>670</v>
      </c>
      <c r="BG4" s="786" t="s">
        <v>863</v>
      </c>
      <c r="BH4" s="786" t="s">
        <v>22</v>
      </c>
      <c r="BI4" s="779" t="s">
        <v>310</v>
      </c>
      <c r="BJ4" s="786" t="s">
        <v>454</v>
      </c>
      <c r="BK4" s="786" t="s">
        <v>270</v>
      </c>
      <c r="BL4" s="779" t="s">
        <v>311</v>
      </c>
      <c r="BM4" s="786" t="s">
        <v>248</v>
      </c>
      <c r="BN4" s="786" t="s">
        <v>12</v>
      </c>
      <c r="BO4" s="786" t="s">
        <v>455</v>
      </c>
      <c r="BP4" s="801" t="s">
        <v>272</v>
      </c>
      <c r="BQ4" s="63" t="s">
        <v>15</v>
      </c>
      <c r="BR4" s="802" t="s">
        <v>296</v>
      </c>
      <c r="BS4" s="787" t="s">
        <v>299</v>
      </c>
      <c r="BT4" s="787" t="s">
        <v>297</v>
      </c>
      <c r="BU4" s="787" t="s">
        <v>298</v>
      </c>
      <c r="BV4" s="788" t="s">
        <v>5</v>
      </c>
      <c r="BW4" s="788" t="s">
        <v>91</v>
      </c>
      <c r="BX4" s="779" t="s">
        <v>236</v>
      </c>
      <c r="BY4" s="790" t="s">
        <v>14</v>
      </c>
      <c r="BZ4" s="803" t="s">
        <v>15</v>
      </c>
      <c r="CA4" s="790" t="s">
        <v>16</v>
      </c>
      <c r="CB4" s="793" t="s">
        <v>648</v>
      </c>
      <c r="CC4" s="788" t="s">
        <v>103</v>
      </c>
      <c r="CD4" s="789" t="s">
        <v>263</v>
      </c>
      <c r="CE4" s="789" t="s">
        <v>632</v>
      </c>
      <c r="CF4" s="790" t="s">
        <v>287</v>
      </c>
      <c r="CG4" s="804" t="s">
        <v>11</v>
      </c>
    </row>
    <row r="5" spans="2:85" ht="30.75" customHeight="1" x14ac:dyDescent="0.2">
      <c r="B5" s="444" t="s">
        <v>104</v>
      </c>
      <c r="C5" s="445" t="s">
        <v>518</v>
      </c>
      <c r="D5" s="446" t="s">
        <v>314</v>
      </c>
      <c r="E5" s="445" t="s">
        <v>105</v>
      </c>
      <c r="F5" s="446">
        <v>98.131264999999999</v>
      </c>
      <c r="G5" s="446">
        <v>25.885922999999998</v>
      </c>
      <c r="H5" s="446" t="s">
        <v>449</v>
      </c>
      <c r="I5" s="446" t="s">
        <v>214</v>
      </c>
      <c r="J5" s="447">
        <v>118</v>
      </c>
      <c r="K5" s="447">
        <v>538</v>
      </c>
      <c r="L5" s="447">
        <v>538</v>
      </c>
      <c r="M5" s="348" t="str">
        <f t="shared" ref="M5:M35" si="0">IF(J5&gt;50,IF(J5&gt;250,IF(J5&gt;500,IF(J5&gt;1000,"5. Massive","4. Big"),"3. Large"),"2. Medium"),"1. Small")</f>
        <v>2. Medium</v>
      </c>
      <c r="N5" s="700" t="s">
        <v>832</v>
      </c>
      <c r="O5" s="448" t="s">
        <v>276</v>
      </c>
      <c r="P5" s="459" t="s">
        <v>276</v>
      </c>
      <c r="Q5" s="383" t="str">
        <f>IF(P5="None","Not covered","Covered")</f>
        <v>Covered</v>
      </c>
      <c r="R5" s="460">
        <v>42216</v>
      </c>
      <c r="S5" s="448" t="s">
        <v>253</v>
      </c>
      <c r="T5" s="379" t="str">
        <f>IF(S5="Not documented","Not documented","Documented")</f>
        <v>Documented</v>
      </c>
      <c r="U5" s="466">
        <v>0</v>
      </c>
      <c r="V5" s="447">
        <v>0</v>
      </c>
      <c r="W5" s="467" t="s">
        <v>19</v>
      </c>
      <c r="X5" s="466">
        <v>0</v>
      </c>
      <c r="Y5" s="472">
        <v>0</v>
      </c>
      <c r="Z5" s="473">
        <v>12760</v>
      </c>
      <c r="AA5" s="710">
        <v>0</v>
      </c>
      <c r="AB5" s="711">
        <v>0</v>
      </c>
      <c r="AC5" s="384">
        <f t="shared" ref="AC5:AC35" si="1">IF((((U5/15)+((V5/30)/15)+X5*400+Y5*500+(Z5/15))/L5)&gt;1,1,(((U5/15)+((V5/30)/15)+X5*400+Y5*500+(Z5/15))/L5))</f>
        <v>1</v>
      </c>
      <c r="AD5" s="350">
        <f t="shared" ref="AD5:AD35" si="2">AC5*L5</f>
        <v>538</v>
      </c>
      <c r="AE5" s="351">
        <f t="shared" ref="AE5:AE35" si="3">IF(((X5*400+Y5*500+(Z5/15))/L5)&gt;1,1,(X5*400+Y5*500+(Z5/15))/L5)</f>
        <v>1</v>
      </c>
      <c r="AF5" s="352">
        <f t="shared" ref="AF5:AF35" si="4">AE5*L5</f>
        <v>538</v>
      </c>
      <c r="AG5" s="349">
        <f t="shared" ref="AG5:AG35" si="5">IF(AB5=0,AC5,IF(AB5&lt;AC5,AC5,AB5))</f>
        <v>1</v>
      </c>
      <c r="AH5" s="352">
        <f t="shared" ref="AH5:AH35" si="6">AG5*L5</f>
        <v>538</v>
      </c>
      <c r="AI5" s="353" t="str">
        <f t="shared" ref="AI5:AI35" si="7">IF(AC5&gt;0.15,IF(AC5&gt;0.3,IF(AC5&gt;0.45,IF(AC5&gt;0.6,IF(AC5&gt;0.8,"80-100%","60-80%"),"45-60%"),"30-45%"),"15-30%"),"0-10%")</f>
        <v>80-100%</v>
      </c>
      <c r="AJ5" s="349">
        <f t="shared" ref="AJ5:AJ35" si="8">IF((AC5-AE5)&lt; 0, 0, AC5-AE5)</f>
        <v>0</v>
      </c>
      <c r="AK5" s="354">
        <f t="shared" ref="AK5:AK35" si="9">AJ5*L5</f>
        <v>0</v>
      </c>
      <c r="AL5" s="352">
        <f t="shared" ref="AL5:AL35" si="10">IF(L5/400-(X5+Y5)&lt;0,0,L5/400-(X5+Y5))</f>
        <v>1.345</v>
      </c>
      <c r="AM5" s="352">
        <f t="shared" ref="AM5:AM35" si="11">AB5*J5</f>
        <v>0</v>
      </c>
      <c r="AN5" s="352">
        <f t="shared" ref="AN5:AN35" si="12">AA5*L5</f>
        <v>0</v>
      </c>
      <c r="AO5" s="483">
        <v>1</v>
      </c>
      <c r="AP5" s="484">
        <f t="shared" ref="AP5:AP35" si="13">AO5*L5</f>
        <v>538</v>
      </c>
      <c r="AQ5" s="473"/>
      <c r="AR5" s="731">
        <v>19</v>
      </c>
      <c r="AS5" s="447">
        <v>7</v>
      </c>
      <c r="AT5" s="447">
        <v>8</v>
      </c>
      <c r="AU5" s="447" t="s">
        <v>290</v>
      </c>
      <c r="AV5" s="355">
        <f t="shared" ref="AV5:AV35" si="14">IF((((AS5+AT5)*20)/L5)&gt;1,1,(((AS5+AT5)*20)/L5))</f>
        <v>0.55762081784386619</v>
      </c>
      <c r="AW5" s="352">
        <f t="shared" ref="AW5:AW35" si="15">AV5*L5</f>
        <v>300</v>
      </c>
      <c r="AX5" s="355">
        <f t="shared" ref="AX5:AX35" si="16">AV5-AZ5</f>
        <v>0.26022304832713755</v>
      </c>
      <c r="AY5" s="352">
        <f t="shared" ref="AY5:AY35" si="17">AX5*L5</f>
        <v>140</v>
      </c>
      <c r="AZ5" s="355">
        <f t="shared" ref="AZ5:AZ35" si="18">IF(((AT5*20)/L5)&gt;1,1,((AT5*20)/L5))</f>
        <v>0.29739776951672864</v>
      </c>
      <c r="BA5" s="352">
        <f t="shared" ref="BA5:BA35" si="19">AZ5*L5</f>
        <v>160</v>
      </c>
      <c r="BB5" s="472">
        <v>0</v>
      </c>
      <c r="BC5" s="492">
        <v>0.56999999999999995</v>
      </c>
      <c r="BD5" s="356">
        <f t="shared" ref="BD5:BD35" si="20">BC5*L5</f>
        <v>306.65999999999997</v>
      </c>
      <c r="BE5" s="357">
        <f t="shared" ref="BE5:BE35" si="21">IF((L5/20-AT5+BB5)&lt;0,0,(L5/20-AT5+BB5))</f>
        <v>18.899999999999999</v>
      </c>
      <c r="BF5" s="447">
        <v>4</v>
      </c>
      <c r="BG5" s="447" t="s">
        <v>291</v>
      </c>
      <c r="BH5" s="355">
        <f t="shared" ref="BH5:BH35" si="22">IF((BF5*100/L5)&gt;1,1,(BF5*100/L5))</f>
        <v>0.74349442379182151</v>
      </c>
      <c r="BI5" s="352">
        <f t="shared" ref="BI5:BI35" si="23">BH5*L5</f>
        <v>400</v>
      </c>
      <c r="BJ5" s="357">
        <f t="shared" ref="BJ5:BJ35" si="24">IF(K5/100-BF5&lt;0,0,K5/100-BF5)</f>
        <v>1.38</v>
      </c>
      <c r="BK5" s="483">
        <v>0.76</v>
      </c>
      <c r="BL5" s="352">
        <f t="shared" ref="BL5:BL35" si="25">BK5*L5</f>
        <v>408.88</v>
      </c>
      <c r="BM5" s="472">
        <v>3</v>
      </c>
      <c r="BN5" s="355">
        <f t="shared" ref="BN5:BN35" si="26">IF((BM5*100/L5)&gt;1,1,(BM5*100/L5))</f>
        <v>0.55762081784386619</v>
      </c>
      <c r="BO5" s="357">
        <f t="shared" ref="BO5:BO35" si="27">IF(K5/100-BM5&lt;0,0,K5/100-BM5)</f>
        <v>2.38</v>
      </c>
      <c r="BP5" s="477">
        <v>0.56999999999999995</v>
      </c>
      <c r="BQ5" s="499"/>
      <c r="BR5" s="712">
        <v>42048</v>
      </c>
      <c r="BS5" s="358">
        <f t="shared" ref="BS5:BS65" si="28">IF(BR5="","To be realised",IF(BR5="n/a","n/a",IF(BR5+365&lt;$E$2,"To be realised",BR5+365)))</f>
        <v>42413</v>
      </c>
      <c r="BT5" s="447">
        <v>119</v>
      </c>
      <c r="BU5" s="447">
        <v>5</v>
      </c>
      <c r="BV5" s="359">
        <f t="shared" ref="BV5:BV35" si="29">IF(BS5="n/a",0,IF(BS5="To be realised",J5,IF((J5-BT5)&lt;0,0,(J5-BT5))))</f>
        <v>0</v>
      </c>
      <c r="BW5" s="360">
        <f t="shared" ref="BW5:BW35" si="30">IF(BV5=0,1,(J5-BV5)/J5)</f>
        <v>1</v>
      </c>
      <c r="BX5" s="352">
        <f t="shared" ref="BX5:BX35" si="31">BW5*L5</f>
        <v>538</v>
      </c>
      <c r="BY5" s="386">
        <f t="shared" ref="BY5:BY65" si="32">IF(BR5="","Column BN to be completed", IF(BR5="n/a",0,IF(($E$2-BR5-30)/30-BU5&lt;0,0,ROUND((($E$2-BR5-30)/30-BU5),0))))</f>
        <v>0</v>
      </c>
      <c r="BZ5" s="466"/>
      <c r="CA5" s="477">
        <v>1</v>
      </c>
      <c r="CB5" s="388">
        <f t="shared" ref="CB5:CB35" si="33">CA5*L5</f>
        <v>538</v>
      </c>
      <c r="CC5" s="466">
        <v>2</v>
      </c>
      <c r="CD5" s="361" t="str">
        <f t="shared" ref="CD5:CD35" si="34">IF(CC5=0,"No coverage",IF(L5/CC5&gt;1000,"Low coverage",IF(L5/CC5&gt;750,"Average coverage",IF(L5/CC5&gt;500,"Good coverage","Excellent coverage"))))</f>
        <v>Excellent coverage</v>
      </c>
      <c r="CE5" s="472">
        <v>0</v>
      </c>
      <c r="CF5" s="473" t="s">
        <v>65</v>
      </c>
      <c r="CG5" s="508"/>
    </row>
    <row r="6" spans="2:85" s="40" customFormat="1" ht="30.75" customHeight="1" x14ac:dyDescent="0.2">
      <c r="B6" s="449" t="s">
        <v>104</v>
      </c>
      <c r="C6" s="450" t="s">
        <v>519</v>
      </c>
      <c r="D6" s="451" t="s">
        <v>314</v>
      </c>
      <c r="E6" s="450" t="s">
        <v>217</v>
      </c>
      <c r="F6" s="451">
        <v>98.475719999999995</v>
      </c>
      <c r="G6" s="451">
        <v>25.754110000000001</v>
      </c>
      <c r="H6" s="451" t="s">
        <v>449</v>
      </c>
      <c r="I6" s="451" t="s">
        <v>222</v>
      </c>
      <c r="J6" s="452">
        <v>155</v>
      </c>
      <c r="K6" s="452">
        <v>873</v>
      </c>
      <c r="L6" s="452">
        <v>873</v>
      </c>
      <c r="M6" s="362" t="str">
        <f t="shared" si="0"/>
        <v>2. Medium</v>
      </c>
      <c r="N6" s="701" t="s">
        <v>833</v>
      </c>
      <c r="O6" s="453" t="s">
        <v>235</v>
      </c>
      <c r="P6" s="461" t="s">
        <v>235</v>
      </c>
      <c r="Q6" s="382" t="str">
        <f t="shared" ref="Q6:Q65" si="35">IF(P6="None","Not covered","Covered")</f>
        <v>Covered</v>
      </c>
      <c r="R6" s="462">
        <v>42429</v>
      </c>
      <c r="S6" s="453" t="s">
        <v>253</v>
      </c>
      <c r="T6" s="380" t="str">
        <f t="shared" ref="T6:T65" si="36">IF(S6="Not documented","Not documented","Documented")</f>
        <v>Documented</v>
      </c>
      <c r="U6" s="468">
        <v>0</v>
      </c>
      <c r="V6" s="452">
        <v>0</v>
      </c>
      <c r="W6" s="469" t="s">
        <v>19</v>
      </c>
      <c r="X6" s="468">
        <v>0</v>
      </c>
      <c r="Y6" s="474">
        <v>0</v>
      </c>
      <c r="Z6" s="475">
        <v>17062</v>
      </c>
      <c r="AA6" s="481">
        <v>0</v>
      </c>
      <c r="AB6" s="482">
        <v>0</v>
      </c>
      <c r="AC6" s="385">
        <f t="shared" si="1"/>
        <v>1</v>
      </c>
      <c r="AD6" s="364">
        <f t="shared" si="2"/>
        <v>873</v>
      </c>
      <c r="AE6" s="365">
        <f t="shared" si="3"/>
        <v>1</v>
      </c>
      <c r="AF6" s="366">
        <f t="shared" si="4"/>
        <v>873</v>
      </c>
      <c r="AG6" s="363">
        <f t="shared" si="5"/>
        <v>1</v>
      </c>
      <c r="AH6" s="366">
        <f t="shared" si="6"/>
        <v>873</v>
      </c>
      <c r="AI6" s="367" t="str">
        <f t="shared" si="7"/>
        <v>80-100%</v>
      </c>
      <c r="AJ6" s="363">
        <f t="shared" si="8"/>
        <v>0</v>
      </c>
      <c r="AK6" s="368">
        <f t="shared" si="9"/>
        <v>0</v>
      </c>
      <c r="AL6" s="366">
        <f t="shared" si="10"/>
        <v>2.1825000000000001</v>
      </c>
      <c r="AM6" s="366">
        <f t="shared" si="11"/>
        <v>0</v>
      </c>
      <c r="AN6" s="366">
        <f t="shared" si="12"/>
        <v>0</v>
      </c>
      <c r="AO6" s="485">
        <v>1</v>
      </c>
      <c r="AP6" s="486">
        <f t="shared" si="13"/>
        <v>873</v>
      </c>
      <c r="AQ6" s="487"/>
      <c r="AR6" s="732">
        <v>42</v>
      </c>
      <c r="AS6" s="452">
        <v>44</v>
      </c>
      <c r="AT6" s="452">
        <v>0</v>
      </c>
      <c r="AU6" s="452" t="s">
        <v>290</v>
      </c>
      <c r="AV6" s="369">
        <f t="shared" si="14"/>
        <v>1</v>
      </c>
      <c r="AW6" s="366">
        <f t="shared" si="15"/>
        <v>873</v>
      </c>
      <c r="AX6" s="369">
        <f t="shared" si="16"/>
        <v>1</v>
      </c>
      <c r="AY6" s="366">
        <f t="shared" si="17"/>
        <v>873</v>
      </c>
      <c r="AZ6" s="369">
        <f t="shared" si="18"/>
        <v>0</v>
      </c>
      <c r="BA6" s="366">
        <f t="shared" si="19"/>
        <v>0</v>
      </c>
      <c r="BB6" s="474">
        <v>0</v>
      </c>
      <c r="BC6" s="490">
        <v>1</v>
      </c>
      <c r="BD6" s="370">
        <f t="shared" si="20"/>
        <v>873</v>
      </c>
      <c r="BE6" s="371">
        <f t="shared" si="21"/>
        <v>43.65</v>
      </c>
      <c r="BF6" s="452">
        <v>4</v>
      </c>
      <c r="BG6" s="452" t="s">
        <v>89</v>
      </c>
      <c r="BH6" s="369">
        <f t="shared" si="22"/>
        <v>0.45819014891179838</v>
      </c>
      <c r="BI6" s="366">
        <f t="shared" si="23"/>
        <v>400</v>
      </c>
      <c r="BJ6" s="371">
        <f t="shared" si="24"/>
        <v>4.7300000000000004</v>
      </c>
      <c r="BK6" s="485">
        <v>0.5</v>
      </c>
      <c r="BL6" s="366">
        <f t="shared" si="25"/>
        <v>436.5</v>
      </c>
      <c r="BM6" s="474">
        <v>10</v>
      </c>
      <c r="BN6" s="369">
        <f t="shared" si="26"/>
        <v>1</v>
      </c>
      <c r="BO6" s="371">
        <f t="shared" si="27"/>
        <v>0</v>
      </c>
      <c r="BP6" s="478">
        <v>1</v>
      </c>
      <c r="BQ6" s="500" t="s">
        <v>770</v>
      </c>
      <c r="BR6" s="502">
        <v>42053</v>
      </c>
      <c r="BS6" s="372">
        <f t="shared" si="28"/>
        <v>42418</v>
      </c>
      <c r="BT6" s="452">
        <v>155</v>
      </c>
      <c r="BU6" s="452">
        <v>4</v>
      </c>
      <c r="BV6" s="373">
        <f t="shared" si="29"/>
        <v>0</v>
      </c>
      <c r="BW6" s="374">
        <f t="shared" si="30"/>
        <v>1</v>
      </c>
      <c r="BX6" s="366">
        <f t="shared" si="31"/>
        <v>873</v>
      </c>
      <c r="BY6" s="387">
        <f t="shared" si="32"/>
        <v>0</v>
      </c>
      <c r="BZ6" s="468"/>
      <c r="CA6" s="478">
        <v>1</v>
      </c>
      <c r="CB6" s="389">
        <f t="shared" si="33"/>
        <v>873</v>
      </c>
      <c r="CC6" s="468">
        <v>3</v>
      </c>
      <c r="CD6" s="375" t="str">
        <f t="shared" si="34"/>
        <v>Excellent coverage</v>
      </c>
      <c r="CE6" s="474">
        <v>0</v>
      </c>
      <c r="CF6" s="475" t="s">
        <v>293</v>
      </c>
      <c r="CG6" s="509"/>
    </row>
    <row r="7" spans="2:85" s="40" customFormat="1" ht="30.75" customHeight="1" x14ac:dyDescent="0.2">
      <c r="B7" s="449" t="s">
        <v>104</v>
      </c>
      <c r="C7" s="450" t="s">
        <v>520</v>
      </c>
      <c r="D7" s="451" t="s">
        <v>314</v>
      </c>
      <c r="E7" s="450" t="s">
        <v>106</v>
      </c>
      <c r="F7" s="451"/>
      <c r="G7" s="451"/>
      <c r="H7" s="451" t="s">
        <v>449</v>
      </c>
      <c r="I7" s="451" t="s">
        <v>214</v>
      </c>
      <c r="J7" s="452">
        <v>139</v>
      </c>
      <c r="K7" s="452">
        <v>640</v>
      </c>
      <c r="L7" s="452">
        <v>640</v>
      </c>
      <c r="M7" s="362" t="str">
        <f t="shared" si="0"/>
        <v>2. Medium</v>
      </c>
      <c r="N7" s="701" t="s">
        <v>832</v>
      </c>
      <c r="O7" s="453" t="s">
        <v>276</v>
      </c>
      <c r="P7" s="461" t="s">
        <v>276</v>
      </c>
      <c r="Q7" s="382" t="str">
        <f t="shared" si="35"/>
        <v>Covered</v>
      </c>
      <c r="R7" s="462">
        <v>42216</v>
      </c>
      <c r="S7" s="453" t="s">
        <v>253</v>
      </c>
      <c r="T7" s="380" t="str">
        <f t="shared" si="36"/>
        <v>Documented</v>
      </c>
      <c r="U7" s="468">
        <v>0</v>
      </c>
      <c r="V7" s="452">
        <v>0</v>
      </c>
      <c r="W7" s="469" t="s">
        <v>19</v>
      </c>
      <c r="X7" s="468">
        <v>0</v>
      </c>
      <c r="Y7" s="474">
        <v>0</v>
      </c>
      <c r="Z7" s="475">
        <v>12760</v>
      </c>
      <c r="AA7" s="481">
        <v>0</v>
      </c>
      <c r="AB7" s="482">
        <v>0</v>
      </c>
      <c r="AC7" s="385">
        <f t="shared" si="1"/>
        <v>1</v>
      </c>
      <c r="AD7" s="364">
        <f t="shared" si="2"/>
        <v>640</v>
      </c>
      <c r="AE7" s="365">
        <f t="shared" si="3"/>
        <v>1</v>
      </c>
      <c r="AF7" s="366">
        <f t="shared" si="4"/>
        <v>640</v>
      </c>
      <c r="AG7" s="363">
        <f t="shared" si="5"/>
        <v>1</v>
      </c>
      <c r="AH7" s="366">
        <f t="shared" si="6"/>
        <v>640</v>
      </c>
      <c r="AI7" s="367" t="str">
        <f t="shared" si="7"/>
        <v>80-100%</v>
      </c>
      <c r="AJ7" s="363">
        <f t="shared" si="8"/>
        <v>0</v>
      </c>
      <c r="AK7" s="368">
        <f t="shared" si="9"/>
        <v>0</v>
      </c>
      <c r="AL7" s="366">
        <f t="shared" si="10"/>
        <v>1.6</v>
      </c>
      <c r="AM7" s="366">
        <f t="shared" si="11"/>
        <v>0</v>
      </c>
      <c r="AN7" s="366">
        <f t="shared" si="12"/>
        <v>0</v>
      </c>
      <c r="AO7" s="485">
        <v>1</v>
      </c>
      <c r="AP7" s="486">
        <f t="shared" si="13"/>
        <v>640</v>
      </c>
      <c r="AQ7" s="475"/>
      <c r="AR7" s="732">
        <v>5</v>
      </c>
      <c r="AS7" s="452">
        <v>5</v>
      </c>
      <c r="AT7" s="452">
        <v>23</v>
      </c>
      <c r="AU7" s="452" t="s">
        <v>290</v>
      </c>
      <c r="AV7" s="369">
        <f t="shared" si="14"/>
        <v>0.875</v>
      </c>
      <c r="AW7" s="366">
        <f t="shared" si="15"/>
        <v>560</v>
      </c>
      <c r="AX7" s="369">
        <f t="shared" si="16"/>
        <v>0.15625</v>
      </c>
      <c r="AY7" s="366">
        <f t="shared" si="17"/>
        <v>100</v>
      </c>
      <c r="AZ7" s="369">
        <f t="shared" si="18"/>
        <v>0.71875</v>
      </c>
      <c r="BA7" s="366">
        <f t="shared" si="19"/>
        <v>460</v>
      </c>
      <c r="BB7" s="474">
        <v>0</v>
      </c>
      <c r="BC7" s="490">
        <v>0.89</v>
      </c>
      <c r="BD7" s="370">
        <f t="shared" si="20"/>
        <v>569.6</v>
      </c>
      <c r="BE7" s="371">
        <f t="shared" si="21"/>
        <v>9</v>
      </c>
      <c r="BF7" s="452">
        <v>7</v>
      </c>
      <c r="BG7" s="452" t="s">
        <v>291</v>
      </c>
      <c r="BH7" s="369">
        <f t="shared" si="22"/>
        <v>1</v>
      </c>
      <c r="BI7" s="366">
        <f t="shared" si="23"/>
        <v>640</v>
      </c>
      <c r="BJ7" s="371">
        <f t="shared" si="24"/>
        <v>0</v>
      </c>
      <c r="BK7" s="485">
        <v>1</v>
      </c>
      <c r="BL7" s="366">
        <f t="shared" si="25"/>
        <v>640</v>
      </c>
      <c r="BM7" s="474">
        <v>5</v>
      </c>
      <c r="BN7" s="369">
        <f t="shared" si="26"/>
        <v>0.78125</v>
      </c>
      <c r="BO7" s="371">
        <f t="shared" si="27"/>
        <v>1.4000000000000004</v>
      </c>
      <c r="BP7" s="478">
        <v>1</v>
      </c>
      <c r="BQ7" s="500"/>
      <c r="BR7" s="502">
        <v>42048</v>
      </c>
      <c r="BS7" s="372">
        <f t="shared" si="28"/>
        <v>42413</v>
      </c>
      <c r="BT7" s="452">
        <v>139</v>
      </c>
      <c r="BU7" s="452">
        <v>5</v>
      </c>
      <c r="BV7" s="373">
        <f t="shared" si="29"/>
        <v>0</v>
      </c>
      <c r="BW7" s="374">
        <f t="shared" si="30"/>
        <v>1</v>
      </c>
      <c r="BX7" s="366">
        <f t="shared" si="31"/>
        <v>640</v>
      </c>
      <c r="BY7" s="387">
        <f t="shared" si="32"/>
        <v>0</v>
      </c>
      <c r="BZ7" s="468"/>
      <c r="CA7" s="478">
        <v>1</v>
      </c>
      <c r="CB7" s="389">
        <f t="shared" si="33"/>
        <v>640</v>
      </c>
      <c r="CC7" s="468">
        <v>2</v>
      </c>
      <c r="CD7" s="375" t="str">
        <f t="shared" si="34"/>
        <v>Excellent coverage</v>
      </c>
      <c r="CE7" s="474">
        <v>0</v>
      </c>
      <c r="CF7" s="475" t="s">
        <v>65</v>
      </c>
      <c r="CG7" s="509"/>
    </row>
    <row r="8" spans="2:85" s="40" customFormat="1" ht="30.75" customHeight="1" x14ac:dyDescent="0.2">
      <c r="B8" s="449" t="s">
        <v>104</v>
      </c>
      <c r="C8" s="450" t="s">
        <v>521</v>
      </c>
      <c r="D8" s="451" t="s">
        <v>314</v>
      </c>
      <c r="E8" s="450" t="s">
        <v>283</v>
      </c>
      <c r="F8" s="451">
        <v>98.376824999999997</v>
      </c>
      <c r="G8" s="451">
        <v>25.598251999999999</v>
      </c>
      <c r="H8" s="451" t="s">
        <v>449</v>
      </c>
      <c r="I8" s="451" t="s">
        <v>214</v>
      </c>
      <c r="J8" s="452">
        <v>68</v>
      </c>
      <c r="K8" s="452">
        <v>323</v>
      </c>
      <c r="L8" s="452">
        <v>323</v>
      </c>
      <c r="M8" s="362" t="str">
        <f t="shared" si="0"/>
        <v>2. Medium</v>
      </c>
      <c r="N8" s="701" t="s">
        <v>834</v>
      </c>
      <c r="O8" s="453" t="s">
        <v>231</v>
      </c>
      <c r="P8" s="461" t="s">
        <v>231</v>
      </c>
      <c r="Q8" s="382" t="str">
        <f t="shared" si="35"/>
        <v>Covered</v>
      </c>
      <c r="R8" s="462">
        <v>42369</v>
      </c>
      <c r="S8" s="453" t="s">
        <v>253</v>
      </c>
      <c r="T8" s="380" t="str">
        <f t="shared" si="36"/>
        <v>Documented</v>
      </c>
      <c r="U8" s="468">
        <v>0</v>
      </c>
      <c r="V8" s="452">
        <v>0</v>
      </c>
      <c r="W8" s="469" t="s">
        <v>19</v>
      </c>
      <c r="X8" s="468">
        <v>0</v>
      </c>
      <c r="Y8" s="474">
        <v>0</v>
      </c>
      <c r="Z8" s="475">
        <v>20250</v>
      </c>
      <c r="AA8" s="481">
        <v>0</v>
      </c>
      <c r="AB8" s="482">
        <v>1</v>
      </c>
      <c r="AC8" s="385">
        <f t="shared" si="1"/>
        <v>1</v>
      </c>
      <c r="AD8" s="364">
        <f t="shared" si="2"/>
        <v>323</v>
      </c>
      <c r="AE8" s="365">
        <f t="shared" si="3"/>
        <v>1</v>
      </c>
      <c r="AF8" s="366">
        <f t="shared" si="4"/>
        <v>323</v>
      </c>
      <c r="AG8" s="363">
        <f t="shared" si="5"/>
        <v>1</v>
      </c>
      <c r="AH8" s="366">
        <f t="shared" si="6"/>
        <v>323</v>
      </c>
      <c r="AI8" s="367" t="str">
        <f t="shared" si="7"/>
        <v>80-100%</v>
      </c>
      <c r="AJ8" s="363">
        <f t="shared" si="8"/>
        <v>0</v>
      </c>
      <c r="AK8" s="368">
        <f t="shared" si="9"/>
        <v>0</v>
      </c>
      <c r="AL8" s="366">
        <f t="shared" si="10"/>
        <v>0.8075</v>
      </c>
      <c r="AM8" s="366">
        <f t="shared" si="11"/>
        <v>68</v>
      </c>
      <c r="AN8" s="366">
        <f t="shared" si="12"/>
        <v>0</v>
      </c>
      <c r="AO8" s="485">
        <v>1</v>
      </c>
      <c r="AP8" s="486">
        <f t="shared" si="13"/>
        <v>323</v>
      </c>
      <c r="AQ8" s="475"/>
      <c r="AR8" s="732">
        <v>8</v>
      </c>
      <c r="AS8" s="452">
        <v>0</v>
      </c>
      <c r="AT8" s="452">
        <v>16</v>
      </c>
      <c r="AU8" s="452" t="s">
        <v>291</v>
      </c>
      <c r="AV8" s="369">
        <f t="shared" si="14"/>
        <v>0.99071207430340558</v>
      </c>
      <c r="AW8" s="366">
        <f t="shared" si="15"/>
        <v>320</v>
      </c>
      <c r="AX8" s="369">
        <f t="shared" si="16"/>
        <v>0</v>
      </c>
      <c r="AY8" s="366">
        <f t="shared" si="17"/>
        <v>0</v>
      </c>
      <c r="AZ8" s="369">
        <f t="shared" si="18"/>
        <v>0.99071207430340558</v>
      </c>
      <c r="BA8" s="366">
        <f t="shared" si="19"/>
        <v>320</v>
      </c>
      <c r="BB8" s="474">
        <v>0</v>
      </c>
      <c r="BC8" s="490">
        <v>1</v>
      </c>
      <c r="BD8" s="370">
        <f t="shared" si="20"/>
        <v>323</v>
      </c>
      <c r="BE8" s="371">
        <f t="shared" si="21"/>
        <v>0.14999999999999858</v>
      </c>
      <c r="BF8" s="452">
        <v>2</v>
      </c>
      <c r="BG8" s="452" t="s">
        <v>291</v>
      </c>
      <c r="BH8" s="369">
        <f t="shared" si="22"/>
        <v>0.61919504643962853</v>
      </c>
      <c r="BI8" s="366">
        <f t="shared" si="23"/>
        <v>200</v>
      </c>
      <c r="BJ8" s="371">
        <f t="shared" si="24"/>
        <v>1.23</v>
      </c>
      <c r="BK8" s="485">
        <v>0.62</v>
      </c>
      <c r="BL8" s="366">
        <f t="shared" si="25"/>
        <v>200.26</v>
      </c>
      <c r="BM8" s="474">
        <v>2</v>
      </c>
      <c r="BN8" s="369">
        <f t="shared" si="26"/>
        <v>0.61919504643962853</v>
      </c>
      <c r="BO8" s="371">
        <f t="shared" si="27"/>
        <v>1.23</v>
      </c>
      <c r="BP8" s="478">
        <v>0.62</v>
      </c>
      <c r="BQ8" s="500" t="s">
        <v>844</v>
      </c>
      <c r="BR8" s="502">
        <v>41780</v>
      </c>
      <c r="BS8" s="372" t="str">
        <f t="shared" si="28"/>
        <v>To be realised</v>
      </c>
      <c r="BT8" s="452">
        <v>68</v>
      </c>
      <c r="BU8" s="452">
        <v>10</v>
      </c>
      <c r="BV8" s="373">
        <f t="shared" si="29"/>
        <v>68</v>
      </c>
      <c r="BW8" s="374">
        <f t="shared" si="30"/>
        <v>0</v>
      </c>
      <c r="BX8" s="366">
        <f t="shared" si="31"/>
        <v>0</v>
      </c>
      <c r="BY8" s="387">
        <f t="shared" si="32"/>
        <v>4</v>
      </c>
      <c r="BZ8" s="468"/>
      <c r="CA8" s="478">
        <v>1</v>
      </c>
      <c r="CB8" s="389">
        <f t="shared" si="33"/>
        <v>323</v>
      </c>
      <c r="CC8" s="468">
        <v>0</v>
      </c>
      <c r="CD8" s="375" t="str">
        <f t="shared" si="34"/>
        <v>No coverage</v>
      </c>
      <c r="CE8" s="474">
        <v>0</v>
      </c>
      <c r="CF8" s="475" t="s">
        <v>293</v>
      </c>
      <c r="CG8" s="509"/>
    </row>
    <row r="9" spans="2:85" s="40" customFormat="1" ht="30.75" customHeight="1" x14ac:dyDescent="0.2">
      <c r="B9" s="449" t="s">
        <v>107</v>
      </c>
      <c r="C9" s="450" t="s">
        <v>522</v>
      </c>
      <c r="D9" s="451" t="s">
        <v>257</v>
      </c>
      <c r="E9" s="450" t="s">
        <v>108</v>
      </c>
      <c r="F9" s="451">
        <v>96.355270000000004</v>
      </c>
      <c r="G9" s="451">
        <v>25.656130000000001</v>
      </c>
      <c r="H9" s="451" t="s">
        <v>449</v>
      </c>
      <c r="I9" s="451" t="s">
        <v>214</v>
      </c>
      <c r="J9" s="452">
        <v>77</v>
      </c>
      <c r="K9" s="452">
        <v>360</v>
      </c>
      <c r="L9" s="452">
        <v>360</v>
      </c>
      <c r="M9" s="362" t="str">
        <f t="shared" si="0"/>
        <v>2. Medium</v>
      </c>
      <c r="N9" s="701"/>
      <c r="O9" s="453" t="s">
        <v>276</v>
      </c>
      <c r="P9" s="461" t="s">
        <v>276</v>
      </c>
      <c r="Q9" s="382" t="str">
        <f t="shared" si="35"/>
        <v>Covered</v>
      </c>
      <c r="R9" s="462" t="s">
        <v>629</v>
      </c>
      <c r="S9" s="453" t="s">
        <v>253</v>
      </c>
      <c r="T9" s="380" t="str">
        <f t="shared" si="36"/>
        <v>Documented</v>
      </c>
      <c r="U9" s="468">
        <v>0</v>
      </c>
      <c r="V9" s="452">
        <v>0</v>
      </c>
      <c r="W9" s="469" t="s">
        <v>19</v>
      </c>
      <c r="X9" s="468">
        <v>3</v>
      </c>
      <c r="Y9" s="474">
        <v>0</v>
      </c>
      <c r="Z9" s="475">
        <v>6000</v>
      </c>
      <c r="AA9" s="481">
        <v>0</v>
      </c>
      <c r="AB9" s="482">
        <v>0</v>
      </c>
      <c r="AC9" s="385">
        <f t="shared" si="1"/>
        <v>1</v>
      </c>
      <c r="AD9" s="364">
        <f t="shared" si="2"/>
        <v>360</v>
      </c>
      <c r="AE9" s="365">
        <f t="shared" si="3"/>
        <v>1</v>
      </c>
      <c r="AF9" s="366">
        <f t="shared" si="4"/>
        <v>360</v>
      </c>
      <c r="AG9" s="363">
        <f t="shared" si="5"/>
        <v>1</v>
      </c>
      <c r="AH9" s="366">
        <f t="shared" si="6"/>
        <v>360</v>
      </c>
      <c r="AI9" s="367" t="str">
        <f t="shared" si="7"/>
        <v>80-100%</v>
      </c>
      <c r="AJ9" s="363">
        <f t="shared" si="8"/>
        <v>0</v>
      </c>
      <c r="AK9" s="368">
        <f t="shared" si="9"/>
        <v>0</v>
      </c>
      <c r="AL9" s="366">
        <f t="shared" si="10"/>
        <v>0</v>
      </c>
      <c r="AM9" s="366">
        <f t="shared" si="11"/>
        <v>0</v>
      </c>
      <c r="AN9" s="366">
        <f t="shared" si="12"/>
        <v>0</v>
      </c>
      <c r="AO9" s="485">
        <v>1</v>
      </c>
      <c r="AP9" s="486">
        <f t="shared" si="13"/>
        <v>360</v>
      </c>
      <c r="AQ9" s="475"/>
      <c r="AR9" s="732">
        <v>8</v>
      </c>
      <c r="AS9" s="452">
        <v>0</v>
      </c>
      <c r="AT9" s="452">
        <v>5</v>
      </c>
      <c r="AU9" s="452" t="s">
        <v>89</v>
      </c>
      <c r="AV9" s="369">
        <f t="shared" si="14"/>
        <v>0.27777777777777779</v>
      </c>
      <c r="AW9" s="366">
        <f t="shared" si="15"/>
        <v>100</v>
      </c>
      <c r="AX9" s="369">
        <f t="shared" si="16"/>
        <v>0</v>
      </c>
      <c r="AY9" s="366">
        <f t="shared" si="17"/>
        <v>0</v>
      </c>
      <c r="AZ9" s="369">
        <f t="shared" si="18"/>
        <v>0.27777777777777779</v>
      </c>
      <c r="BA9" s="366">
        <f t="shared" si="19"/>
        <v>100</v>
      </c>
      <c r="BB9" s="474">
        <v>0</v>
      </c>
      <c r="BC9" s="490">
        <v>0.28000000000000003</v>
      </c>
      <c r="BD9" s="370">
        <f t="shared" si="20"/>
        <v>100.80000000000001</v>
      </c>
      <c r="BE9" s="371">
        <f t="shared" si="21"/>
        <v>13</v>
      </c>
      <c r="BF9" s="452">
        <v>2</v>
      </c>
      <c r="BG9" s="452" t="s">
        <v>292</v>
      </c>
      <c r="BH9" s="369">
        <f t="shared" si="22"/>
        <v>0.55555555555555558</v>
      </c>
      <c r="BI9" s="366">
        <f t="shared" si="23"/>
        <v>200</v>
      </c>
      <c r="BJ9" s="371">
        <f t="shared" si="24"/>
        <v>1.6</v>
      </c>
      <c r="BK9" s="485">
        <v>0.56000000000000005</v>
      </c>
      <c r="BL9" s="366">
        <f t="shared" si="25"/>
        <v>201.60000000000002</v>
      </c>
      <c r="BM9" s="474">
        <v>6</v>
      </c>
      <c r="BN9" s="369">
        <f t="shared" si="26"/>
        <v>1</v>
      </c>
      <c r="BO9" s="371">
        <f t="shared" si="27"/>
        <v>0</v>
      </c>
      <c r="BP9" s="478">
        <v>1</v>
      </c>
      <c r="BQ9" s="500" t="s">
        <v>845</v>
      </c>
      <c r="BR9" s="502">
        <v>41695</v>
      </c>
      <c r="BS9" s="372" t="str">
        <f t="shared" si="28"/>
        <v>To be realised</v>
      </c>
      <c r="BT9" s="452">
        <v>77</v>
      </c>
      <c r="BU9" s="452">
        <v>10</v>
      </c>
      <c r="BV9" s="373">
        <f t="shared" si="29"/>
        <v>77</v>
      </c>
      <c r="BW9" s="374">
        <f t="shared" si="30"/>
        <v>0</v>
      </c>
      <c r="BX9" s="366">
        <f t="shared" si="31"/>
        <v>0</v>
      </c>
      <c r="BY9" s="387">
        <f t="shared" si="32"/>
        <v>6</v>
      </c>
      <c r="BZ9" s="468" t="s">
        <v>732</v>
      </c>
      <c r="CA9" s="478">
        <v>0</v>
      </c>
      <c r="CB9" s="389">
        <f t="shared" si="33"/>
        <v>0</v>
      </c>
      <c r="CC9" s="468">
        <v>2</v>
      </c>
      <c r="CD9" s="375" t="str">
        <f t="shared" si="34"/>
        <v>Excellent coverage</v>
      </c>
      <c r="CE9" s="474">
        <v>0</v>
      </c>
      <c r="CF9" s="475" t="s">
        <v>293</v>
      </c>
      <c r="CG9" s="509"/>
    </row>
    <row r="10" spans="2:85" s="40" customFormat="1" ht="30.75" customHeight="1" x14ac:dyDescent="0.2">
      <c r="B10" s="449" t="s">
        <v>107</v>
      </c>
      <c r="C10" s="450" t="s">
        <v>523</v>
      </c>
      <c r="D10" s="451" t="s">
        <v>257</v>
      </c>
      <c r="E10" s="450" t="s">
        <v>109</v>
      </c>
      <c r="F10" s="451">
        <v>96.353070000000002</v>
      </c>
      <c r="G10" s="451">
        <v>25.655819999999999</v>
      </c>
      <c r="H10" s="451" t="s">
        <v>449</v>
      </c>
      <c r="I10" s="451" t="s">
        <v>214</v>
      </c>
      <c r="J10" s="452">
        <v>83</v>
      </c>
      <c r="K10" s="452">
        <v>425</v>
      </c>
      <c r="L10" s="452">
        <v>425</v>
      </c>
      <c r="M10" s="362" t="str">
        <f t="shared" si="0"/>
        <v>2. Medium</v>
      </c>
      <c r="N10" s="701" t="s">
        <v>834</v>
      </c>
      <c r="O10" s="453" t="s">
        <v>231</v>
      </c>
      <c r="P10" s="461" t="s">
        <v>231</v>
      </c>
      <c r="Q10" s="382" t="str">
        <f t="shared" si="35"/>
        <v>Covered</v>
      </c>
      <c r="R10" s="462">
        <v>42369</v>
      </c>
      <c r="S10" s="453" t="s">
        <v>253</v>
      </c>
      <c r="T10" s="380" t="str">
        <f t="shared" si="36"/>
        <v>Documented</v>
      </c>
      <c r="U10" s="468">
        <v>0</v>
      </c>
      <c r="V10" s="452">
        <v>0</v>
      </c>
      <c r="W10" s="469" t="s">
        <v>19</v>
      </c>
      <c r="X10" s="468">
        <v>2</v>
      </c>
      <c r="Y10" s="474">
        <v>0</v>
      </c>
      <c r="Z10" s="475">
        <v>3000</v>
      </c>
      <c r="AA10" s="481">
        <v>0</v>
      </c>
      <c r="AB10" s="482">
        <v>0</v>
      </c>
      <c r="AC10" s="385">
        <f t="shared" si="1"/>
        <v>1</v>
      </c>
      <c r="AD10" s="364">
        <f t="shared" si="2"/>
        <v>425</v>
      </c>
      <c r="AE10" s="365">
        <f t="shared" si="3"/>
        <v>1</v>
      </c>
      <c r="AF10" s="366">
        <f t="shared" si="4"/>
        <v>425</v>
      </c>
      <c r="AG10" s="363">
        <f t="shared" si="5"/>
        <v>1</v>
      </c>
      <c r="AH10" s="366">
        <f t="shared" si="6"/>
        <v>425</v>
      </c>
      <c r="AI10" s="367" t="str">
        <f t="shared" si="7"/>
        <v>80-100%</v>
      </c>
      <c r="AJ10" s="363">
        <f t="shared" si="8"/>
        <v>0</v>
      </c>
      <c r="AK10" s="368">
        <f t="shared" si="9"/>
        <v>0</v>
      </c>
      <c r="AL10" s="366">
        <f t="shared" si="10"/>
        <v>0</v>
      </c>
      <c r="AM10" s="366">
        <f t="shared" si="11"/>
        <v>0</v>
      </c>
      <c r="AN10" s="366">
        <f t="shared" si="12"/>
        <v>0</v>
      </c>
      <c r="AO10" s="485">
        <v>1</v>
      </c>
      <c r="AP10" s="486">
        <f t="shared" si="13"/>
        <v>425</v>
      </c>
      <c r="AQ10" s="475"/>
      <c r="AR10" s="732">
        <v>10</v>
      </c>
      <c r="AS10" s="452">
        <v>0</v>
      </c>
      <c r="AT10" s="452">
        <v>19</v>
      </c>
      <c r="AU10" s="452" t="s">
        <v>291</v>
      </c>
      <c r="AV10" s="369">
        <f t="shared" si="14"/>
        <v>0.89411764705882357</v>
      </c>
      <c r="AW10" s="366">
        <f t="shared" si="15"/>
        <v>380</v>
      </c>
      <c r="AX10" s="369">
        <f t="shared" si="16"/>
        <v>0</v>
      </c>
      <c r="AY10" s="366">
        <f t="shared" si="17"/>
        <v>0</v>
      </c>
      <c r="AZ10" s="369">
        <f t="shared" si="18"/>
        <v>0.89411764705882357</v>
      </c>
      <c r="BA10" s="366">
        <f t="shared" si="19"/>
        <v>380</v>
      </c>
      <c r="BB10" s="474">
        <v>0</v>
      </c>
      <c r="BC10" s="490">
        <v>1</v>
      </c>
      <c r="BD10" s="370">
        <f t="shared" si="20"/>
        <v>425</v>
      </c>
      <c r="BE10" s="371">
        <f t="shared" si="21"/>
        <v>2.25</v>
      </c>
      <c r="BF10" s="452">
        <v>2</v>
      </c>
      <c r="BG10" s="452" t="s">
        <v>89</v>
      </c>
      <c r="BH10" s="369">
        <f t="shared" si="22"/>
        <v>0.47058823529411764</v>
      </c>
      <c r="BI10" s="366">
        <f t="shared" si="23"/>
        <v>200</v>
      </c>
      <c r="BJ10" s="371">
        <f t="shared" si="24"/>
        <v>2.25</v>
      </c>
      <c r="BK10" s="485">
        <v>0.48</v>
      </c>
      <c r="BL10" s="366">
        <f t="shared" si="25"/>
        <v>204</v>
      </c>
      <c r="BM10" s="474">
        <v>2</v>
      </c>
      <c r="BN10" s="369">
        <f t="shared" si="26"/>
        <v>0.47058823529411764</v>
      </c>
      <c r="BO10" s="371">
        <f t="shared" si="27"/>
        <v>2.25</v>
      </c>
      <c r="BP10" s="478">
        <v>0.48</v>
      </c>
      <c r="BQ10" s="500" t="s">
        <v>846</v>
      </c>
      <c r="BR10" s="502">
        <v>41817</v>
      </c>
      <c r="BS10" s="372" t="str">
        <f t="shared" si="28"/>
        <v>To be realised</v>
      </c>
      <c r="BT10" s="452">
        <v>83</v>
      </c>
      <c r="BU10" s="452">
        <v>2</v>
      </c>
      <c r="BV10" s="373">
        <f t="shared" si="29"/>
        <v>83</v>
      </c>
      <c r="BW10" s="374">
        <f t="shared" si="30"/>
        <v>0</v>
      </c>
      <c r="BX10" s="366">
        <f t="shared" si="31"/>
        <v>0</v>
      </c>
      <c r="BY10" s="387">
        <f t="shared" si="32"/>
        <v>10</v>
      </c>
      <c r="BZ10" s="468"/>
      <c r="CA10" s="478">
        <v>1</v>
      </c>
      <c r="CB10" s="389">
        <f t="shared" si="33"/>
        <v>425</v>
      </c>
      <c r="CC10" s="468">
        <v>0</v>
      </c>
      <c r="CD10" s="375" t="str">
        <f t="shared" si="34"/>
        <v>No coverage</v>
      </c>
      <c r="CE10" s="474">
        <v>0</v>
      </c>
      <c r="CF10" s="475" t="s">
        <v>293</v>
      </c>
      <c r="CG10" s="509"/>
    </row>
    <row r="11" spans="2:85" s="40" customFormat="1" ht="30.75" customHeight="1" x14ac:dyDescent="0.2">
      <c r="B11" s="449" t="s">
        <v>107</v>
      </c>
      <c r="C11" s="450" t="s">
        <v>524</v>
      </c>
      <c r="D11" s="451" t="s">
        <v>257</v>
      </c>
      <c r="E11" s="450" t="s">
        <v>110</v>
      </c>
      <c r="F11" s="451">
        <v>96.345569999999995</v>
      </c>
      <c r="G11" s="451">
        <v>25.635300000000001</v>
      </c>
      <c r="H11" s="451" t="s">
        <v>449</v>
      </c>
      <c r="I11" s="451" t="s">
        <v>214</v>
      </c>
      <c r="J11" s="452">
        <v>67</v>
      </c>
      <c r="K11" s="452">
        <v>338</v>
      </c>
      <c r="L11" s="452">
        <v>338</v>
      </c>
      <c r="M11" s="362" t="str">
        <f t="shared" si="0"/>
        <v>2. Medium</v>
      </c>
      <c r="N11" s="701"/>
      <c r="O11" s="453" t="s">
        <v>276</v>
      </c>
      <c r="P11" s="461" t="s">
        <v>276</v>
      </c>
      <c r="Q11" s="382" t="str">
        <f t="shared" si="35"/>
        <v>Covered</v>
      </c>
      <c r="R11" s="462" t="s">
        <v>629</v>
      </c>
      <c r="S11" s="453" t="s">
        <v>253</v>
      </c>
      <c r="T11" s="380" t="str">
        <f t="shared" si="36"/>
        <v>Documented</v>
      </c>
      <c r="U11" s="468">
        <v>0</v>
      </c>
      <c r="V11" s="452">
        <v>0</v>
      </c>
      <c r="W11" s="469" t="s">
        <v>19</v>
      </c>
      <c r="X11" s="468">
        <v>1</v>
      </c>
      <c r="Y11" s="474">
        <v>0</v>
      </c>
      <c r="Z11" s="475">
        <v>0</v>
      </c>
      <c r="AA11" s="481">
        <v>0</v>
      </c>
      <c r="AB11" s="482">
        <v>0</v>
      </c>
      <c r="AC11" s="385">
        <f t="shared" si="1"/>
        <v>1</v>
      </c>
      <c r="AD11" s="364">
        <f t="shared" si="2"/>
        <v>338</v>
      </c>
      <c r="AE11" s="365">
        <f t="shared" si="3"/>
        <v>1</v>
      </c>
      <c r="AF11" s="366">
        <f t="shared" si="4"/>
        <v>338</v>
      </c>
      <c r="AG11" s="363">
        <f t="shared" si="5"/>
        <v>1</v>
      </c>
      <c r="AH11" s="366">
        <f t="shared" si="6"/>
        <v>338</v>
      </c>
      <c r="AI11" s="367" t="str">
        <f t="shared" si="7"/>
        <v>80-100%</v>
      </c>
      <c r="AJ11" s="363">
        <f t="shared" si="8"/>
        <v>0</v>
      </c>
      <c r="AK11" s="368">
        <f t="shared" si="9"/>
        <v>0</v>
      </c>
      <c r="AL11" s="366">
        <f t="shared" si="10"/>
        <v>0</v>
      </c>
      <c r="AM11" s="366">
        <f t="shared" si="11"/>
        <v>0</v>
      </c>
      <c r="AN11" s="366">
        <f t="shared" si="12"/>
        <v>0</v>
      </c>
      <c r="AO11" s="485">
        <v>1</v>
      </c>
      <c r="AP11" s="486">
        <f t="shared" si="13"/>
        <v>338</v>
      </c>
      <c r="AQ11" s="475"/>
      <c r="AR11" s="732">
        <v>6</v>
      </c>
      <c r="AS11" s="452">
        <v>0</v>
      </c>
      <c r="AT11" s="452">
        <v>15</v>
      </c>
      <c r="AU11" s="452" t="s">
        <v>89</v>
      </c>
      <c r="AV11" s="369">
        <f t="shared" si="14"/>
        <v>0.8875739644970414</v>
      </c>
      <c r="AW11" s="366">
        <f t="shared" si="15"/>
        <v>300</v>
      </c>
      <c r="AX11" s="369">
        <f t="shared" si="16"/>
        <v>0</v>
      </c>
      <c r="AY11" s="366">
        <f t="shared" si="17"/>
        <v>0</v>
      </c>
      <c r="AZ11" s="369">
        <f t="shared" si="18"/>
        <v>0.8875739644970414</v>
      </c>
      <c r="BA11" s="366">
        <f t="shared" si="19"/>
        <v>300</v>
      </c>
      <c r="BB11" s="474">
        <v>0</v>
      </c>
      <c r="BC11" s="490">
        <v>0.89</v>
      </c>
      <c r="BD11" s="370">
        <f t="shared" si="20"/>
        <v>300.82</v>
      </c>
      <c r="BE11" s="371">
        <f t="shared" si="21"/>
        <v>1.8999999999999986</v>
      </c>
      <c r="BF11" s="452">
        <v>2</v>
      </c>
      <c r="BG11" s="452" t="s">
        <v>291</v>
      </c>
      <c r="BH11" s="369">
        <f t="shared" si="22"/>
        <v>0.59171597633136097</v>
      </c>
      <c r="BI11" s="366">
        <f t="shared" si="23"/>
        <v>200</v>
      </c>
      <c r="BJ11" s="371">
        <f t="shared" si="24"/>
        <v>1.38</v>
      </c>
      <c r="BK11" s="485">
        <v>0.59</v>
      </c>
      <c r="BL11" s="366">
        <f t="shared" si="25"/>
        <v>199.42</v>
      </c>
      <c r="BM11" s="474">
        <v>3</v>
      </c>
      <c r="BN11" s="369">
        <f t="shared" si="26"/>
        <v>0.8875739644970414</v>
      </c>
      <c r="BO11" s="371">
        <f t="shared" si="27"/>
        <v>0.37999999999999989</v>
      </c>
      <c r="BP11" s="478">
        <v>0.89</v>
      </c>
      <c r="BQ11" s="500"/>
      <c r="BR11" s="502">
        <v>41695</v>
      </c>
      <c r="BS11" s="372" t="str">
        <f t="shared" si="28"/>
        <v>To be realised</v>
      </c>
      <c r="BT11" s="452">
        <v>67</v>
      </c>
      <c r="BU11" s="452">
        <v>10</v>
      </c>
      <c r="BV11" s="373">
        <f t="shared" si="29"/>
        <v>67</v>
      </c>
      <c r="BW11" s="374">
        <f t="shared" si="30"/>
        <v>0</v>
      </c>
      <c r="BX11" s="366">
        <f t="shared" si="31"/>
        <v>0</v>
      </c>
      <c r="BY11" s="387">
        <f t="shared" si="32"/>
        <v>6</v>
      </c>
      <c r="BZ11" s="468" t="s">
        <v>732</v>
      </c>
      <c r="CA11" s="478">
        <v>0</v>
      </c>
      <c r="CB11" s="389">
        <f t="shared" si="33"/>
        <v>0</v>
      </c>
      <c r="CC11" s="468">
        <v>2</v>
      </c>
      <c r="CD11" s="375" t="str">
        <f t="shared" si="34"/>
        <v>Excellent coverage</v>
      </c>
      <c r="CE11" s="474">
        <v>0</v>
      </c>
      <c r="CF11" s="475" t="s">
        <v>293</v>
      </c>
      <c r="CG11" s="509"/>
    </row>
    <row r="12" spans="2:85" s="40" customFormat="1" ht="30.75" customHeight="1" x14ac:dyDescent="0.2">
      <c r="B12" s="449" t="s">
        <v>107</v>
      </c>
      <c r="C12" s="450" t="s">
        <v>525</v>
      </c>
      <c r="D12" s="451" t="s">
        <v>257</v>
      </c>
      <c r="E12" s="450" t="s">
        <v>111</v>
      </c>
      <c r="F12" s="451">
        <v>96.317350000000005</v>
      </c>
      <c r="G12" s="451">
        <v>25.616509000000001</v>
      </c>
      <c r="H12" s="451" t="s">
        <v>449</v>
      </c>
      <c r="I12" s="451" t="s">
        <v>214</v>
      </c>
      <c r="J12" s="452">
        <v>14</v>
      </c>
      <c r="K12" s="452">
        <v>80</v>
      </c>
      <c r="L12" s="452">
        <v>80</v>
      </c>
      <c r="M12" s="362" t="str">
        <f t="shared" si="0"/>
        <v>1. Small</v>
      </c>
      <c r="N12" s="701"/>
      <c r="O12" s="453" t="s">
        <v>276</v>
      </c>
      <c r="P12" s="461" t="s">
        <v>276</v>
      </c>
      <c r="Q12" s="382" t="str">
        <f t="shared" si="35"/>
        <v>Covered</v>
      </c>
      <c r="R12" s="462" t="s">
        <v>629</v>
      </c>
      <c r="S12" s="453" t="s">
        <v>253</v>
      </c>
      <c r="T12" s="380" t="str">
        <f t="shared" si="36"/>
        <v>Documented</v>
      </c>
      <c r="U12" s="468">
        <v>0</v>
      </c>
      <c r="V12" s="452">
        <v>0</v>
      </c>
      <c r="W12" s="469" t="s">
        <v>19</v>
      </c>
      <c r="X12" s="468">
        <v>1</v>
      </c>
      <c r="Y12" s="474">
        <v>0</v>
      </c>
      <c r="Z12" s="475">
        <v>0</v>
      </c>
      <c r="AA12" s="481">
        <v>0</v>
      </c>
      <c r="AB12" s="482">
        <v>0</v>
      </c>
      <c r="AC12" s="385">
        <f t="shared" si="1"/>
        <v>1</v>
      </c>
      <c r="AD12" s="364">
        <f t="shared" si="2"/>
        <v>80</v>
      </c>
      <c r="AE12" s="365">
        <f t="shared" si="3"/>
        <v>1</v>
      </c>
      <c r="AF12" s="366">
        <f t="shared" si="4"/>
        <v>80</v>
      </c>
      <c r="AG12" s="363">
        <f t="shared" si="5"/>
        <v>1</v>
      </c>
      <c r="AH12" s="366">
        <f t="shared" si="6"/>
        <v>80</v>
      </c>
      <c r="AI12" s="367" t="str">
        <f t="shared" si="7"/>
        <v>80-100%</v>
      </c>
      <c r="AJ12" s="363">
        <f t="shared" si="8"/>
        <v>0</v>
      </c>
      <c r="AK12" s="368">
        <f t="shared" si="9"/>
        <v>0</v>
      </c>
      <c r="AL12" s="366">
        <f t="shared" si="10"/>
        <v>0</v>
      </c>
      <c r="AM12" s="366">
        <f t="shared" si="11"/>
        <v>0</v>
      </c>
      <c r="AN12" s="366">
        <f t="shared" si="12"/>
        <v>0</v>
      </c>
      <c r="AO12" s="485">
        <v>1</v>
      </c>
      <c r="AP12" s="486">
        <f t="shared" si="13"/>
        <v>80</v>
      </c>
      <c r="AQ12" s="475"/>
      <c r="AR12" s="732">
        <v>0</v>
      </c>
      <c r="AS12" s="452">
        <v>0</v>
      </c>
      <c r="AT12" s="452">
        <v>4</v>
      </c>
      <c r="AU12" s="452" t="s">
        <v>89</v>
      </c>
      <c r="AV12" s="369">
        <f t="shared" si="14"/>
        <v>1</v>
      </c>
      <c r="AW12" s="366">
        <f t="shared" si="15"/>
        <v>80</v>
      </c>
      <c r="AX12" s="369">
        <f t="shared" si="16"/>
        <v>0</v>
      </c>
      <c r="AY12" s="366">
        <f t="shared" si="17"/>
        <v>0</v>
      </c>
      <c r="AZ12" s="369">
        <f t="shared" si="18"/>
        <v>1</v>
      </c>
      <c r="BA12" s="366">
        <f t="shared" si="19"/>
        <v>80</v>
      </c>
      <c r="BB12" s="474">
        <v>0</v>
      </c>
      <c r="BC12" s="490">
        <v>1</v>
      </c>
      <c r="BD12" s="370">
        <f t="shared" si="20"/>
        <v>80</v>
      </c>
      <c r="BE12" s="371">
        <f t="shared" si="21"/>
        <v>0</v>
      </c>
      <c r="BF12" s="452">
        <v>2</v>
      </c>
      <c r="BG12" s="452" t="s">
        <v>292</v>
      </c>
      <c r="BH12" s="369">
        <f t="shared" si="22"/>
        <v>1</v>
      </c>
      <c r="BI12" s="366">
        <f t="shared" si="23"/>
        <v>80</v>
      </c>
      <c r="BJ12" s="371">
        <f t="shared" si="24"/>
        <v>0</v>
      </c>
      <c r="BK12" s="485">
        <v>1</v>
      </c>
      <c r="BL12" s="366">
        <f t="shared" si="25"/>
        <v>80</v>
      </c>
      <c r="BM12" s="474">
        <v>3</v>
      </c>
      <c r="BN12" s="369">
        <f t="shared" si="26"/>
        <v>1</v>
      </c>
      <c r="BO12" s="371">
        <f t="shared" si="27"/>
        <v>0</v>
      </c>
      <c r="BP12" s="478">
        <v>1</v>
      </c>
      <c r="BQ12" s="500"/>
      <c r="BR12" s="502">
        <v>41695</v>
      </c>
      <c r="BS12" s="372" t="str">
        <f t="shared" si="28"/>
        <v>To be realised</v>
      </c>
      <c r="BT12" s="452">
        <v>14</v>
      </c>
      <c r="BU12" s="452">
        <v>10</v>
      </c>
      <c r="BV12" s="373">
        <f t="shared" si="29"/>
        <v>14</v>
      </c>
      <c r="BW12" s="374">
        <f t="shared" si="30"/>
        <v>0</v>
      </c>
      <c r="BX12" s="366">
        <f t="shared" si="31"/>
        <v>0</v>
      </c>
      <c r="BY12" s="387">
        <f t="shared" si="32"/>
        <v>6</v>
      </c>
      <c r="BZ12" s="468" t="s">
        <v>732</v>
      </c>
      <c r="CA12" s="478">
        <v>0</v>
      </c>
      <c r="CB12" s="389">
        <f t="shared" si="33"/>
        <v>0</v>
      </c>
      <c r="CC12" s="468">
        <v>1</v>
      </c>
      <c r="CD12" s="375" t="str">
        <f t="shared" si="34"/>
        <v>Excellent coverage</v>
      </c>
      <c r="CE12" s="474">
        <v>0</v>
      </c>
      <c r="CF12" s="475" t="s">
        <v>293</v>
      </c>
      <c r="CG12" s="509"/>
    </row>
    <row r="13" spans="2:85" s="40" customFormat="1" ht="30.75" customHeight="1" x14ac:dyDescent="0.2">
      <c r="B13" s="449" t="s">
        <v>107</v>
      </c>
      <c r="C13" s="450" t="s">
        <v>526</v>
      </c>
      <c r="D13" s="451" t="s">
        <v>257</v>
      </c>
      <c r="E13" s="450" t="s">
        <v>112</v>
      </c>
      <c r="F13" s="451">
        <v>96.346469999999997</v>
      </c>
      <c r="G13" s="451">
        <v>25.647649999999999</v>
      </c>
      <c r="H13" s="451" t="s">
        <v>449</v>
      </c>
      <c r="I13" s="451" t="s">
        <v>214</v>
      </c>
      <c r="J13" s="452">
        <v>35</v>
      </c>
      <c r="K13" s="452">
        <v>218</v>
      </c>
      <c r="L13" s="452">
        <v>218</v>
      </c>
      <c r="M13" s="362" t="str">
        <f t="shared" si="0"/>
        <v>1. Small</v>
      </c>
      <c r="N13" s="701"/>
      <c r="O13" s="453" t="s">
        <v>276</v>
      </c>
      <c r="P13" s="461" t="s">
        <v>276</v>
      </c>
      <c r="Q13" s="382" t="str">
        <f t="shared" si="35"/>
        <v>Covered</v>
      </c>
      <c r="R13" s="462" t="s">
        <v>629</v>
      </c>
      <c r="S13" s="453" t="s">
        <v>253</v>
      </c>
      <c r="T13" s="380" t="str">
        <f t="shared" si="36"/>
        <v>Documented</v>
      </c>
      <c r="U13" s="468">
        <v>0</v>
      </c>
      <c r="V13" s="452">
        <v>0</v>
      </c>
      <c r="W13" s="469" t="s">
        <v>19</v>
      </c>
      <c r="X13" s="468">
        <v>2</v>
      </c>
      <c r="Y13" s="474">
        <v>0</v>
      </c>
      <c r="Z13" s="475">
        <v>0</v>
      </c>
      <c r="AA13" s="481">
        <v>0</v>
      </c>
      <c r="AB13" s="482">
        <v>0</v>
      </c>
      <c r="AC13" s="385">
        <f t="shared" si="1"/>
        <v>1</v>
      </c>
      <c r="AD13" s="364">
        <f t="shared" si="2"/>
        <v>218</v>
      </c>
      <c r="AE13" s="365">
        <f t="shared" si="3"/>
        <v>1</v>
      </c>
      <c r="AF13" s="366">
        <f t="shared" si="4"/>
        <v>218</v>
      </c>
      <c r="AG13" s="363">
        <f t="shared" si="5"/>
        <v>1</v>
      </c>
      <c r="AH13" s="366">
        <f t="shared" si="6"/>
        <v>218</v>
      </c>
      <c r="AI13" s="367" t="str">
        <f t="shared" si="7"/>
        <v>80-100%</v>
      </c>
      <c r="AJ13" s="363">
        <f t="shared" si="8"/>
        <v>0</v>
      </c>
      <c r="AK13" s="368">
        <f t="shared" si="9"/>
        <v>0</v>
      </c>
      <c r="AL13" s="366">
        <f t="shared" si="10"/>
        <v>0</v>
      </c>
      <c r="AM13" s="366">
        <f t="shared" si="11"/>
        <v>0</v>
      </c>
      <c r="AN13" s="366">
        <f t="shared" si="12"/>
        <v>0</v>
      </c>
      <c r="AO13" s="485">
        <v>1</v>
      </c>
      <c r="AP13" s="486">
        <f t="shared" si="13"/>
        <v>218</v>
      </c>
      <c r="AQ13" s="475"/>
      <c r="AR13" s="732">
        <v>10</v>
      </c>
      <c r="AS13" s="452">
        <v>0</v>
      </c>
      <c r="AT13" s="452">
        <v>10</v>
      </c>
      <c r="AU13" s="452" t="s">
        <v>291</v>
      </c>
      <c r="AV13" s="369">
        <f t="shared" si="14"/>
        <v>0.91743119266055051</v>
      </c>
      <c r="AW13" s="366">
        <f t="shared" si="15"/>
        <v>200</v>
      </c>
      <c r="AX13" s="369">
        <f t="shared" si="16"/>
        <v>0</v>
      </c>
      <c r="AY13" s="366">
        <f t="shared" si="17"/>
        <v>0</v>
      </c>
      <c r="AZ13" s="369">
        <f t="shared" si="18"/>
        <v>0.91743119266055051</v>
      </c>
      <c r="BA13" s="366">
        <f t="shared" si="19"/>
        <v>200</v>
      </c>
      <c r="BB13" s="474">
        <v>0</v>
      </c>
      <c r="BC13" s="490">
        <v>0.92</v>
      </c>
      <c r="BD13" s="370">
        <f t="shared" si="20"/>
        <v>200.56</v>
      </c>
      <c r="BE13" s="371">
        <f t="shared" si="21"/>
        <v>0.90000000000000036</v>
      </c>
      <c r="BF13" s="452">
        <v>2</v>
      </c>
      <c r="BG13" s="452" t="s">
        <v>291</v>
      </c>
      <c r="BH13" s="369">
        <f t="shared" si="22"/>
        <v>0.91743119266055051</v>
      </c>
      <c r="BI13" s="366">
        <f t="shared" si="23"/>
        <v>200</v>
      </c>
      <c r="BJ13" s="371">
        <f t="shared" si="24"/>
        <v>0.18000000000000016</v>
      </c>
      <c r="BK13" s="485">
        <v>0.92</v>
      </c>
      <c r="BL13" s="366">
        <f t="shared" si="25"/>
        <v>200.56</v>
      </c>
      <c r="BM13" s="474">
        <v>4</v>
      </c>
      <c r="BN13" s="369">
        <f t="shared" si="26"/>
        <v>1</v>
      </c>
      <c r="BO13" s="371">
        <f t="shared" si="27"/>
        <v>0</v>
      </c>
      <c r="BP13" s="478">
        <v>1</v>
      </c>
      <c r="BQ13" s="500"/>
      <c r="BR13" s="502">
        <v>41695</v>
      </c>
      <c r="BS13" s="372" t="str">
        <f t="shared" si="28"/>
        <v>To be realised</v>
      </c>
      <c r="BT13" s="452">
        <v>35</v>
      </c>
      <c r="BU13" s="452">
        <v>10</v>
      </c>
      <c r="BV13" s="373">
        <f t="shared" si="29"/>
        <v>35</v>
      </c>
      <c r="BW13" s="374">
        <f t="shared" si="30"/>
        <v>0</v>
      </c>
      <c r="BX13" s="366">
        <f t="shared" si="31"/>
        <v>0</v>
      </c>
      <c r="BY13" s="387">
        <f t="shared" si="32"/>
        <v>6</v>
      </c>
      <c r="BZ13" s="468" t="s">
        <v>732</v>
      </c>
      <c r="CA13" s="478">
        <v>0</v>
      </c>
      <c r="CB13" s="389">
        <f t="shared" si="33"/>
        <v>0</v>
      </c>
      <c r="CC13" s="468">
        <v>2</v>
      </c>
      <c r="CD13" s="375" t="str">
        <f t="shared" si="34"/>
        <v>Excellent coverage</v>
      </c>
      <c r="CE13" s="474">
        <v>0</v>
      </c>
      <c r="CF13" s="475" t="s">
        <v>293</v>
      </c>
      <c r="CG13" s="509"/>
    </row>
    <row r="14" spans="2:85" s="40" customFormat="1" ht="30.75" customHeight="1" x14ac:dyDescent="0.2">
      <c r="B14" s="449" t="s">
        <v>107</v>
      </c>
      <c r="C14" s="450" t="s">
        <v>527</v>
      </c>
      <c r="D14" s="451" t="s">
        <v>257</v>
      </c>
      <c r="E14" s="450" t="s">
        <v>113</v>
      </c>
      <c r="F14" s="451">
        <v>96.673805000000002</v>
      </c>
      <c r="G14" s="451">
        <v>25.728653000000001</v>
      </c>
      <c r="H14" s="451" t="s">
        <v>449</v>
      </c>
      <c r="I14" s="451" t="s">
        <v>214</v>
      </c>
      <c r="J14" s="452">
        <v>15</v>
      </c>
      <c r="K14" s="452">
        <v>77</v>
      </c>
      <c r="L14" s="452">
        <v>77</v>
      </c>
      <c r="M14" s="362" t="str">
        <f t="shared" si="0"/>
        <v>1. Small</v>
      </c>
      <c r="N14" s="701"/>
      <c r="O14" s="453" t="s">
        <v>276</v>
      </c>
      <c r="P14" s="461" t="s">
        <v>276</v>
      </c>
      <c r="Q14" s="382" t="str">
        <f t="shared" si="35"/>
        <v>Covered</v>
      </c>
      <c r="R14" s="462" t="s">
        <v>629</v>
      </c>
      <c r="S14" s="453" t="s">
        <v>253</v>
      </c>
      <c r="T14" s="380" t="str">
        <f t="shared" si="36"/>
        <v>Documented</v>
      </c>
      <c r="U14" s="468">
        <v>0</v>
      </c>
      <c r="V14" s="452">
        <v>0</v>
      </c>
      <c r="W14" s="469" t="s">
        <v>19</v>
      </c>
      <c r="X14" s="468">
        <v>1</v>
      </c>
      <c r="Y14" s="474">
        <v>1</v>
      </c>
      <c r="Z14" s="475">
        <v>0</v>
      </c>
      <c r="AA14" s="481">
        <v>0</v>
      </c>
      <c r="AB14" s="482">
        <v>0</v>
      </c>
      <c r="AC14" s="385">
        <f t="shared" si="1"/>
        <v>1</v>
      </c>
      <c r="AD14" s="364">
        <f t="shared" si="2"/>
        <v>77</v>
      </c>
      <c r="AE14" s="365">
        <f t="shared" si="3"/>
        <v>1</v>
      </c>
      <c r="AF14" s="366">
        <f t="shared" si="4"/>
        <v>77</v>
      </c>
      <c r="AG14" s="363">
        <f t="shared" si="5"/>
        <v>1</v>
      </c>
      <c r="AH14" s="366">
        <f t="shared" si="6"/>
        <v>77</v>
      </c>
      <c r="AI14" s="367" t="str">
        <f t="shared" si="7"/>
        <v>80-100%</v>
      </c>
      <c r="AJ14" s="363">
        <f t="shared" si="8"/>
        <v>0</v>
      </c>
      <c r="AK14" s="368">
        <f t="shared" si="9"/>
        <v>0</v>
      </c>
      <c r="AL14" s="366">
        <f t="shared" si="10"/>
        <v>0</v>
      </c>
      <c r="AM14" s="366">
        <f t="shared" si="11"/>
        <v>0</v>
      </c>
      <c r="AN14" s="366">
        <f t="shared" si="12"/>
        <v>0</v>
      </c>
      <c r="AO14" s="485">
        <v>1</v>
      </c>
      <c r="AP14" s="486">
        <f t="shared" si="13"/>
        <v>77</v>
      </c>
      <c r="AQ14" s="475"/>
      <c r="AR14" s="732">
        <v>4</v>
      </c>
      <c r="AS14" s="452">
        <v>2</v>
      </c>
      <c r="AT14" s="452">
        <v>2</v>
      </c>
      <c r="AU14" s="452" t="s">
        <v>290</v>
      </c>
      <c r="AV14" s="369">
        <f t="shared" si="14"/>
        <v>1</v>
      </c>
      <c r="AW14" s="366">
        <f t="shared" si="15"/>
        <v>77</v>
      </c>
      <c r="AX14" s="369">
        <f t="shared" si="16"/>
        <v>0.48051948051948057</v>
      </c>
      <c r="AY14" s="366">
        <f t="shared" si="17"/>
        <v>37.000000000000007</v>
      </c>
      <c r="AZ14" s="369">
        <f t="shared" si="18"/>
        <v>0.51948051948051943</v>
      </c>
      <c r="BA14" s="366">
        <f t="shared" si="19"/>
        <v>39.999999999999993</v>
      </c>
      <c r="BB14" s="474">
        <v>0</v>
      </c>
      <c r="BC14" s="490">
        <v>1</v>
      </c>
      <c r="BD14" s="370">
        <f t="shared" si="20"/>
        <v>77</v>
      </c>
      <c r="BE14" s="371">
        <f t="shared" si="21"/>
        <v>1.85</v>
      </c>
      <c r="BF14" s="452">
        <v>2</v>
      </c>
      <c r="BG14" s="452" t="s">
        <v>291</v>
      </c>
      <c r="BH14" s="369">
        <f t="shared" si="22"/>
        <v>1</v>
      </c>
      <c r="BI14" s="366">
        <f t="shared" si="23"/>
        <v>77</v>
      </c>
      <c r="BJ14" s="371">
        <f t="shared" si="24"/>
        <v>0</v>
      </c>
      <c r="BK14" s="485">
        <v>1</v>
      </c>
      <c r="BL14" s="366">
        <f t="shared" si="25"/>
        <v>77</v>
      </c>
      <c r="BM14" s="474">
        <v>3</v>
      </c>
      <c r="BN14" s="369">
        <f t="shared" si="26"/>
        <v>1</v>
      </c>
      <c r="BO14" s="371">
        <f t="shared" si="27"/>
        <v>0</v>
      </c>
      <c r="BP14" s="478">
        <v>1</v>
      </c>
      <c r="BQ14" s="500"/>
      <c r="BR14" s="502">
        <v>42049</v>
      </c>
      <c r="BS14" s="372">
        <f t="shared" si="28"/>
        <v>42414</v>
      </c>
      <c r="BT14" s="452">
        <v>15</v>
      </c>
      <c r="BU14" s="452">
        <v>10</v>
      </c>
      <c r="BV14" s="373">
        <f t="shared" si="29"/>
        <v>0</v>
      </c>
      <c r="BW14" s="374">
        <f t="shared" si="30"/>
        <v>1</v>
      </c>
      <c r="BX14" s="366">
        <f t="shared" si="31"/>
        <v>77</v>
      </c>
      <c r="BY14" s="387">
        <f t="shared" si="32"/>
        <v>0</v>
      </c>
      <c r="BZ14" s="468"/>
      <c r="CA14" s="478">
        <v>0</v>
      </c>
      <c r="CB14" s="389">
        <f t="shared" si="33"/>
        <v>0</v>
      </c>
      <c r="CC14" s="468">
        <v>2</v>
      </c>
      <c r="CD14" s="375" t="str">
        <f t="shared" si="34"/>
        <v>Excellent coverage</v>
      </c>
      <c r="CE14" s="474">
        <v>0</v>
      </c>
      <c r="CF14" s="475" t="s">
        <v>65</v>
      </c>
      <c r="CG14" s="509"/>
    </row>
    <row r="15" spans="2:85" s="40" customFormat="1" ht="30.75" customHeight="1" x14ac:dyDescent="0.2">
      <c r="B15" s="449" t="s">
        <v>107</v>
      </c>
      <c r="C15" s="450" t="s">
        <v>671</v>
      </c>
      <c r="D15" s="451" t="s">
        <v>257</v>
      </c>
      <c r="E15" s="450" t="s">
        <v>672</v>
      </c>
      <c r="F15" s="451">
        <v>96.353070000000002</v>
      </c>
      <c r="G15" s="451">
        <v>25.668469999999999</v>
      </c>
      <c r="H15" s="451" t="s">
        <v>449</v>
      </c>
      <c r="I15" s="451" t="s">
        <v>214</v>
      </c>
      <c r="J15" s="452">
        <v>1</v>
      </c>
      <c r="K15" s="452">
        <v>4</v>
      </c>
      <c r="L15" s="452">
        <v>4</v>
      </c>
      <c r="M15" s="362" t="str">
        <f t="shared" si="0"/>
        <v>1. Small</v>
      </c>
      <c r="N15" s="701"/>
      <c r="O15" s="453" t="s">
        <v>276</v>
      </c>
      <c r="P15" s="461" t="s">
        <v>276</v>
      </c>
      <c r="Q15" s="382" t="str">
        <f t="shared" si="35"/>
        <v>Covered</v>
      </c>
      <c r="R15" s="462" t="s">
        <v>629</v>
      </c>
      <c r="S15" s="453" t="s">
        <v>253</v>
      </c>
      <c r="T15" s="380" t="str">
        <f t="shared" si="36"/>
        <v>Documented</v>
      </c>
      <c r="U15" s="468">
        <v>0</v>
      </c>
      <c r="V15" s="452">
        <v>0</v>
      </c>
      <c r="W15" s="469" t="s">
        <v>19</v>
      </c>
      <c r="X15" s="468">
        <v>1</v>
      </c>
      <c r="Y15" s="474">
        <v>0</v>
      </c>
      <c r="Z15" s="475">
        <v>0</v>
      </c>
      <c r="AA15" s="481">
        <v>0</v>
      </c>
      <c r="AB15" s="482">
        <v>0</v>
      </c>
      <c r="AC15" s="385">
        <f t="shared" si="1"/>
        <v>1</v>
      </c>
      <c r="AD15" s="364">
        <f t="shared" si="2"/>
        <v>4</v>
      </c>
      <c r="AE15" s="365">
        <f t="shared" si="3"/>
        <v>1</v>
      </c>
      <c r="AF15" s="366">
        <f t="shared" si="4"/>
        <v>4</v>
      </c>
      <c r="AG15" s="363">
        <f t="shared" si="5"/>
        <v>1</v>
      </c>
      <c r="AH15" s="366">
        <f t="shared" si="6"/>
        <v>4</v>
      </c>
      <c r="AI15" s="367" t="str">
        <f t="shared" si="7"/>
        <v>80-100%</v>
      </c>
      <c r="AJ15" s="363">
        <f t="shared" si="8"/>
        <v>0</v>
      </c>
      <c r="AK15" s="368">
        <f t="shared" si="9"/>
        <v>0</v>
      </c>
      <c r="AL15" s="366">
        <f t="shared" si="10"/>
        <v>0</v>
      </c>
      <c r="AM15" s="366">
        <f t="shared" si="11"/>
        <v>0</v>
      </c>
      <c r="AN15" s="366">
        <f t="shared" si="12"/>
        <v>0</v>
      </c>
      <c r="AO15" s="485">
        <v>1</v>
      </c>
      <c r="AP15" s="486">
        <f t="shared" si="13"/>
        <v>4</v>
      </c>
      <c r="AQ15" s="475"/>
      <c r="AR15" s="732">
        <v>2</v>
      </c>
      <c r="AS15" s="452">
        <v>3</v>
      </c>
      <c r="AT15" s="452">
        <v>0</v>
      </c>
      <c r="AU15" s="452" t="s">
        <v>89</v>
      </c>
      <c r="AV15" s="369">
        <f t="shared" si="14"/>
        <v>1</v>
      </c>
      <c r="AW15" s="366">
        <f t="shared" si="15"/>
        <v>4</v>
      </c>
      <c r="AX15" s="369">
        <f t="shared" si="16"/>
        <v>1</v>
      </c>
      <c r="AY15" s="366">
        <f t="shared" si="17"/>
        <v>4</v>
      </c>
      <c r="AZ15" s="369">
        <f t="shared" si="18"/>
        <v>0</v>
      </c>
      <c r="BA15" s="366">
        <f t="shared" si="19"/>
        <v>0</v>
      </c>
      <c r="BB15" s="474">
        <v>0</v>
      </c>
      <c r="BC15" s="490">
        <v>1</v>
      </c>
      <c r="BD15" s="370">
        <f t="shared" si="20"/>
        <v>4</v>
      </c>
      <c r="BE15" s="371">
        <f t="shared" si="21"/>
        <v>0.2</v>
      </c>
      <c r="BF15" s="452">
        <v>1</v>
      </c>
      <c r="BG15" s="452" t="s">
        <v>89</v>
      </c>
      <c r="BH15" s="369">
        <f t="shared" si="22"/>
        <v>1</v>
      </c>
      <c r="BI15" s="366">
        <f t="shared" si="23"/>
        <v>4</v>
      </c>
      <c r="BJ15" s="371">
        <f t="shared" si="24"/>
        <v>0</v>
      </c>
      <c r="BK15" s="485">
        <v>1</v>
      </c>
      <c r="BL15" s="366">
        <f t="shared" si="25"/>
        <v>4</v>
      </c>
      <c r="BM15" s="474">
        <v>3</v>
      </c>
      <c r="BN15" s="369">
        <f t="shared" si="26"/>
        <v>1</v>
      </c>
      <c r="BO15" s="371">
        <f t="shared" si="27"/>
        <v>0</v>
      </c>
      <c r="BP15" s="478">
        <v>1</v>
      </c>
      <c r="BQ15" s="500" t="s">
        <v>740</v>
      </c>
      <c r="BR15" s="502">
        <v>41695</v>
      </c>
      <c r="BS15" s="372" t="str">
        <f t="shared" si="28"/>
        <v>To be realised</v>
      </c>
      <c r="BT15" s="452">
        <v>1</v>
      </c>
      <c r="BU15" s="452">
        <v>10</v>
      </c>
      <c r="BV15" s="373">
        <f t="shared" si="29"/>
        <v>1</v>
      </c>
      <c r="BW15" s="374">
        <f t="shared" si="30"/>
        <v>0</v>
      </c>
      <c r="BX15" s="366">
        <f t="shared" si="31"/>
        <v>0</v>
      </c>
      <c r="BY15" s="387">
        <f t="shared" si="32"/>
        <v>6</v>
      </c>
      <c r="BZ15" s="468" t="s">
        <v>732</v>
      </c>
      <c r="CA15" s="478">
        <v>0</v>
      </c>
      <c r="CB15" s="389">
        <f t="shared" si="33"/>
        <v>0</v>
      </c>
      <c r="CC15" s="468">
        <v>0</v>
      </c>
      <c r="CD15" s="375" t="str">
        <f t="shared" si="34"/>
        <v>No coverage</v>
      </c>
      <c r="CE15" s="474">
        <v>0</v>
      </c>
      <c r="CF15" s="475" t="s">
        <v>293</v>
      </c>
      <c r="CG15" s="509"/>
    </row>
    <row r="16" spans="2:85" s="40" customFormat="1" ht="30.75" customHeight="1" x14ac:dyDescent="0.2">
      <c r="B16" s="449" t="s">
        <v>107</v>
      </c>
      <c r="C16" s="450" t="s">
        <v>528</v>
      </c>
      <c r="D16" s="451" t="s">
        <v>257</v>
      </c>
      <c r="E16" s="450" t="s">
        <v>114</v>
      </c>
      <c r="F16" s="451">
        <v>96.283377000000002</v>
      </c>
      <c r="G16" s="451">
        <v>25.582065</v>
      </c>
      <c r="H16" s="451" t="s">
        <v>449</v>
      </c>
      <c r="I16" s="451" t="s">
        <v>214</v>
      </c>
      <c r="J16" s="452">
        <v>6</v>
      </c>
      <c r="K16" s="452">
        <v>25</v>
      </c>
      <c r="L16" s="452">
        <v>25</v>
      </c>
      <c r="M16" s="362" t="str">
        <f t="shared" si="0"/>
        <v>1. Small</v>
      </c>
      <c r="N16" s="701"/>
      <c r="O16" s="453" t="s">
        <v>276</v>
      </c>
      <c r="P16" s="461" t="s">
        <v>276</v>
      </c>
      <c r="Q16" s="382" t="str">
        <f t="shared" si="35"/>
        <v>Covered</v>
      </c>
      <c r="R16" s="462" t="s">
        <v>629</v>
      </c>
      <c r="S16" s="453" t="s">
        <v>253</v>
      </c>
      <c r="T16" s="380" t="str">
        <f t="shared" si="36"/>
        <v>Documented</v>
      </c>
      <c r="U16" s="468">
        <v>0</v>
      </c>
      <c r="V16" s="452">
        <v>0</v>
      </c>
      <c r="W16" s="469" t="s">
        <v>19</v>
      </c>
      <c r="X16" s="468">
        <v>0</v>
      </c>
      <c r="Y16" s="474">
        <v>0</v>
      </c>
      <c r="Z16" s="475">
        <v>2000</v>
      </c>
      <c r="AA16" s="481">
        <v>0</v>
      </c>
      <c r="AB16" s="482">
        <v>0</v>
      </c>
      <c r="AC16" s="385">
        <f t="shared" si="1"/>
        <v>1</v>
      </c>
      <c r="AD16" s="364">
        <f t="shared" si="2"/>
        <v>25</v>
      </c>
      <c r="AE16" s="365">
        <f t="shared" si="3"/>
        <v>1</v>
      </c>
      <c r="AF16" s="366">
        <f t="shared" si="4"/>
        <v>25</v>
      </c>
      <c r="AG16" s="363">
        <f t="shared" si="5"/>
        <v>1</v>
      </c>
      <c r="AH16" s="366">
        <f t="shared" si="6"/>
        <v>25</v>
      </c>
      <c r="AI16" s="367" t="str">
        <f t="shared" si="7"/>
        <v>80-100%</v>
      </c>
      <c r="AJ16" s="363">
        <f t="shared" si="8"/>
        <v>0</v>
      </c>
      <c r="AK16" s="368">
        <f t="shared" si="9"/>
        <v>0</v>
      </c>
      <c r="AL16" s="366">
        <f t="shared" si="10"/>
        <v>6.25E-2</v>
      </c>
      <c r="AM16" s="366">
        <f t="shared" si="11"/>
        <v>0</v>
      </c>
      <c r="AN16" s="366">
        <f t="shared" si="12"/>
        <v>0</v>
      </c>
      <c r="AO16" s="485">
        <v>1</v>
      </c>
      <c r="AP16" s="486">
        <f t="shared" si="13"/>
        <v>25</v>
      </c>
      <c r="AQ16" s="475"/>
      <c r="AR16" s="732">
        <v>0</v>
      </c>
      <c r="AS16" s="452">
        <v>0</v>
      </c>
      <c r="AT16" s="452">
        <v>2</v>
      </c>
      <c r="AU16" s="452" t="s">
        <v>89</v>
      </c>
      <c r="AV16" s="369">
        <f t="shared" si="14"/>
        <v>1</v>
      </c>
      <c r="AW16" s="366">
        <f t="shared" si="15"/>
        <v>25</v>
      </c>
      <c r="AX16" s="369">
        <f t="shared" si="16"/>
        <v>0</v>
      </c>
      <c r="AY16" s="366">
        <f t="shared" si="17"/>
        <v>0</v>
      </c>
      <c r="AZ16" s="369">
        <f t="shared" si="18"/>
        <v>1</v>
      </c>
      <c r="BA16" s="366">
        <f t="shared" si="19"/>
        <v>25</v>
      </c>
      <c r="BB16" s="474">
        <v>0</v>
      </c>
      <c r="BC16" s="490">
        <v>1</v>
      </c>
      <c r="BD16" s="370">
        <f t="shared" si="20"/>
        <v>25</v>
      </c>
      <c r="BE16" s="371">
        <f t="shared" si="21"/>
        <v>0</v>
      </c>
      <c r="BF16" s="452">
        <v>1</v>
      </c>
      <c r="BG16" s="452" t="s">
        <v>89</v>
      </c>
      <c r="BH16" s="369">
        <f t="shared" si="22"/>
        <v>1</v>
      </c>
      <c r="BI16" s="366">
        <f t="shared" si="23"/>
        <v>25</v>
      </c>
      <c r="BJ16" s="371">
        <f t="shared" si="24"/>
        <v>0</v>
      </c>
      <c r="BK16" s="485">
        <v>1</v>
      </c>
      <c r="BL16" s="366">
        <f t="shared" si="25"/>
        <v>25</v>
      </c>
      <c r="BM16" s="474">
        <v>1</v>
      </c>
      <c r="BN16" s="369">
        <f t="shared" si="26"/>
        <v>1</v>
      </c>
      <c r="BO16" s="371">
        <f t="shared" si="27"/>
        <v>0</v>
      </c>
      <c r="BP16" s="478">
        <v>1</v>
      </c>
      <c r="BQ16" s="500"/>
      <c r="BR16" s="502">
        <v>41695</v>
      </c>
      <c r="BS16" s="372" t="str">
        <f t="shared" si="28"/>
        <v>To be realised</v>
      </c>
      <c r="BT16" s="452">
        <v>6</v>
      </c>
      <c r="BU16" s="452">
        <v>10</v>
      </c>
      <c r="BV16" s="373">
        <f t="shared" si="29"/>
        <v>6</v>
      </c>
      <c r="BW16" s="374">
        <f t="shared" si="30"/>
        <v>0</v>
      </c>
      <c r="BX16" s="366">
        <f t="shared" si="31"/>
        <v>0</v>
      </c>
      <c r="BY16" s="387">
        <f t="shared" si="32"/>
        <v>6</v>
      </c>
      <c r="BZ16" s="468" t="s">
        <v>732</v>
      </c>
      <c r="CA16" s="478">
        <v>0</v>
      </c>
      <c r="CB16" s="389">
        <f t="shared" si="33"/>
        <v>0</v>
      </c>
      <c r="CC16" s="468">
        <v>1</v>
      </c>
      <c r="CD16" s="375" t="str">
        <f t="shared" si="34"/>
        <v>Excellent coverage</v>
      </c>
      <c r="CE16" s="474">
        <v>0</v>
      </c>
      <c r="CF16" s="475" t="s">
        <v>293</v>
      </c>
      <c r="CG16" s="509"/>
    </row>
    <row r="17" spans="2:85" s="40" customFormat="1" ht="30.75" customHeight="1" x14ac:dyDescent="0.2">
      <c r="B17" s="449" t="s">
        <v>107</v>
      </c>
      <c r="C17" s="450" t="s">
        <v>529</v>
      </c>
      <c r="D17" s="451" t="s">
        <v>257</v>
      </c>
      <c r="E17" s="450" t="s">
        <v>115</v>
      </c>
      <c r="F17" s="451">
        <v>96.354929999999996</v>
      </c>
      <c r="G17" s="451">
        <v>25.643090000000001</v>
      </c>
      <c r="H17" s="451" t="s">
        <v>449</v>
      </c>
      <c r="I17" s="451" t="s">
        <v>214</v>
      </c>
      <c r="J17" s="452">
        <v>65</v>
      </c>
      <c r="K17" s="452">
        <v>335</v>
      </c>
      <c r="L17" s="452">
        <v>335</v>
      </c>
      <c r="M17" s="362" t="str">
        <f t="shared" si="0"/>
        <v>2. Medium</v>
      </c>
      <c r="N17" s="701"/>
      <c r="O17" s="453" t="s">
        <v>276</v>
      </c>
      <c r="P17" s="461" t="s">
        <v>276</v>
      </c>
      <c r="Q17" s="382" t="str">
        <f t="shared" si="35"/>
        <v>Covered</v>
      </c>
      <c r="R17" s="462" t="s">
        <v>629</v>
      </c>
      <c r="S17" s="453" t="s">
        <v>253</v>
      </c>
      <c r="T17" s="380" t="str">
        <f t="shared" si="36"/>
        <v>Documented</v>
      </c>
      <c r="U17" s="468">
        <v>0</v>
      </c>
      <c r="V17" s="452">
        <v>0</v>
      </c>
      <c r="W17" s="469" t="s">
        <v>19</v>
      </c>
      <c r="X17" s="468">
        <v>1</v>
      </c>
      <c r="Y17" s="474">
        <v>0</v>
      </c>
      <c r="Z17" s="475">
        <v>3000</v>
      </c>
      <c r="AA17" s="481">
        <v>0</v>
      </c>
      <c r="AB17" s="482">
        <v>0</v>
      </c>
      <c r="AC17" s="385">
        <f t="shared" si="1"/>
        <v>1</v>
      </c>
      <c r="AD17" s="364">
        <f t="shared" si="2"/>
        <v>335</v>
      </c>
      <c r="AE17" s="365">
        <f t="shared" si="3"/>
        <v>1</v>
      </c>
      <c r="AF17" s="366">
        <f t="shared" si="4"/>
        <v>335</v>
      </c>
      <c r="AG17" s="363">
        <f t="shared" si="5"/>
        <v>1</v>
      </c>
      <c r="AH17" s="366">
        <f t="shared" si="6"/>
        <v>335</v>
      </c>
      <c r="AI17" s="367" t="str">
        <f t="shared" si="7"/>
        <v>80-100%</v>
      </c>
      <c r="AJ17" s="363">
        <f t="shared" si="8"/>
        <v>0</v>
      </c>
      <c r="AK17" s="368">
        <f t="shared" si="9"/>
        <v>0</v>
      </c>
      <c r="AL17" s="366">
        <f t="shared" si="10"/>
        <v>0</v>
      </c>
      <c r="AM17" s="366">
        <f t="shared" si="11"/>
        <v>0</v>
      </c>
      <c r="AN17" s="366">
        <f t="shared" si="12"/>
        <v>0</v>
      </c>
      <c r="AO17" s="485">
        <v>1</v>
      </c>
      <c r="AP17" s="486">
        <f t="shared" si="13"/>
        <v>335</v>
      </c>
      <c r="AQ17" s="475"/>
      <c r="AR17" s="732">
        <v>10</v>
      </c>
      <c r="AS17" s="452">
        <v>0</v>
      </c>
      <c r="AT17" s="452">
        <v>17</v>
      </c>
      <c r="AU17" s="452" t="s">
        <v>290</v>
      </c>
      <c r="AV17" s="369">
        <f t="shared" si="14"/>
        <v>1</v>
      </c>
      <c r="AW17" s="366">
        <f t="shared" si="15"/>
        <v>335</v>
      </c>
      <c r="AX17" s="369">
        <f t="shared" si="16"/>
        <v>0</v>
      </c>
      <c r="AY17" s="366">
        <f t="shared" si="17"/>
        <v>0</v>
      </c>
      <c r="AZ17" s="369">
        <f t="shared" si="18"/>
        <v>1</v>
      </c>
      <c r="BA17" s="366">
        <f t="shared" si="19"/>
        <v>335</v>
      </c>
      <c r="BB17" s="474">
        <v>0</v>
      </c>
      <c r="BC17" s="490">
        <v>1</v>
      </c>
      <c r="BD17" s="370">
        <f t="shared" si="20"/>
        <v>335</v>
      </c>
      <c r="BE17" s="371">
        <f t="shared" si="21"/>
        <v>0</v>
      </c>
      <c r="BF17" s="452">
        <v>3</v>
      </c>
      <c r="BG17" s="452" t="s">
        <v>291</v>
      </c>
      <c r="BH17" s="369">
        <f t="shared" si="22"/>
        <v>0.89552238805970152</v>
      </c>
      <c r="BI17" s="366">
        <f t="shared" si="23"/>
        <v>300</v>
      </c>
      <c r="BJ17" s="371">
        <f t="shared" si="24"/>
        <v>0.35000000000000009</v>
      </c>
      <c r="BK17" s="485">
        <v>0.9</v>
      </c>
      <c r="BL17" s="366">
        <f t="shared" si="25"/>
        <v>301.5</v>
      </c>
      <c r="BM17" s="474">
        <v>4</v>
      </c>
      <c r="BN17" s="369">
        <f t="shared" si="26"/>
        <v>1</v>
      </c>
      <c r="BO17" s="371">
        <f t="shared" si="27"/>
        <v>0</v>
      </c>
      <c r="BP17" s="478">
        <v>1</v>
      </c>
      <c r="BQ17" s="500" t="s">
        <v>741</v>
      </c>
      <c r="BR17" s="502">
        <v>41695</v>
      </c>
      <c r="BS17" s="372" t="str">
        <f t="shared" si="28"/>
        <v>To be realised</v>
      </c>
      <c r="BT17" s="452">
        <v>65</v>
      </c>
      <c r="BU17" s="452">
        <v>10</v>
      </c>
      <c r="BV17" s="373">
        <f t="shared" si="29"/>
        <v>65</v>
      </c>
      <c r="BW17" s="374">
        <f t="shared" si="30"/>
        <v>0</v>
      </c>
      <c r="BX17" s="366">
        <f t="shared" si="31"/>
        <v>0</v>
      </c>
      <c r="BY17" s="387">
        <f t="shared" si="32"/>
        <v>6</v>
      </c>
      <c r="BZ17" s="468" t="s">
        <v>732</v>
      </c>
      <c r="CA17" s="478">
        <v>0</v>
      </c>
      <c r="CB17" s="389">
        <f t="shared" si="33"/>
        <v>0</v>
      </c>
      <c r="CC17" s="468">
        <v>2</v>
      </c>
      <c r="CD17" s="375" t="str">
        <f t="shared" si="34"/>
        <v>Excellent coverage</v>
      </c>
      <c r="CE17" s="474">
        <v>0</v>
      </c>
      <c r="CF17" s="475" t="s">
        <v>293</v>
      </c>
      <c r="CG17" s="509"/>
    </row>
    <row r="18" spans="2:85" s="40" customFormat="1" ht="30.75" customHeight="1" x14ac:dyDescent="0.2">
      <c r="B18" s="449" t="s">
        <v>107</v>
      </c>
      <c r="C18" s="450" t="s">
        <v>530</v>
      </c>
      <c r="D18" s="451" t="s">
        <v>257</v>
      </c>
      <c r="E18" s="450" t="s">
        <v>224</v>
      </c>
      <c r="F18" s="451">
        <v>96.705960000000005</v>
      </c>
      <c r="G18" s="451">
        <v>25.51352</v>
      </c>
      <c r="H18" s="451" t="s">
        <v>449</v>
      </c>
      <c r="I18" s="451" t="s">
        <v>214</v>
      </c>
      <c r="J18" s="452">
        <v>16</v>
      </c>
      <c r="K18" s="452">
        <v>60</v>
      </c>
      <c r="L18" s="452">
        <v>60</v>
      </c>
      <c r="M18" s="362" t="str">
        <f t="shared" si="0"/>
        <v>1. Small</v>
      </c>
      <c r="N18" s="701" t="s">
        <v>833</v>
      </c>
      <c r="O18" s="453" t="s">
        <v>235</v>
      </c>
      <c r="P18" s="461" t="s">
        <v>235</v>
      </c>
      <c r="Q18" s="382" t="str">
        <f t="shared" si="35"/>
        <v>Covered</v>
      </c>
      <c r="R18" s="462">
        <v>42429</v>
      </c>
      <c r="S18" s="453" t="s">
        <v>253</v>
      </c>
      <c r="T18" s="380" t="str">
        <f t="shared" si="36"/>
        <v>Documented</v>
      </c>
      <c r="U18" s="468">
        <v>0</v>
      </c>
      <c r="V18" s="452">
        <v>0</v>
      </c>
      <c r="W18" s="469" t="s">
        <v>19</v>
      </c>
      <c r="X18" s="468">
        <v>0</v>
      </c>
      <c r="Y18" s="474">
        <v>2</v>
      </c>
      <c r="Z18" s="475">
        <v>0</v>
      </c>
      <c r="AA18" s="481">
        <v>0</v>
      </c>
      <c r="AB18" s="482">
        <v>1</v>
      </c>
      <c r="AC18" s="385">
        <f t="shared" si="1"/>
        <v>1</v>
      </c>
      <c r="AD18" s="364">
        <f t="shared" si="2"/>
        <v>60</v>
      </c>
      <c r="AE18" s="365">
        <f t="shared" si="3"/>
        <v>1</v>
      </c>
      <c r="AF18" s="366">
        <f t="shared" si="4"/>
        <v>60</v>
      </c>
      <c r="AG18" s="363">
        <f t="shared" si="5"/>
        <v>1</v>
      </c>
      <c r="AH18" s="366">
        <f t="shared" si="6"/>
        <v>60</v>
      </c>
      <c r="AI18" s="367" t="str">
        <f t="shared" si="7"/>
        <v>80-100%</v>
      </c>
      <c r="AJ18" s="363">
        <f t="shared" si="8"/>
        <v>0</v>
      </c>
      <c r="AK18" s="368">
        <f t="shared" si="9"/>
        <v>0</v>
      </c>
      <c r="AL18" s="366">
        <f t="shared" si="10"/>
        <v>0</v>
      </c>
      <c r="AM18" s="366">
        <f t="shared" si="11"/>
        <v>16</v>
      </c>
      <c r="AN18" s="366">
        <f t="shared" si="12"/>
        <v>0</v>
      </c>
      <c r="AO18" s="485">
        <v>1</v>
      </c>
      <c r="AP18" s="486">
        <f t="shared" si="13"/>
        <v>60</v>
      </c>
      <c r="AQ18" s="475"/>
      <c r="AR18" s="732">
        <v>3</v>
      </c>
      <c r="AS18" s="452">
        <v>3</v>
      </c>
      <c r="AT18" s="452">
        <v>7</v>
      </c>
      <c r="AU18" s="452" t="s">
        <v>290</v>
      </c>
      <c r="AV18" s="369">
        <f t="shared" si="14"/>
        <v>1</v>
      </c>
      <c r="AW18" s="366">
        <f t="shared" si="15"/>
        <v>60</v>
      </c>
      <c r="AX18" s="369">
        <f t="shared" si="16"/>
        <v>0</v>
      </c>
      <c r="AY18" s="366">
        <f t="shared" si="17"/>
        <v>0</v>
      </c>
      <c r="AZ18" s="369">
        <f t="shared" si="18"/>
        <v>1</v>
      </c>
      <c r="BA18" s="366">
        <f t="shared" si="19"/>
        <v>60</v>
      </c>
      <c r="BB18" s="474">
        <v>0</v>
      </c>
      <c r="BC18" s="490">
        <v>1</v>
      </c>
      <c r="BD18" s="370">
        <f t="shared" si="20"/>
        <v>60</v>
      </c>
      <c r="BE18" s="371">
        <f t="shared" si="21"/>
        <v>0</v>
      </c>
      <c r="BF18" s="452">
        <v>2</v>
      </c>
      <c r="BG18" s="452" t="s">
        <v>291</v>
      </c>
      <c r="BH18" s="369">
        <f t="shared" si="22"/>
        <v>1</v>
      </c>
      <c r="BI18" s="366">
        <f t="shared" si="23"/>
        <v>60</v>
      </c>
      <c r="BJ18" s="371">
        <f t="shared" si="24"/>
        <v>0</v>
      </c>
      <c r="BK18" s="485">
        <v>1</v>
      </c>
      <c r="BL18" s="366">
        <f t="shared" si="25"/>
        <v>60</v>
      </c>
      <c r="BM18" s="474">
        <v>2</v>
      </c>
      <c r="BN18" s="369">
        <f t="shared" si="26"/>
        <v>1</v>
      </c>
      <c r="BO18" s="371">
        <f t="shared" si="27"/>
        <v>0</v>
      </c>
      <c r="BP18" s="478">
        <v>1</v>
      </c>
      <c r="BQ18" s="500"/>
      <c r="BR18" s="502">
        <v>42053</v>
      </c>
      <c r="BS18" s="372">
        <f t="shared" si="28"/>
        <v>42418</v>
      </c>
      <c r="BT18" s="452">
        <v>16</v>
      </c>
      <c r="BU18" s="452">
        <v>4</v>
      </c>
      <c r="BV18" s="373">
        <f t="shared" si="29"/>
        <v>0</v>
      </c>
      <c r="BW18" s="374">
        <f t="shared" si="30"/>
        <v>1</v>
      </c>
      <c r="BX18" s="366">
        <f t="shared" si="31"/>
        <v>60</v>
      </c>
      <c r="BY18" s="387">
        <f t="shared" si="32"/>
        <v>0</v>
      </c>
      <c r="BZ18" s="468"/>
      <c r="CA18" s="478">
        <v>1</v>
      </c>
      <c r="CB18" s="389">
        <f t="shared" si="33"/>
        <v>60</v>
      </c>
      <c r="CC18" s="468">
        <v>1</v>
      </c>
      <c r="CD18" s="375" t="str">
        <f t="shared" si="34"/>
        <v>Excellent coverage</v>
      </c>
      <c r="CE18" s="474">
        <v>0</v>
      </c>
      <c r="CF18" s="475" t="s">
        <v>293</v>
      </c>
      <c r="CG18" s="509"/>
    </row>
    <row r="19" spans="2:85" s="40" customFormat="1" ht="30.75" customHeight="1" x14ac:dyDescent="0.2">
      <c r="B19" s="449" t="s">
        <v>107</v>
      </c>
      <c r="C19" s="450" t="s">
        <v>531</v>
      </c>
      <c r="D19" s="451" t="s">
        <v>257</v>
      </c>
      <c r="E19" s="450" t="s">
        <v>116</v>
      </c>
      <c r="F19" s="451">
        <v>96.316564</v>
      </c>
      <c r="G19" s="451">
        <v>25.615960999999999</v>
      </c>
      <c r="H19" s="451" t="s">
        <v>449</v>
      </c>
      <c r="I19" s="451" t="s">
        <v>214</v>
      </c>
      <c r="J19" s="452">
        <v>13</v>
      </c>
      <c r="K19" s="452">
        <v>75</v>
      </c>
      <c r="L19" s="452">
        <v>75</v>
      </c>
      <c r="M19" s="362" t="str">
        <f t="shared" si="0"/>
        <v>1. Small</v>
      </c>
      <c r="N19" s="701"/>
      <c r="O19" s="453" t="s">
        <v>276</v>
      </c>
      <c r="P19" s="461" t="s">
        <v>276</v>
      </c>
      <c r="Q19" s="382" t="str">
        <f t="shared" si="35"/>
        <v>Covered</v>
      </c>
      <c r="R19" s="462" t="s">
        <v>629</v>
      </c>
      <c r="S19" s="453" t="s">
        <v>253</v>
      </c>
      <c r="T19" s="380" t="str">
        <f t="shared" si="36"/>
        <v>Documented</v>
      </c>
      <c r="U19" s="468">
        <v>0</v>
      </c>
      <c r="V19" s="452">
        <v>0</v>
      </c>
      <c r="W19" s="469" t="s">
        <v>19</v>
      </c>
      <c r="X19" s="468">
        <v>1</v>
      </c>
      <c r="Y19" s="474">
        <v>0</v>
      </c>
      <c r="Z19" s="475">
        <v>0</v>
      </c>
      <c r="AA19" s="481">
        <v>0</v>
      </c>
      <c r="AB19" s="482">
        <v>0</v>
      </c>
      <c r="AC19" s="385">
        <f t="shared" si="1"/>
        <v>1</v>
      </c>
      <c r="AD19" s="364">
        <f t="shared" si="2"/>
        <v>75</v>
      </c>
      <c r="AE19" s="365">
        <f t="shared" si="3"/>
        <v>1</v>
      </c>
      <c r="AF19" s="366">
        <f t="shared" si="4"/>
        <v>75</v>
      </c>
      <c r="AG19" s="363">
        <f t="shared" si="5"/>
        <v>1</v>
      </c>
      <c r="AH19" s="366">
        <f t="shared" si="6"/>
        <v>75</v>
      </c>
      <c r="AI19" s="367" t="str">
        <f t="shared" si="7"/>
        <v>80-100%</v>
      </c>
      <c r="AJ19" s="363">
        <f t="shared" si="8"/>
        <v>0</v>
      </c>
      <c r="AK19" s="368">
        <f t="shared" si="9"/>
        <v>0</v>
      </c>
      <c r="AL19" s="366">
        <f t="shared" si="10"/>
        <v>0</v>
      </c>
      <c r="AM19" s="366">
        <f t="shared" si="11"/>
        <v>0</v>
      </c>
      <c r="AN19" s="366">
        <f t="shared" si="12"/>
        <v>0</v>
      </c>
      <c r="AO19" s="485">
        <v>1</v>
      </c>
      <c r="AP19" s="486">
        <f t="shared" si="13"/>
        <v>75</v>
      </c>
      <c r="AQ19" s="475"/>
      <c r="AR19" s="732">
        <v>0</v>
      </c>
      <c r="AS19" s="452">
        <v>0</v>
      </c>
      <c r="AT19" s="452">
        <v>5</v>
      </c>
      <c r="AU19" s="452" t="s">
        <v>89</v>
      </c>
      <c r="AV19" s="369">
        <f t="shared" si="14"/>
        <v>1</v>
      </c>
      <c r="AW19" s="366">
        <f t="shared" si="15"/>
        <v>75</v>
      </c>
      <c r="AX19" s="369">
        <f t="shared" si="16"/>
        <v>0</v>
      </c>
      <c r="AY19" s="366">
        <f t="shared" si="17"/>
        <v>0</v>
      </c>
      <c r="AZ19" s="369">
        <f t="shared" si="18"/>
        <v>1</v>
      </c>
      <c r="BA19" s="366">
        <f t="shared" si="19"/>
        <v>75</v>
      </c>
      <c r="BB19" s="474">
        <v>0</v>
      </c>
      <c r="BC19" s="490">
        <v>1</v>
      </c>
      <c r="BD19" s="370">
        <f t="shared" si="20"/>
        <v>75</v>
      </c>
      <c r="BE19" s="371">
        <f t="shared" si="21"/>
        <v>0</v>
      </c>
      <c r="BF19" s="452">
        <v>1</v>
      </c>
      <c r="BG19" s="452" t="s">
        <v>291</v>
      </c>
      <c r="BH19" s="369">
        <f t="shared" si="22"/>
        <v>1</v>
      </c>
      <c r="BI19" s="366">
        <f t="shared" si="23"/>
        <v>75</v>
      </c>
      <c r="BJ19" s="371">
        <f t="shared" si="24"/>
        <v>0</v>
      </c>
      <c r="BK19" s="485">
        <v>1</v>
      </c>
      <c r="BL19" s="366">
        <f t="shared" si="25"/>
        <v>75</v>
      </c>
      <c r="BM19" s="474">
        <v>1</v>
      </c>
      <c r="BN19" s="369">
        <f t="shared" si="26"/>
        <v>1</v>
      </c>
      <c r="BO19" s="371">
        <f t="shared" si="27"/>
        <v>0</v>
      </c>
      <c r="BP19" s="478">
        <v>1</v>
      </c>
      <c r="BQ19" s="500"/>
      <c r="BR19" s="502">
        <v>41695</v>
      </c>
      <c r="BS19" s="372" t="str">
        <f t="shared" si="28"/>
        <v>To be realised</v>
      </c>
      <c r="BT19" s="452">
        <v>13</v>
      </c>
      <c r="BU19" s="452">
        <v>10</v>
      </c>
      <c r="BV19" s="373">
        <f t="shared" si="29"/>
        <v>13</v>
      </c>
      <c r="BW19" s="374">
        <f t="shared" si="30"/>
        <v>0</v>
      </c>
      <c r="BX19" s="366">
        <f t="shared" si="31"/>
        <v>0</v>
      </c>
      <c r="BY19" s="387">
        <f t="shared" si="32"/>
        <v>6</v>
      </c>
      <c r="BZ19" s="468" t="s">
        <v>732</v>
      </c>
      <c r="CA19" s="478">
        <v>0</v>
      </c>
      <c r="CB19" s="389">
        <f t="shared" si="33"/>
        <v>0</v>
      </c>
      <c r="CC19" s="468">
        <v>1</v>
      </c>
      <c r="CD19" s="375" t="str">
        <f t="shared" si="34"/>
        <v>Excellent coverage</v>
      </c>
      <c r="CE19" s="474">
        <v>0</v>
      </c>
      <c r="CF19" s="475" t="s">
        <v>293</v>
      </c>
      <c r="CG19" s="509"/>
    </row>
    <row r="20" spans="2:85" s="40" customFormat="1" ht="30.75" customHeight="1" x14ac:dyDescent="0.2">
      <c r="B20" s="449" t="s">
        <v>107</v>
      </c>
      <c r="C20" s="450" t="s">
        <v>692</v>
      </c>
      <c r="D20" s="451" t="s">
        <v>257</v>
      </c>
      <c r="E20" s="450" t="s">
        <v>250</v>
      </c>
      <c r="F20" s="451">
        <v>96.312790000000007</v>
      </c>
      <c r="G20" s="451">
        <v>25.611160000000002</v>
      </c>
      <c r="H20" s="451" t="s">
        <v>449</v>
      </c>
      <c r="I20" s="451" t="s">
        <v>214</v>
      </c>
      <c r="J20" s="452">
        <v>118</v>
      </c>
      <c r="K20" s="452">
        <v>519</v>
      </c>
      <c r="L20" s="452">
        <v>519</v>
      </c>
      <c r="M20" s="362" t="str">
        <f t="shared" si="0"/>
        <v>2. Medium</v>
      </c>
      <c r="N20" s="701"/>
      <c r="O20" s="453" t="s">
        <v>276</v>
      </c>
      <c r="P20" s="461" t="s">
        <v>276</v>
      </c>
      <c r="Q20" s="382" t="str">
        <f t="shared" si="35"/>
        <v>Covered</v>
      </c>
      <c r="R20" s="462" t="s">
        <v>629</v>
      </c>
      <c r="S20" s="453" t="s">
        <v>253</v>
      </c>
      <c r="T20" s="380" t="str">
        <f t="shared" si="36"/>
        <v>Documented</v>
      </c>
      <c r="U20" s="468">
        <v>0</v>
      </c>
      <c r="V20" s="452">
        <v>0</v>
      </c>
      <c r="W20" s="469" t="s">
        <v>19</v>
      </c>
      <c r="X20" s="468">
        <v>1</v>
      </c>
      <c r="Y20" s="474">
        <v>0</v>
      </c>
      <c r="Z20" s="475">
        <v>3320</v>
      </c>
      <c r="AA20" s="481">
        <v>0</v>
      </c>
      <c r="AB20" s="482">
        <v>0</v>
      </c>
      <c r="AC20" s="385">
        <f t="shared" si="1"/>
        <v>1</v>
      </c>
      <c r="AD20" s="364">
        <f t="shared" si="2"/>
        <v>519</v>
      </c>
      <c r="AE20" s="365">
        <f t="shared" si="3"/>
        <v>1</v>
      </c>
      <c r="AF20" s="366">
        <f t="shared" si="4"/>
        <v>519</v>
      </c>
      <c r="AG20" s="363">
        <f t="shared" si="5"/>
        <v>1</v>
      </c>
      <c r="AH20" s="366">
        <f t="shared" si="6"/>
        <v>519</v>
      </c>
      <c r="AI20" s="367" t="str">
        <f t="shared" si="7"/>
        <v>80-100%</v>
      </c>
      <c r="AJ20" s="363">
        <f t="shared" si="8"/>
        <v>0</v>
      </c>
      <c r="AK20" s="368">
        <f t="shared" si="9"/>
        <v>0</v>
      </c>
      <c r="AL20" s="366">
        <f t="shared" si="10"/>
        <v>0.2975000000000001</v>
      </c>
      <c r="AM20" s="366">
        <f t="shared" si="11"/>
        <v>0</v>
      </c>
      <c r="AN20" s="366">
        <f t="shared" si="12"/>
        <v>0</v>
      </c>
      <c r="AO20" s="485">
        <v>1</v>
      </c>
      <c r="AP20" s="486">
        <f t="shared" si="13"/>
        <v>519</v>
      </c>
      <c r="AQ20" s="475"/>
      <c r="AR20" s="732">
        <v>20</v>
      </c>
      <c r="AS20" s="452">
        <v>0</v>
      </c>
      <c r="AT20" s="452">
        <v>16</v>
      </c>
      <c r="AU20" s="452" t="s">
        <v>291</v>
      </c>
      <c r="AV20" s="369">
        <f t="shared" si="14"/>
        <v>0.61657032755298646</v>
      </c>
      <c r="AW20" s="366">
        <f t="shared" si="15"/>
        <v>320</v>
      </c>
      <c r="AX20" s="369">
        <f t="shared" si="16"/>
        <v>0</v>
      </c>
      <c r="AY20" s="366">
        <f t="shared" si="17"/>
        <v>0</v>
      </c>
      <c r="AZ20" s="369">
        <f t="shared" si="18"/>
        <v>0.61657032755298646</v>
      </c>
      <c r="BA20" s="366">
        <f t="shared" si="19"/>
        <v>320</v>
      </c>
      <c r="BB20" s="474">
        <v>0</v>
      </c>
      <c r="BC20" s="490">
        <v>0.62</v>
      </c>
      <c r="BD20" s="370">
        <f t="shared" si="20"/>
        <v>321.77999999999997</v>
      </c>
      <c r="BE20" s="371">
        <f t="shared" si="21"/>
        <v>9.9499999999999993</v>
      </c>
      <c r="BF20" s="452">
        <v>3</v>
      </c>
      <c r="BG20" s="452" t="s">
        <v>292</v>
      </c>
      <c r="BH20" s="369">
        <f t="shared" si="22"/>
        <v>0.5780346820809249</v>
      </c>
      <c r="BI20" s="366">
        <f t="shared" si="23"/>
        <v>300</v>
      </c>
      <c r="BJ20" s="371">
        <f t="shared" si="24"/>
        <v>2.1900000000000004</v>
      </c>
      <c r="BK20" s="485">
        <v>0.57999999999999996</v>
      </c>
      <c r="BL20" s="366">
        <f t="shared" si="25"/>
        <v>301.02</v>
      </c>
      <c r="BM20" s="474">
        <v>3</v>
      </c>
      <c r="BN20" s="369">
        <f t="shared" si="26"/>
        <v>0.5780346820809249</v>
      </c>
      <c r="BO20" s="371">
        <f t="shared" si="27"/>
        <v>2.1900000000000004</v>
      </c>
      <c r="BP20" s="478">
        <v>1</v>
      </c>
      <c r="BQ20" s="500"/>
      <c r="BR20" s="502">
        <v>41695</v>
      </c>
      <c r="BS20" s="372" t="str">
        <f t="shared" si="28"/>
        <v>To be realised</v>
      </c>
      <c r="BT20" s="452">
        <v>118</v>
      </c>
      <c r="BU20" s="452">
        <v>10</v>
      </c>
      <c r="BV20" s="373">
        <f t="shared" si="29"/>
        <v>118</v>
      </c>
      <c r="BW20" s="374">
        <f t="shared" si="30"/>
        <v>0</v>
      </c>
      <c r="BX20" s="366">
        <f t="shared" si="31"/>
        <v>0</v>
      </c>
      <c r="BY20" s="387">
        <f t="shared" si="32"/>
        <v>6</v>
      </c>
      <c r="BZ20" s="468" t="s">
        <v>732</v>
      </c>
      <c r="CA20" s="478">
        <v>0</v>
      </c>
      <c r="CB20" s="389">
        <f t="shared" si="33"/>
        <v>0</v>
      </c>
      <c r="CC20" s="468">
        <v>2</v>
      </c>
      <c r="CD20" s="375" t="str">
        <f t="shared" si="34"/>
        <v>Excellent coverage</v>
      </c>
      <c r="CE20" s="474">
        <v>0</v>
      </c>
      <c r="CF20" s="475" t="s">
        <v>293</v>
      </c>
      <c r="CG20" s="509"/>
    </row>
    <row r="21" spans="2:85" s="40" customFormat="1" ht="30.75" customHeight="1" x14ac:dyDescent="0.2">
      <c r="B21" s="449" t="s">
        <v>107</v>
      </c>
      <c r="C21" s="450" t="s">
        <v>532</v>
      </c>
      <c r="D21" s="451" t="s">
        <v>257</v>
      </c>
      <c r="E21" s="450" t="s">
        <v>117</v>
      </c>
      <c r="F21" s="451">
        <v>96.269199999999998</v>
      </c>
      <c r="G21" s="451">
        <v>25.566510000000001</v>
      </c>
      <c r="H21" s="451" t="s">
        <v>449</v>
      </c>
      <c r="I21" s="451" t="s">
        <v>214</v>
      </c>
      <c r="J21" s="452">
        <v>26</v>
      </c>
      <c r="K21" s="452">
        <v>137</v>
      </c>
      <c r="L21" s="452">
        <v>137</v>
      </c>
      <c r="M21" s="362" t="str">
        <f t="shared" si="0"/>
        <v>1. Small</v>
      </c>
      <c r="N21" s="701"/>
      <c r="O21" s="453" t="s">
        <v>276</v>
      </c>
      <c r="P21" s="461" t="s">
        <v>276</v>
      </c>
      <c r="Q21" s="382" t="str">
        <f t="shared" si="35"/>
        <v>Covered</v>
      </c>
      <c r="R21" s="462" t="s">
        <v>629</v>
      </c>
      <c r="S21" s="453" t="s">
        <v>253</v>
      </c>
      <c r="T21" s="380" t="str">
        <f t="shared" si="36"/>
        <v>Documented</v>
      </c>
      <c r="U21" s="468">
        <v>0</v>
      </c>
      <c r="V21" s="452">
        <v>0</v>
      </c>
      <c r="W21" s="469" t="s">
        <v>19</v>
      </c>
      <c r="X21" s="468">
        <v>1</v>
      </c>
      <c r="Y21" s="474">
        <v>0</v>
      </c>
      <c r="Z21" s="475">
        <v>3000</v>
      </c>
      <c r="AA21" s="481">
        <v>0</v>
      </c>
      <c r="AB21" s="482">
        <v>0</v>
      </c>
      <c r="AC21" s="385">
        <f t="shared" si="1"/>
        <v>1</v>
      </c>
      <c r="AD21" s="364">
        <f t="shared" si="2"/>
        <v>137</v>
      </c>
      <c r="AE21" s="365">
        <f t="shared" si="3"/>
        <v>1</v>
      </c>
      <c r="AF21" s="366">
        <f t="shared" si="4"/>
        <v>137</v>
      </c>
      <c r="AG21" s="363">
        <f t="shared" si="5"/>
        <v>1</v>
      </c>
      <c r="AH21" s="366">
        <f t="shared" si="6"/>
        <v>137</v>
      </c>
      <c r="AI21" s="367" t="str">
        <f t="shared" si="7"/>
        <v>80-100%</v>
      </c>
      <c r="AJ21" s="363">
        <f t="shared" si="8"/>
        <v>0</v>
      </c>
      <c r="AK21" s="368">
        <f t="shared" si="9"/>
        <v>0</v>
      </c>
      <c r="AL21" s="366">
        <f t="shared" si="10"/>
        <v>0</v>
      </c>
      <c r="AM21" s="366">
        <f t="shared" si="11"/>
        <v>0</v>
      </c>
      <c r="AN21" s="366">
        <f t="shared" si="12"/>
        <v>0</v>
      </c>
      <c r="AO21" s="485">
        <v>1</v>
      </c>
      <c r="AP21" s="486">
        <f t="shared" si="13"/>
        <v>137</v>
      </c>
      <c r="AQ21" s="475"/>
      <c r="AR21" s="732">
        <v>2</v>
      </c>
      <c r="AS21" s="452">
        <v>2</v>
      </c>
      <c r="AT21" s="452">
        <v>6</v>
      </c>
      <c r="AU21" s="452" t="s">
        <v>89</v>
      </c>
      <c r="AV21" s="369">
        <f t="shared" si="14"/>
        <v>1</v>
      </c>
      <c r="AW21" s="366">
        <f t="shared" si="15"/>
        <v>137</v>
      </c>
      <c r="AX21" s="369">
        <f t="shared" si="16"/>
        <v>0.12408759124087587</v>
      </c>
      <c r="AY21" s="366">
        <f t="shared" si="17"/>
        <v>16.999999999999993</v>
      </c>
      <c r="AZ21" s="369">
        <f t="shared" si="18"/>
        <v>0.87591240875912413</v>
      </c>
      <c r="BA21" s="366">
        <f t="shared" si="19"/>
        <v>120</v>
      </c>
      <c r="BB21" s="474">
        <v>0</v>
      </c>
      <c r="BC21" s="490">
        <v>1</v>
      </c>
      <c r="BD21" s="370">
        <f t="shared" si="20"/>
        <v>137</v>
      </c>
      <c r="BE21" s="371">
        <f t="shared" si="21"/>
        <v>0.84999999999999964</v>
      </c>
      <c r="BF21" s="452">
        <v>2</v>
      </c>
      <c r="BG21" s="452" t="s">
        <v>292</v>
      </c>
      <c r="BH21" s="369">
        <f t="shared" si="22"/>
        <v>1</v>
      </c>
      <c r="BI21" s="366">
        <f t="shared" si="23"/>
        <v>137</v>
      </c>
      <c r="BJ21" s="371">
        <f t="shared" si="24"/>
        <v>0</v>
      </c>
      <c r="BK21" s="485">
        <v>1</v>
      </c>
      <c r="BL21" s="366">
        <f t="shared" si="25"/>
        <v>137</v>
      </c>
      <c r="BM21" s="474">
        <v>2</v>
      </c>
      <c r="BN21" s="369">
        <f t="shared" si="26"/>
        <v>1</v>
      </c>
      <c r="BO21" s="371">
        <f t="shared" si="27"/>
        <v>0</v>
      </c>
      <c r="BP21" s="478">
        <v>1</v>
      </c>
      <c r="BQ21" s="500"/>
      <c r="BR21" s="502">
        <v>41695</v>
      </c>
      <c r="BS21" s="372" t="str">
        <f t="shared" si="28"/>
        <v>To be realised</v>
      </c>
      <c r="BT21" s="452">
        <v>26</v>
      </c>
      <c r="BU21" s="452">
        <v>10</v>
      </c>
      <c r="BV21" s="373">
        <f t="shared" si="29"/>
        <v>26</v>
      </c>
      <c r="BW21" s="374">
        <f t="shared" si="30"/>
        <v>0</v>
      </c>
      <c r="BX21" s="366">
        <f t="shared" si="31"/>
        <v>0</v>
      </c>
      <c r="BY21" s="387">
        <f t="shared" si="32"/>
        <v>6</v>
      </c>
      <c r="BZ21" s="468" t="s">
        <v>732</v>
      </c>
      <c r="CA21" s="478">
        <v>0</v>
      </c>
      <c r="CB21" s="389">
        <f t="shared" si="33"/>
        <v>0</v>
      </c>
      <c r="CC21" s="468">
        <v>2</v>
      </c>
      <c r="CD21" s="375" t="str">
        <f t="shared" si="34"/>
        <v>Excellent coverage</v>
      </c>
      <c r="CE21" s="474">
        <v>0</v>
      </c>
      <c r="CF21" s="475" t="s">
        <v>293</v>
      </c>
      <c r="CG21" s="509"/>
    </row>
    <row r="22" spans="2:85" s="40" customFormat="1" ht="30.75" customHeight="1" x14ac:dyDescent="0.2">
      <c r="B22" s="449" t="s">
        <v>107</v>
      </c>
      <c r="C22" s="450" t="s">
        <v>533</v>
      </c>
      <c r="D22" s="451" t="s">
        <v>257</v>
      </c>
      <c r="E22" s="450" t="s">
        <v>118</v>
      </c>
      <c r="F22" s="451">
        <v>96.316400000000002</v>
      </c>
      <c r="G22" s="451">
        <v>25.61842</v>
      </c>
      <c r="H22" s="451" t="s">
        <v>449</v>
      </c>
      <c r="I22" s="451" t="s">
        <v>214</v>
      </c>
      <c r="J22" s="452">
        <v>15</v>
      </c>
      <c r="K22" s="452">
        <v>71</v>
      </c>
      <c r="L22" s="452">
        <v>71</v>
      </c>
      <c r="M22" s="362" t="str">
        <f t="shared" si="0"/>
        <v>1. Small</v>
      </c>
      <c r="N22" s="701"/>
      <c r="O22" s="453" t="s">
        <v>276</v>
      </c>
      <c r="P22" s="461" t="s">
        <v>276</v>
      </c>
      <c r="Q22" s="382" t="str">
        <f t="shared" si="35"/>
        <v>Covered</v>
      </c>
      <c r="R22" s="462" t="s">
        <v>629</v>
      </c>
      <c r="S22" s="453" t="s">
        <v>253</v>
      </c>
      <c r="T22" s="380" t="str">
        <f t="shared" si="36"/>
        <v>Documented</v>
      </c>
      <c r="U22" s="468">
        <v>0</v>
      </c>
      <c r="V22" s="452">
        <v>0</v>
      </c>
      <c r="W22" s="469" t="s">
        <v>19</v>
      </c>
      <c r="X22" s="468">
        <v>1</v>
      </c>
      <c r="Y22" s="474">
        <v>0</v>
      </c>
      <c r="Z22" s="475">
        <v>2000</v>
      </c>
      <c r="AA22" s="481">
        <v>0</v>
      </c>
      <c r="AB22" s="482">
        <v>0</v>
      </c>
      <c r="AC22" s="385">
        <f t="shared" si="1"/>
        <v>1</v>
      </c>
      <c r="AD22" s="364">
        <f t="shared" si="2"/>
        <v>71</v>
      </c>
      <c r="AE22" s="365">
        <f t="shared" si="3"/>
        <v>1</v>
      </c>
      <c r="AF22" s="366">
        <f t="shared" si="4"/>
        <v>71</v>
      </c>
      <c r="AG22" s="363">
        <f t="shared" si="5"/>
        <v>1</v>
      </c>
      <c r="AH22" s="366">
        <f t="shared" si="6"/>
        <v>71</v>
      </c>
      <c r="AI22" s="367" t="str">
        <f t="shared" si="7"/>
        <v>80-100%</v>
      </c>
      <c r="AJ22" s="363">
        <f t="shared" si="8"/>
        <v>0</v>
      </c>
      <c r="AK22" s="368">
        <f t="shared" si="9"/>
        <v>0</v>
      </c>
      <c r="AL22" s="366">
        <f t="shared" si="10"/>
        <v>0</v>
      </c>
      <c r="AM22" s="366">
        <f t="shared" si="11"/>
        <v>0</v>
      </c>
      <c r="AN22" s="366">
        <f t="shared" si="12"/>
        <v>0</v>
      </c>
      <c r="AO22" s="485">
        <v>1</v>
      </c>
      <c r="AP22" s="486">
        <f t="shared" si="13"/>
        <v>71</v>
      </c>
      <c r="AQ22" s="475"/>
      <c r="AR22" s="732">
        <v>0</v>
      </c>
      <c r="AS22" s="452">
        <v>1</v>
      </c>
      <c r="AT22" s="452">
        <v>4</v>
      </c>
      <c r="AU22" s="452" t="s">
        <v>89</v>
      </c>
      <c r="AV22" s="369">
        <f t="shared" si="14"/>
        <v>1</v>
      </c>
      <c r="AW22" s="366">
        <f t="shared" si="15"/>
        <v>71</v>
      </c>
      <c r="AX22" s="369">
        <f t="shared" si="16"/>
        <v>0</v>
      </c>
      <c r="AY22" s="366">
        <f t="shared" si="17"/>
        <v>0</v>
      </c>
      <c r="AZ22" s="369">
        <f t="shared" si="18"/>
        <v>1</v>
      </c>
      <c r="BA22" s="366">
        <f t="shared" si="19"/>
        <v>71</v>
      </c>
      <c r="BB22" s="474">
        <v>0</v>
      </c>
      <c r="BC22" s="490">
        <v>1</v>
      </c>
      <c r="BD22" s="370">
        <f t="shared" si="20"/>
        <v>71</v>
      </c>
      <c r="BE22" s="371">
        <f t="shared" si="21"/>
        <v>0</v>
      </c>
      <c r="BF22" s="452">
        <v>2</v>
      </c>
      <c r="BG22" s="452" t="s">
        <v>89</v>
      </c>
      <c r="BH22" s="369">
        <f t="shared" si="22"/>
        <v>1</v>
      </c>
      <c r="BI22" s="366">
        <f t="shared" si="23"/>
        <v>71</v>
      </c>
      <c r="BJ22" s="371">
        <f t="shared" si="24"/>
        <v>0</v>
      </c>
      <c r="BK22" s="485">
        <v>1</v>
      </c>
      <c r="BL22" s="366">
        <f t="shared" si="25"/>
        <v>71</v>
      </c>
      <c r="BM22" s="474">
        <v>1</v>
      </c>
      <c r="BN22" s="369">
        <f t="shared" si="26"/>
        <v>1</v>
      </c>
      <c r="BO22" s="371">
        <f t="shared" si="27"/>
        <v>0</v>
      </c>
      <c r="BP22" s="478">
        <v>1</v>
      </c>
      <c r="BQ22" s="500"/>
      <c r="BR22" s="502">
        <v>41695</v>
      </c>
      <c r="BS22" s="372" t="str">
        <f t="shared" si="28"/>
        <v>To be realised</v>
      </c>
      <c r="BT22" s="452">
        <v>15</v>
      </c>
      <c r="BU22" s="452">
        <v>10</v>
      </c>
      <c r="BV22" s="373">
        <f t="shared" si="29"/>
        <v>15</v>
      </c>
      <c r="BW22" s="374">
        <f t="shared" si="30"/>
        <v>0</v>
      </c>
      <c r="BX22" s="366">
        <f t="shared" si="31"/>
        <v>0</v>
      </c>
      <c r="BY22" s="387">
        <f t="shared" si="32"/>
        <v>6</v>
      </c>
      <c r="BZ22" s="468" t="s">
        <v>732</v>
      </c>
      <c r="CA22" s="478">
        <v>0</v>
      </c>
      <c r="CB22" s="389">
        <f t="shared" si="33"/>
        <v>0</v>
      </c>
      <c r="CC22" s="468">
        <v>1</v>
      </c>
      <c r="CD22" s="375" t="str">
        <f t="shared" si="34"/>
        <v>Excellent coverage</v>
      </c>
      <c r="CE22" s="474">
        <v>0</v>
      </c>
      <c r="CF22" s="475" t="s">
        <v>293</v>
      </c>
      <c r="CG22" s="509"/>
    </row>
    <row r="23" spans="2:85" s="40" customFormat="1" ht="30.75" customHeight="1" x14ac:dyDescent="0.2">
      <c r="B23" s="449" t="s">
        <v>107</v>
      </c>
      <c r="C23" s="450" t="s">
        <v>534</v>
      </c>
      <c r="D23" s="451" t="s">
        <v>257</v>
      </c>
      <c r="E23" s="450" t="s">
        <v>119</v>
      </c>
      <c r="F23" s="451">
        <v>96.319687999999999</v>
      </c>
      <c r="G23" s="451">
        <v>25.615202</v>
      </c>
      <c r="H23" s="451" t="s">
        <v>449</v>
      </c>
      <c r="I23" s="451" t="s">
        <v>214</v>
      </c>
      <c r="J23" s="452">
        <v>5</v>
      </c>
      <c r="K23" s="452">
        <v>25</v>
      </c>
      <c r="L23" s="452">
        <v>25</v>
      </c>
      <c r="M23" s="362" t="str">
        <f t="shared" si="0"/>
        <v>1. Small</v>
      </c>
      <c r="N23" s="701"/>
      <c r="O23" s="453" t="s">
        <v>276</v>
      </c>
      <c r="P23" s="461" t="s">
        <v>276</v>
      </c>
      <c r="Q23" s="382" t="str">
        <f t="shared" si="35"/>
        <v>Covered</v>
      </c>
      <c r="R23" s="462" t="s">
        <v>629</v>
      </c>
      <c r="S23" s="453" t="s">
        <v>253</v>
      </c>
      <c r="T23" s="380" t="str">
        <f t="shared" si="36"/>
        <v>Documented</v>
      </c>
      <c r="U23" s="468">
        <v>0</v>
      </c>
      <c r="V23" s="452">
        <v>0</v>
      </c>
      <c r="W23" s="469" t="s">
        <v>19</v>
      </c>
      <c r="X23" s="468">
        <v>1</v>
      </c>
      <c r="Y23" s="474">
        <v>0</v>
      </c>
      <c r="Z23" s="475">
        <v>6000</v>
      </c>
      <c r="AA23" s="481">
        <v>0</v>
      </c>
      <c r="AB23" s="482">
        <v>0</v>
      </c>
      <c r="AC23" s="385">
        <f t="shared" si="1"/>
        <v>1</v>
      </c>
      <c r="AD23" s="364">
        <f t="shared" si="2"/>
        <v>25</v>
      </c>
      <c r="AE23" s="365">
        <f t="shared" si="3"/>
        <v>1</v>
      </c>
      <c r="AF23" s="366">
        <f t="shared" si="4"/>
        <v>25</v>
      </c>
      <c r="AG23" s="363">
        <f t="shared" si="5"/>
        <v>1</v>
      </c>
      <c r="AH23" s="366">
        <f t="shared" si="6"/>
        <v>25</v>
      </c>
      <c r="AI23" s="367" t="str">
        <f t="shared" si="7"/>
        <v>80-100%</v>
      </c>
      <c r="AJ23" s="363">
        <f t="shared" si="8"/>
        <v>0</v>
      </c>
      <c r="AK23" s="368">
        <f t="shared" si="9"/>
        <v>0</v>
      </c>
      <c r="AL23" s="366">
        <f t="shared" si="10"/>
        <v>0</v>
      </c>
      <c r="AM23" s="366">
        <f t="shared" si="11"/>
        <v>0</v>
      </c>
      <c r="AN23" s="366">
        <f t="shared" si="12"/>
        <v>0</v>
      </c>
      <c r="AO23" s="485">
        <v>1</v>
      </c>
      <c r="AP23" s="486">
        <f t="shared" si="13"/>
        <v>25</v>
      </c>
      <c r="AQ23" s="475"/>
      <c r="AR23" s="732">
        <v>2</v>
      </c>
      <c r="AS23" s="452">
        <v>2</v>
      </c>
      <c r="AT23" s="452">
        <v>1</v>
      </c>
      <c r="AU23" s="452" t="s">
        <v>292</v>
      </c>
      <c r="AV23" s="369">
        <f t="shared" si="14"/>
        <v>1</v>
      </c>
      <c r="AW23" s="366">
        <f t="shared" si="15"/>
        <v>25</v>
      </c>
      <c r="AX23" s="369">
        <f t="shared" si="16"/>
        <v>0.19999999999999996</v>
      </c>
      <c r="AY23" s="366">
        <f t="shared" si="17"/>
        <v>4.9999999999999991</v>
      </c>
      <c r="AZ23" s="369">
        <f t="shared" si="18"/>
        <v>0.8</v>
      </c>
      <c r="BA23" s="366">
        <f t="shared" si="19"/>
        <v>20</v>
      </c>
      <c r="BB23" s="474">
        <v>0</v>
      </c>
      <c r="BC23" s="490">
        <v>1</v>
      </c>
      <c r="BD23" s="370">
        <f t="shared" si="20"/>
        <v>25</v>
      </c>
      <c r="BE23" s="371">
        <f t="shared" si="21"/>
        <v>0.25</v>
      </c>
      <c r="BF23" s="452">
        <v>2</v>
      </c>
      <c r="BG23" s="452" t="s">
        <v>291</v>
      </c>
      <c r="BH23" s="369">
        <f t="shared" si="22"/>
        <v>1</v>
      </c>
      <c r="BI23" s="366">
        <f t="shared" si="23"/>
        <v>25</v>
      </c>
      <c r="BJ23" s="371">
        <f t="shared" si="24"/>
        <v>0</v>
      </c>
      <c r="BK23" s="485">
        <v>1</v>
      </c>
      <c r="BL23" s="366">
        <f t="shared" si="25"/>
        <v>25</v>
      </c>
      <c r="BM23" s="474">
        <v>3</v>
      </c>
      <c r="BN23" s="369">
        <f t="shared" si="26"/>
        <v>1</v>
      </c>
      <c r="BO23" s="371">
        <f t="shared" si="27"/>
        <v>0</v>
      </c>
      <c r="BP23" s="478">
        <v>1</v>
      </c>
      <c r="BQ23" s="500"/>
      <c r="BR23" s="502">
        <v>41695</v>
      </c>
      <c r="BS23" s="372" t="str">
        <f t="shared" si="28"/>
        <v>To be realised</v>
      </c>
      <c r="BT23" s="452">
        <v>5</v>
      </c>
      <c r="BU23" s="452">
        <v>10</v>
      </c>
      <c r="BV23" s="373">
        <f t="shared" si="29"/>
        <v>5</v>
      </c>
      <c r="BW23" s="374">
        <f t="shared" si="30"/>
        <v>0</v>
      </c>
      <c r="BX23" s="366">
        <f t="shared" si="31"/>
        <v>0</v>
      </c>
      <c r="BY23" s="387">
        <f t="shared" si="32"/>
        <v>6</v>
      </c>
      <c r="BZ23" s="468" t="s">
        <v>732</v>
      </c>
      <c r="CA23" s="478">
        <v>0</v>
      </c>
      <c r="CB23" s="389">
        <f t="shared" si="33"/>
        <v>0</v>
      </c>
      <c r="CC23" s="468">
        <v>1</v>
      </c>
      <c r="CD23" s="375" t="str">
        <f t="shared" si="34"/>
        <v>Excellent coverage</v>
      </c>
      <c r="CE23" s="474">
        <v>0</v>
      </c>
      <c r="CF23" s="475" t="s">
        <v>293</v>
      </c>
      <c r="CG23" s="509"/>
    </row>
    <row r="24" spans="2:85" s="40" customFormat="1" ht="30.75" customHeight="1" x14ac:dyDescent="0.2">
      <c r="B24" s="449" t="s">
        <v>107</v>
      </c>
      <c r="C24" s="450" t="s">
        <v>535</v>
      </c>
      <c r="D24" s="451" t="s">
        <v>257</v>
      </c>
      <c r="E24" s="450" t="s">
        <v>225</v>
      </c>
      <c r="F24" s="451">
        <v>96.339590000000001</v>
      </c>
      <c r="G24" s="451">
        <v>25.617998</v>
      </c>
      <c r="H24" s="451" t="s">
        <v>449</v>
      </c>
      <c r="I24" s="451" t="s">
        <v>214</v>
      </c>
      <c r="J24" s="452">
        <v>17</v>
      </c>
      <c r="K24" s="452">
        <v>63</v>
      </c>
      <c r="L24" s="452">
        <v>63</v>
      </c>
      <c r="M24" s="362" t="str">
        <f t="shared" si="0"/>
        <v>1. Small</v>
      </c>
      <c r="N24" s="701"/>
      <c r="O24" s="453" t="s">
        <v>276</v>
      </c>
      <c r="P24" s="461" t="s">
        <v>276</v>
      </c>
      <c r="Q24" s="382" t="str">
        <f t="shared" si="35"/>
        <v>Covered</v>
      </c>
      <c r="R24" s="462" t="s">
        <v>629</v>
      </c>
      <c r="S24" s="453" t="s">
        <v>253</v>
      </c>
      <c r="T24" s="380" t="str">
        <f t="shared" si="36"/>
        <v>Documented</v>
      </c>
      <c r="U24" s="468">
        <v>0</v>
      </c>
      <c r="V24" s="452">
        <v>0</v>
      </c>
      <c r="W24" s="469" t="s">
        <v>19</v>
      </c>
      <c r="X24" s="468">
        <v>1</v>
      </c>
      <c r="Y24" s="474">
        <v>0</v>
      </c>
      <c r="Z24" s="475">
        <v>2000</v>
      </c>
      <c r="AA24" s="481">
        <v>0</v>
      </c>
      <c r="AB24" s="482">
        <v>0</v>
      </c>
      <c r="AC24" s="385">
        <f t="shared" si="1"/>
        <v>1</v>
      </c>
      <c r="AD24" s="364">
        <f t="shared" si="2"/>
        <v>63</v>
      </c>
      <c r="AE24" s="365">
        <f t="shared" si="3"/>
        <v>1</v>
      </c>
      <c r="AF24" s="366">
        <f t="shared" si="4"/>
        <v>63</v>
      </c>
      <c r="AG24" s="363">
        <f t="shared" si="5"/>
        <v>1</v>
      </c>
      <c r="AH24" s="366">
        <f t="shared" si="6"/>
        <v>63</v>
      </c>
      <c r="AI24" s="367" t="str">
        <f t="shared" si="7"/>
        <v>80-100%</v>
      </c>
      <c r="AJ24" s="363">
        <f t="shared" si="8"/>
        <v>0</v>
      </c>
      <c r="AK24" s="368">
        <f t="shared" si="9"/>
        <v>0</v>
      </c>
      <c r="AL24" s="366">
        <f t="shared" si="10"/>
        <v>0</v>
      </c>
      <c r="AM24" s="366">
        <f t="shared" si="11"/>
        <v>0</v>
      </c>
      <c r="AN24" s="366">
        <f t="shared" si="12"/>
        <v>0</v>
      </c>
      <c r="AO24" s="485">
        <v>1</v>
      </c>
      <c r="AP24" s="486">
        <f t="shared" si="13"/>
        <v>63</v>
      </c>
      <c r="AQ24" s="475"/>
      <c r="AR24" s="732">
        <v>2</v>
      </c>
      <c r="AS24" s="452">
        <v>2</v>
      </c>
      <c r="AT24" s="452">
        <v>3</v>
      </c>
      <c r="AU24" s="452" t="s">
        <v>291</v>
      </c>
      <c r="AV24" s="369">
        <f t="shared" si="14"/>
        <v>1</v>
      </c>
      <c r="AW24" s="366">
        <f t="shared" si="15"/>
        <v>63</v>
      </c>
      <c r="AX24" s="369">
        <f t="shared" si="16"/>
        <v>4.7619047619047672E-2</v>
      </c>
      <c r="AY24" s="366">
        <f t="shared" si="17"/>
        <v>3.0000000000000036</v>
      </c>
      <c r="AZ24" s="369">
        <f t="shared" si="18"/>
        <v>0.95238095238095233</v>
      </c>
      <c r="BA24" s="366">
        <f t="shared" si="19"/>
        <v>60</v>
      </c>
      <c r="BB24" s="474">
        <v>0</v>
      </c>
      <c r="BC24" s="490">
        <v>1</v>
      </c>
      <c r="BD24" s="370">
        <f t="shared" si="20"/>
        <v>63</v>
      </c>
      <c r="BE24" s="371">
        <f t="shared" si="21"/>
        <v>0.14999999999999991</v>
      </c>
      <c r="BF24" s="452">
        <v>2</v>
      </c>
      <c r="BG24" s="452" t="s">
        <v>291</v>
      </c>
      <c r="BH24" s="369">
        <f t="shared" si="22"/>
        <v>1</v>
      </c>
      <c r="BI24" s="366">
        <f t="shared" si="23"/>
        <v>63</v>
      </c>
      <c r="BJ24" s="371">
        <f t="shared" si="24"/>
        <v>0</v>
      </c>
      <c r="BK24" s="485">
        <v>1</v>
      </c>
      <c r="BL24" s="366">
        <f t="shared" si="25"/>
        <v>63</v>
      </c>
      <c r="BM24" s="474">
        <v>4</v>
      </c>
      <c r="BN24" s="369">
        <f t="shared" si="26"/>
        <v>1</v>
      </c>
      <c r="BO24" s="371">
        <f t="shared" si="27"/>
        <v>0</v>
      </c>
      <c r="BP24" s="478">
        <v>1</v>
      </c>
      <c r="BQ24" s="500"/>
      <c r="BR24" s="502">
        <v>41695</v>
      </c>
      <c r="BS24" s="372" t="str">
        <f t="shared" si="28"/>
        <v>To be realised</v>
      </c>
      <c r="BT24" s="452">
        <v>17</v>
      </c>
      <c r="BU24" s="452">
        <v>10</v>
      </c>
      <c r="BV24" s="373">
        <f t="shared" si="29"/>
        <v>17</v>
      </c>
      <c r="BW24" s="374">
        <f t="shared" si="30"/>
        <v>0</v>
      </c>
      <c r="BX24" s="366">
        <f t="shared" si="31"/>
        <v>0</v>
      </c>
      <c r="BY24" s="387">
        <f t="shared" si="32"/>
        <v>6</v>
      </c>
      <c r="BZ24" s="468" t="s">
        <v>732</v>
      </c>
      <c r="CA24" s="478">
        <v>0</v>
      </c>
      <c r="CB24" s="389">
        <f t="shared" si="33"/>
        <v>0</v>
      </c>
      <c r="CC24" s="468">
        <v>2</v>
      </c>
      <c r="CD24" s="375" t="str">
        <f t="shared" si="34"/>
        <v>Excellent coverage</v>
      </c>
      <c r="CE24" s="474">
        <v>0</v>
      </c>
      <c r="CF24" s="469" t="s">
        <v>293</v>
      </c>
      <c r="CG24" s="509"/>
    </row>
    <row r="25" spans="2:85" s="40" customFormat="1" ht="30.75" customHeight="1" x14ac:dyDescent="0.2">
      <c r="B25" s="449" t="s">
        <v>107</v>
      </c>
      <c r="C25" s="450" t="s">
        <v>536</v>
      </c>
      <c r="D25" s="451" t="s">
        <v>257</v>
      </c>
      <c r="E25" s="450" t="s">
        <v>120</v>
      </c>
      <c r="F25" s="451">
        <v>96.341352999999998</v>
      </c>
      <c r="G25" s="451">
        <v>25.613894999999999</v>
      </c>
      <c r="H25" s="451" t="s">
        <v>449</v>
      </c>
      <c r="I25" s="451" t="s">
        <v>214</v>
      </c>
      <c r="J25" s="452">
        <v>55</v>
      </c>
      <c r="K25" s="452">
        <v>272</v>
      </c>
      <c r="L25" s="452">
        <v>272</v>
      </c>
      <c r="M25" s="362" t="str">
        <f t="shared" si="0"/>
        <v>2. Medium</v>
      </c>
      <c r="N25" s="701" t="s">
        <v>834</v>
      </c>
      <c r="O25" s="453" t="s">
        <v>231</v>
      </c>
      <c r="P25" s="461" t="s">
        <v>231</v>
      </c>
      <c r="Q25" s="382" t="str">
        <f t="shared" si="35"/>
        <v>Covered</v>
      </c>
      <c r="R25" s="462">
        <v>42369</v>
      </c>
      <c r="S25" s="453" t="s">
        <v>253</v>
      </c>
      <c r="T25" s="380" t="str">
        <f t="shared" si="36"/>
        <v>Documented</v>
      </c>
      <c r="U25" s="468">
        <v>0</v>
      </c>
      <c r="V25" s="452">
        <v>0</v>
      </c>
      <c r="W25" s="469" t="s">
        <v>19</v>
      </c>
      <c r="X25" s="468">
        <v>2</v>
      </c>
      <c r="Y25" s="474">
        <v>0</v>
      </c>
      <c r="Z25" s="475">
        <v>3000</v>
      </c>
      <c r="AA25" s="481">
        <v>0</v>
      </c>
      <c r="AB25" s="482">
        <v>0</v>
      </c>
      <c r="AC25" s="385">
        <f t="shared" si="1"/>
        <v>1</v>
      </c>
      <c r="AD25" s="364">
        <f t="shared" si="2"/>
        <v>272</v>
      </c>
      <c r="AE25" s="365">
        <f t="shared" si="3"/>
        <v>1</v>
      </c>
      <c r="AF25" s="366">
        <f t="shared" si="4"/>
        <v>272</v>
      </c>
      <c r="AG25" s="363">
        <f t="shared" si="5"/>
        <v>1</v>
      </c>
      <c r="AH25" s="366">
        <f t="shared" si="6"/>
        <v>272</v>
      </c>
      <c r="AI25" s="367" t="str">
        <f t="shared" si="7"/>
        <v>80-100%</v>
      </c>
      <c r="AJ25" s="363">
        <f t="shared" si="8"/>
        <v>0</v>
      </c>
      <c r="AK25" s="368">
        <f t="shared" si="9"/>
        <v>0</v>
      </c>
      <c r="AL25" s="366">
        <f t="shared" si="10"/>
        <v>0</v>
      </c>
      <c r="AM25" s="366">
        <f t="shared" si="11"/>
        <v>0</v>
      </c>
      <c r="AN25" s="366">
        <f t="shared" si="12"/>
        <v>0</v>
      </c>
      <c r="AO25" s="485">
        <v>1</v>
      </c>
      <c r="AP25" s="486">
        <f t="shared" si="13"/>
        <v>272</v>
      </c>
      <c r="AQ25" s="475"/>
      <c r="AR25" s="732">
        <v>5</v>
      </c>
      <c r="AS25" s="452">
        <v>0</v>
      </c>
      <c r="AT25" s="452">
        <v>10</v>
      </c>
      <c r="AU25" s="452" t="s">
        <v>89</v>
      </c>
      <c r="AV25" s="369">
        <f t="shared" si="14"/>
        <v>0.73529411764705888</v>
      </c>
      <c r="AW25" s="366">
        <f t="shared" si="15"/>
        <v>200</v>
      </c>
      <c r="AX25" s="369">
        <f t="shared" si="16"/>
        <v>0</v>
      </c>
      <c r="AY25" s="366">
        <f t="shared" si="17"/>
        <v>0</v>
      </c>
      <c r="AZ25" s="369">
        <f t="shared" si="18"/>
        <v>0.73529411764705888</v>
      </c>
      <c r="BA25" s="366">
        <f t="shared" si="19"/>
        <v>200</v>
      </c>
      <c r="BB25" s="474">
        <v>0</v>
      </c>
      <c r="BC25" s="490">
        <v>0.74</v>
      </c>
      <c r="BD25" s="370">
        <f t="shared" si="20"/>
        <v>201.28</v>
      </c>
      <c r="BE25" s="371">
        <f t="shared" si="21"/>
        <v>3.5999999999999996</v>
      </c>
      <c r="BF25" s="452">
        <v>2</v>
      </c>
      <c r="BG25" s="452" t="s">
        <v>291</v>
      </c>
      <c r="BH25" s="369">
        <f t="shared" si="22"/>
        <v>0.73529411764705888</v>
      </c>
      <c r="BI25" s="366">
        <f t="shared" si="23"/>
        <v>200</v>
      </c>
      <c r="BJ25" s="371">
        <f t="shared" si="24"/>
        <v>0.7200000000000002</v>
      </c>
      <c r="BK25" s="485">
        <v>0.74</v>
      </c>
      <c r="BL25" s="366">
        <f t="shared" si="25"/>
        <v>201.28</v>
      </c>
      <c r="BM25" s="474">
        <v>3</v>
      </c>
      <c r="BN25" s="369">
        <f t="shared" si="26"/>
        <v>1</v>
      </c>
      <c r="BO25" s="371">
        <f t="shared" si="27"/>
        <v>0</v>
      </c>
      <c r="BP25" s="478">
        <v>1</v>
      </c>
      <c r="BQ25" s="500"/>
      <c r="BR25" s="502">
        <v>41817</v>
      </c>
      <c r="BS25" s="372" t="str">
        <f t="shared" si="28"/>
        <v>To be realised</v>
      </c>
      <c r="BT25" s="452">
        <v>55</v>
      </c>
      <c r="BU25" s="452">
        <v>2</v>
      </c>
      <c r="BV25" s="373">
        <f t="shared" si="29"/>
        <v>55</v>
      </c>
      <c r="BW25" s="374">
        <f t="shared" si="30"/>
        <v>0</v>
      </c>
      <c r="BX25" s="366">
        <f t="shared" si="31"/>
        <v>0</v>
      </c>
      <c r="BY25" s="387">
        <f t="shared" si="32"/>
        <v>10</v>
      </c>
      <c r="BZ25" s="468"/>
      <c r="CA25" s="478">
        <v>1</v>
      </c>
      <c r="CB25" s="389">
        <f t="shared" si="33"/>
        <v>272</v>
      </c>
      <c r="CC25" s="468">
        <v>0</v>
      </c>
      <c r="CD25" s="375" t="str">
        <f t="shared" si="34"/>
        <v>No coverage</v>
      </c>
      <c r="CE25" s="474">
        <v>0</v>
      </c>
      <c r="CF25" s="469" t="s">
        <v>293</v>
      </c>
      <c r="CG25" s="509"/>
    </row>
    <row r="26" spans="2:85" s="40" customFormat="1" ht="30.75" customHeight="1" x14ac:dyDescent="0.2">
      <c r="B26" s="449" t="s">
        <v>107</v>
      </c>
      <c r="C26" s="450" t="s">
        <v>537</v>
      </c>
      <c r="D26" s="451" t="s">
        <v>257</v>
      </c>
      <c r="E26" s="450" t="s">
        <v>121</v>
      </c>
      <c r="F26" s="451">
        <v>96.279200000000003</v>
      </c>
      <c r="G26" s="451">
        <v>25.56551</v>
      </c>
      <c r="H26" s="451" t="s">
        <v>449</v>
      </c>
      <c r="I26" s="451" t="s">
        <v>214</v>
      </c>
      <c r="J26" s="452">
        <v>11</v>
      </c>
      <c r="K26" s="452">
        <v>42</v>
      </c>
      <c r="L26" s="452">
        <v>42</v>
      </c>
      <c r="M26" s="362" t="str">
        <f t="shared" si="0"/>
        <v>1. Small</v>
      </c>
      <c r="N26" s="701"/>
      <c r="O26" s="453" t="s">
        <v>276</v>
      </c>
      <c r="P26" s="461" t="s">
        <v>276</v>
      </c>
      <c r="Q26" s="382" t="str">
        <f t="shared" si="35"/>
        <v>Covered</v>
      </c>
      <c r="R26" s="462" t="s">
        <v>629</v>
      </c>
      <c r="S26" s="453" t="s">
        <v>253</v>
      </c>
      <c r="T26" s="380" t="str">
        <f t="shared" si="36"/>
        <v>Documented</v>
      </c>
      <c r="U26" s="468">
        <v>0</v>
      </c>
      <c r="V26" s="452">
        <v>0</v>
      </c>
      <c r="W26" s="469" t="s">
        <v>19</v>
      </c>
      <c r="X26" s="468">
        <v>1</v>
      </c>
      <c r="Y26" s="474">
        <v>0</v>
      </c>
      <c r="Z26" s="475">
        <v>1600</v>
      </c>
      <c r="AA26" s="481">
        <v>0</v>
      </c>
      <c r="AB26" s="482">
        <v>0</v>
      </c>
      <c r="AC26" s="385">
        <f t="shared" si="1"/>
        <v>1</v>
      </c>
      <c r="AD26" s="364">
        <f t="shared" si="2"/>
        <v>42</v>
      </c>
      <c r="AE26" s="365">
        <f t="shared" si="3"/>
        <v>1</v>
      </c>
      <c r="AF26" s="366">
        <f t="shared" si="4"/>
        <v>42</v>
      </c>
      <c r="AG26" s="363">
        <f t="shared" si="5"/>
        <v>1</v>
      </c>
      <c r="AH26" s="366">
        <f t="shared" si="6"/>
        <v>42</v>
      </c>
      <c r="AI26" s="367" t="str">
        <f t="shared" si="7"/>
        <v>80-100%</v>
      </c>
      <c r="AJ26" s="363">
        <f t="shared" si="8"/>
        <v>0</v>
      </c>
      <c r="AK26" s="368">
        <f t="shared" si="9"/>
        <v>0</v>
      </c>
      <c r="AL26" s="366">
        <f t="shared" si="10"/>
        <v>0</v>
      </c>
      <c r="AM26" s="366">
        <f t="shared" si="11"/>
        <v>0</v>
      </c>
      <c r="AN26" s="366">
        <f t="shared" si="12"/>
        <v>0</v>
      </c>
      <c r="AO26" s="485">
        <v>1</v>
      </c>
      <c r="AP26" s="486">
        <f t="shared" si="13"/>
        <v>42</v>
      </c>
      <c r="AQ26" s="475"/>
      <c r="AR26" s="732">
        <v>1</v>
      </c>
      <c r="AS26" s="452">
        <v>2</v>
      </c>
      <c r="AT26" s="452">
        <v>2</v>
      </c>
      <c r="AU26" s="452" t="s">
        <v>89</v>
      </c>
      <c r="AV26" s="369">
        <f t="shared" si="14"/>
        <v>1</v>
      </c>
      <c r="AW26" s="366">
        <f t="shared" si="15"/>
        <v>42</v>
      </c>
      <c r="AX26" s="369">
        <f t="shared" si="16"/>
        <v>4.7619047619047672E-2</v>
      </c>
      <c r="AY26" s="366">
        <f t="shared" si="17"/>
        <v>2.0000000000000022</v>
      </c>
      <c r="AZ26" s="369">
        <f t="shared" si="18"/>
        <v>0.95238095238095233</v>
      </c>
      <c r="BA26" s="366">
        <f t="shared" si="19"/>
        <v>40</v>
      </c>
      <c r="BB26" s="474">
        <v>0</v>
      </c>
      <c r="BC26" s="490">
        <v>1</v>
      </c>
      <c r="BD26" s="370">
        <f t="shared" si="20"/>
        <v>42</v>
      </c>
      <c r="BE26" s="371">
        <f t="shared" si="21"/>
        <v>0.10000000000000009</v>
      </c>
      <c r="BF26" s="452">
        <v>2</v>
      </c>
      <c r="BG26" s="452" t="s">
        <v>89</v>
      </c>
      <c r="BH26" s="369">
        <f t="shared" si="22"/>
        <v>1</v>
      </c>
      <c r="BI26" s="366">
        <f t="shared" si="23"/>
        <v>42</v>
      </c>
      <c r="BJ26" s="371">
        <f t="shared" si="24"/>
        <v>0</v>
      </c>
      <c r="BK26" s="485">
        <v>1</v>
      </c>
      <c r="BL26" s="366">
        <f t="shared" si="25"/>
        <v>42</v>
      </c>
      <c r="BM26" s="474">
        <v>6</v>
      </c>
      <c r="BN26" s="369">
        <f t="shared" si="26"/>
        <v>1</v>
      </c>
      <c r="BO26" s="371">
        <f t="shared" si="27"/>
        <v>0</v>
      </c>
      <c r="BP26" s="478">
        <v>1</v>
      </c>
      <c r="BQ26" s="500"/>
      <c r="BR26" s="502">
        <v>41695</v>
      </c>
      <c r="BS26" s="372" t="str">
        <f t="shared" si="28"/>
        <v>To be realised</v>
      </c>
      <c r="BT26" s="452">
        <v>11</v>
      </c>
      <c r="BU26" s="452">
        <v>10</v>
      </c>
      <c r="BV26" s="373">
        <f t="shared" si="29"/>
        <v>11</v>
      </c>
      <c r="BW26" s="374">
        <f t="shared" si="30"/>
        <v>0</v>
      </c>
      <c r="BX26" s="366">
        <f t="shared" si="31"/>
        <v>0</v>
      </c>
      <c r="BY26" s="387">
        <f t="shared" si="32"/>
        <v>6</v>
      </c>
      <c r="BZ26" s="468" t="s">
        <v>732</v>
      </c>
      <c r="CA26" s="478">
        <v>0</v>
      </c>
      <c r="CB26" s="389">
        <f t="shared" si="33"/>
        <v>0</v>
      </c>
      <c r="CC26" s="468">
        <v>2</v>
      </c>
      <c r="CD26" s="375" t="str">
        <f t="shared" si="34"/>
        <v>Excellent coverage</v>
      </c>
      <c r="CE26" s="474">
        <v>0</v>
      </c>
      <c r="CF26" s="469" t="s">
        <v>293</v>
      </c>
      <c r="CG26" s="509"/>
    </row>
    <row r="27" spans="2:85" s="40" customFormat="1" ht="30.75" customHeight="1" x14ac:dyDescent="0.2">
      <c r="B27" s="449" t="s">
        <v>107</v>
      </c>
      <c r="C27" s="450" t="s">
        <v>538</v>
      </c>
      <c r="D27" s="451" t="s">
        <v>257</v>
      </c>
      <c r="E27" s="450" t="s">
        <v>122</v>
      </c>
      <c r="F27" s="451">
        <v>96.353030000000004</v>
      </c>
      <c r="G27" s="451">
        <v>25.668399999999998</v>
      </c>
      <c r="H27" s="451" t="s">
        <v>449</v>
      </c>
      <c r="I27" s="451" t="s">
        <v>214</v>
      </c>
      <c r="J27" s="452">
        <v>8</v>
      </c>
      <c r="K27" s="452">
        <v>40</v>
      </c>
      <c r="L27" s="452">
        <v>40</v>
      </c>
      <c r="M27" s="362" t="str">
        <f t="shared" si="0"/>
        <v>1. Small</v>
      </c>
      <c r="N27" s="701"/>
      <c r="O27" s="453" t="s">
        <v>276</v>
      </c>
      <c r="P27" s="461" t="s">
        <v>276</v>
      </c>
      <c r="Q27" s="382" t="str">
        <f t="shared" si="35"/>
        <v>Covered</v>
      </c>
      <c r="R27" s="462" t="s">
        <v>629</v>
      </c>
      <c r="S27" s="453" t="s">
        <v>253</v>
      </c>
      <c r="T27" s="380" t="str">
        <f t="shared" si="36"/>
        <v>Documented</v>
      </c>
      <c r="U27" s="468">
        <v>0</v>
      </c>
      <c r="V27" s="452">
        <v>0</v>
      </c>
      <c r="W27" s="469" t="s">
        <v>19</v>
      </c>
      <c r="X27" s="468">
        <v>0</v>
      </c>
      <c r="Y27" s="474">
        <v>0</v>
      </c>
      <c r="Z27" s="475">
        <v>3750</v>
      </c>
      <c r="AA27" s="481">
        <v>0</v>
      </c>
      <c r="AB27" s="482">
        <v>0</v>
      </c>
      <c r="AC27" s="385">
        <f t="shared" si="1"/>
        <v>1</v>
      </c>
      <c r="AD27" s="364">
        <f t="shared" si="2"/>
        <v>40</v>
      </c>
      <c r="AE27" s="365">
        <f t="shared" si="3"/>
        <v>1</v>
      </c>
      <c r="AF27" s="366">
        <f t="shared" si="4"/>
        <v>40</v>
      </c>
      <c r="AG27" s="363">
        <f t="shared" si="5"/>
        <v>1</v>
      </c>
      <c r="AH27" s="366">
        <f t="shared" si="6"/>
        <v>40</v>
      </c>
      <c r="AI27" s="367" t="str">
        <f t="shared" si="7"/>
        <v>80-100%</v>
      </c>
      <c r="AJ27" s="363">
        <f t="shared" si="8"/>
        <v>0</v>
      </c>
      <c r="AK27" s="368">
        <f t="shared" si="9"/>
        <v>0</v>
      </c>
      <c r="AL27" s="366">
        <f t="shared" si="10"/>
        <v>0.1</v>
      </c>
      <c r="AM27" s="366">
        <f t="shared" si="11"/>
        <v>0</v>
      </c>
      <c r="AN27" s="366">
        <f t="shared" si="12"/>
        <v>0</v>
      </c>
      <c r="AO27" s="485">
        <v>1</v>
      </c>
      <c r="AP27" s="486">
        <f t="shared" si="13"/>
        <v>40</v>
      </c>
      <c r="AQ27" s="475"/>
      <c r="AR27" s="732">
        <v>8</v>
      </c>
      <c r="AS27" s="452">
        <v>0</v>
      </c>
      <c r="AT27" s="452">
        <v>8</v>
      </c>
      <c r="AU27" s="452" t="s">
        <v>290</v>
      </c>
      <c r="AV27" s="369">
        <f t="shared" si="14"/>
        <v>1</v>
      </c>
      <c r="AW27" s="366">
        <f t="shared" si="15"/>
        <v>40</v>
      </c>
      <c r="AX27" s="369">
        <f t="shared" si="16"/>
        <v>0</v>
      </c>
      <c r="AY27" s="366">
        <f t="shared" si="17"/>
        <v>0</v>
      </c>
      <c r="AZ27" s="369">
        <f t="shared" si="18"/>
        <v>1</v>
      </c>
      <c r="BA27" s="366">
        <f t="shared" si="19"/>
        <v>40</v>
      </c>
      <c r="BB27" s="474">
        <v>0</v>
      </c>
      <c r="BC27" s="490">
        <v>1</v>
      </c>
      <c r="BD27" s="370">
        <f t="shared" si="20"/>
        <v>40</v>
      </c>
      <c r="BE27" s="371">
        <f t="shared" si="21"/>
        <v>0</v>
      </c>
      <c r="BF27" s="452">
        <v>2</v>
      </c>
      <c r="BG27" s="452" t="s">
        <v>89</v>
      </c>
      <c r="BH27" s="369">
        <f t="shared" si="22"/>
        <v>1</v>
      </c>
      <c r="BI27" s="366">
        <f t="shared" si="23"/>
        <v>40</v>
      </c>
      <c r="BJ27" s="371">
        <f t="shared" si="24"/>
        <v>0</v>
      </c>
      <c r="BK27" s="485">
        <v>1</v>
      </c>
      <c r="BL27" s="366">
        <f t="shared" si="25"/>
        <v>40</v>
      </c>
      <c r="BM27" s="474">
        <v>2</v>
      </c>
      <c r="BN27" s="369">
        <f t="shared" si="26"/>
        <v>1</v>
      </c>
      <c r="BO27" s="371">
        <f t="shared" si="27"/>
        <v>0</v>
      </c>
      <c r="BP27" s="478">
        <v>1</v>
      </c>
      <c r="BQ27" s="500"/>
      <c r="BR27" s="502">
        <v>41695</v>
      </c>
      <c r="BS27" s="372" t="str">
        <f t="shared" si="28"/>
        <v>To be realised</v>
      </c>
      <c r="BT27" s="452">
        <v>8</v>
      </c>
      <c r="BU27" s="452">
        <v>10</v>
      </c>
      <c r="BV27" s="373">
        <f t="shared" si="29"/>
        <v>8</v>
      </c>
      <c r="BW27" s="374">
        <f t="shared" si="30"/>
        <v>0</v>
      </c>
      <c r="BX27" s="366">
        <f t="shared" si="31"/>
        <v>0</v>
      </c>
      <c r="BY27" s="387">
        <f t="shared" si="32"/>
        <v>6</v>
      </c>
      <c r="BZ27" s="468" t="s">
        <v>732</v>
      </c>
      <c r="CA27" s="478">
        <v>0</v>
      </c>
      <c r="CB27" s="389">
        <f t="shared" si="33"/>
        <v>0</v>
      </c>
      <c r="CC27" s="468">
        <v>2</v>
      </c>
      <c r="CD27" s="375" t="str">
        <f t="shared" si="34"/>
        <v>Excellent coverage</v>
      </c>
      <c r="CE27" s="474">
        <v>0</v>
      </c>
      <c r="CF27" s="469" t="s">
        <v>293</v>
      </c>
      <c r="CG27" s="509"/>
    </row>
    <row r="28" spans="2:85" s="40" customFormat="1" ht="30.75" customHeight="1" x14ac:dyDescent="0.2">
      <c r="B28" s="449" t="s">
        <v>107</v>
      </c>
      <c r="C28" s="450" t="s">
        <v>539</v>
      </c>
      <c r="D28" s="451" t="s">
        <v>257</v>
      </c>
      <c r="E28" s="450" t="s">
        <v>123</v>
      </c>
      <c r="F28" s="451">
        <v>96.286680000000004</v>
      </c>
      <c r="G28" s="451">
        <v>25.577559999999998</v>
      </c>
      <c r="H28" s="451" t="s">
        <v>449</v>
      </c>
      <c r="I28" s="451" t="s">
        <v>214</v>
      </c>
      <c r="J28" s="452">
        <v>40</v>
      </c>
      <c r="K28" s="452">
        <v>190</v>
      </c>
      <c r="L28" s="452">
        <v>190</v>
      </c>
      <c r="M28" s="362" t="str">
        <f t="shared" si="0"/>
        <v>1. Small</v>
      </c>
      <c r="N28" s="701"/>
      <c r="O28" s="453" t="s">
        <v>276</v>
      </c>
      <c r="P28" s="461" t="s">
        <v>276</v>
      </c>
      <c r="Q28" s="382" t="str">
        <f t="shared" si="35"/>
        <v>Covered</v>
      </c>
      <c r="R28" s="462" t="s">
        <v>629</v>
      </c>
      <c r="S28" s="453" t="s">
        <v>253</v>
      </c>
      <c r="T28" s="380" t="str">
        <f t="shared" si="36"/>
        <v>Documented</v>
      </c>
      <c r="U28" s="468">
        <v>0</v>
      </c>
      <c r="V28" s="452">
        <v>0</v>
      </c>
      <c r="W28" s="469" t="s">
        <v>19</v>
      </c>
      <c r="X28" s="468">
        <v>1</v>
      </c>
      <c r="Y28" s="474">
        <v>0</v>
      </c>
      <c r="Z28" s="475">
        <v>4800</v>
      </c>
      <c r="AA28" s="481">
        <v>0</v>
      </c>
      <c r="AB28" s="482">
        <v>0</v>
      </c>
      <c r="AC28" s="385">
        <f t="shared" si="1"/>
        <v>1</v>
      </c>
      <c r="AD28" s="364">
        <f t="shared" si="2"/>
        <v>190</v>
      </c>
      <c r="AE28" s="365">
        <f t="shared" si="3"/>
        <v>1</v>
      </c>
      <c r="AF28" s="366">
        <f t="shared" si="4"/>
        <v>190</v>
      </c>
      <c r="AG28" s="363">
        <f t="shared" si="5"/>
        <v>1</v>
      </c>
      <c r="AH28" s="366">
        <f t="shared" si="6"/>
        <v>190</v>
      </c>
      <c r="AI28" s="367" t="str">
        <f t="shared" si="7"/>
        <v>80-100%</v>
      </c>
      <c r="AJ28" s="363">
        <f t="shared" si="8"/>
        <v>0</v>
      </c>
      <c r="AK28" s="368">
        <f t="shared" si="9"/>
        <v>0</v>
      </c>
      <c r="AL28" s="366">
        <f t="shared" si="10"/>
        <v>0</v>
      </c>
      <c r="AM28" s="366">
        <f t="shared" si="11"/>
        <v>0</v>
      </c>
      <c r="AN28" s="366">
        <f t="shared" si="12"/>
        <v>0</v>
      </c>
      <c r="AO28" s="485">
        <v>1</v>
      </c>
      <c r="AP28" s="486">
        <f t="shared" si="13"/>
        <v>190</v>
      </c>
      <c r="AQ28" s="475"/>
      <c r="AR28" s="732">
        <v>9</v>
      </c>
      <c r="AS28" s="452">
        <v>5</v>
      </c>
      <c r="AT28" s="452">
        <v>4</v>
      </c>
      <c r="AU28" s="452" t="s">
        <v>89</v>
      </c>
      <c r="AV28" s="369">
        <f t="shared" si="14"/>
        <v>0.94736842105263153</v>
      </c>
      <c r="AW28" s="366">
        <f t="shared" si="15"/>
        <v>180</v>
      </c>
      <c r="AX28" s="369">
        <f t="shared" si="16"/>
        <v>0.52631578947368418</v>
      </c>
      <c r="AY28" s="366">
        <f t="shared" si="17"/>
        <v>100</v>
      </c>
      <c r="AZ28" s="369">
        <f t="shared" si="18"/>
        <v>0.42105263157894735</v>
      </c>
      <c r="BA28" s="366">
        <f t="shared" si="19"/>
        <v>80</v>
      </c>
      <c r="BB28" s="474">
        <v>0</v>
      </c>
      <c r="BC28" s="490">
        <v>0.95</v>
      </c>
      <c r="BD28" s="370">
        <f t="shared" si="20"/>
        <v>180.5</v>
      </c>
      <c r="BE28" s="371">
        <f t="shared" si="21"/>
        <v>5.5</v>
      </c>
      <c r="BF28" s="452">
        <v>3</v>
      </c>
      <c r="BG28" s="452" t="s">
        <v>89</v>
      </c>
      <c r="BH28" s="369">
        <f t="shared" si="22"/>
        <v>1</v>
      </c>
      <c r="BI28" s="366">
        <f t="shared" si="23"/>
        <v>190</v>
      </c>
      <c r="BJ28" s="371">
        <f t="shared" si="24"/>
        <v>0</v>
      </c>
      <c r="BK28" s="485">
        <v>1</v>
      </c>
      <c r="BL28" s="366">
        <f t="shared" si="25"/>
        <v>190</v>
      </c>
      <c r="BM28" s="474">
        <v>3</v>
      </c>
      <c r="BN28" s="369">
        <f t="shared" si="26"/>
        <v>1</v>
      </c>
      <c r="BO28" s="371">
        <f t="shared" si="27"/>
        <v>0</v>
      </c>
      <c r="BP28" s="478">
        <v>1</v>
      </c>
      <c r="BQ28" s="500" t="s">
        <v>742</v>
      </c>
      <c r="BR28" s="502">
        <v>41695</v>
      </c>
      <c r="BS28" s="372" t="str">
        <f t="shared" si="28"/>
        <v>To be realised</v>
      </c>
      <c r="BT28" s="452">
        <v>40</v>
      </c>
      <c r="BU28" s="452">
        <v>10</v>
      </c>
      <c r="BV28" s="373">
        <f t="shared" si="29"/>
        <v>40</v>
      </c>
      <c r="BW28" s="374">
        <f t="shared" si="30"/>
        <v>0</v>
      </c>
      <c r="BX28" s="366">
        <f t="shared" si="31"/>
        <v>0</v>
      </c>
      <c r="BY28" s="387">
        <f t="shared" si="32"/>
        <v>6</v>
      </c>
      <c r="BZ28" s="468" t="s">
        <v>732</v>
      </c>
      <c r="CA28" s="478">
        <v>0</v>
      </c>
      <c r="CB28" s="389">
        <f t="shared" si="33"/>
        <v>0</v>
      </c>
      <c r="CC28" s="468">
        <v>2</v>
      </c>
      <c r="CD28" s="375" t="str">
        <f t="shared" si="34"/>
        <v>Excellent coverage</v>
      </c>
      <c r="CE28" s="474">
        <v>0</v>
      </c>
      <c r="CF28" s="469" t="s">
        <v>293</v>
      </c>
      <c r="CG28" s="509"/>
    </row>
    <row r="29" spans="2:85" s="40" customFormat="1" ht="30.75" customHeight="1" x14ac:dyDescent="0.2">
      <c r="B29" s="449" t="s">
        <v>107</v>
      </c>
      <c r="C29" s="450" t="s">
        <v>540</v>
      </c>
      <c r="D29" s="451" t="s">
        <v>257</v>
      </c>
      <c r="E29" s="450" t="s">
        <v>124</v>
      </c>
      <c r="F29" s="451">
        <v>96.306910999999999</v>
      </c>
      <c r="G29" s="451">
        <v>25.599250000000001</v>
      </c>
      <c r="H29" s="451" t="s">
        <v>449</v>
      </c>
      <c r="I29" s="451" t="s">
        <v>214</v>
      </c>
      <c r="J29" s="452">
        <v>22</v>
      </c>
      <c r="K29" s="452">
        <v>80</v>
      </c>
      <c r="L29" s="452">
        <v>80</v>
      </c>
      <c r="M29" s="362" t="str">
        <f t="shared" si="0"/>
        <v>1. Small</v>
      </c>
      <c r="N29" s="701"/>
      <c r="O29" s="453" t="s">
        <v>276</v>
      </c>
      <c r="P29" s="461" t="s">
        <v>276</v>
      </c>
      <c r="Q29" s="382" t="str">
        <f t="shared" si="35"/>
        <v>Covered</v>
      </c>
      <c r="R29" s="462" t="s">
        <v>629</v>
      </c>
      <c r="S29" s="453" t="s">
        <v>253</v>
      </c>
      <c r="T29" s="380" t="str">
        <f t="shared" si="36"/>
        <v>Documented</v>
      </c>
      <c r="U29" s="468">
        <v>0</v>
      </c>
      <c r="V29" s="452">
        <v>0</v>
      </c>
      <c r="W29" s="469" t="s">
        <v>19</v>
      </c>
      <c r="X29" s="468">
        <v>0</v>
      </c>
      <c r="Y29" s="474">
        <v>0</v>
      </c>
      <c r="Z29" s="475">
        <v>5600</v>
      </c>
      <c r="AA29" s="481">
        <v>0</v>
      </c>
      <c r="AB29" s="482">
        <v>0</v>
      </c>
      <c r="AC29" s="385">
        <f t="shared" si="1"/>
        <v>1</v>
      </c>
      <c r="AD29" s="364">
        <f t="shared" si="2"/>
        <v>80</v>
      </c>
      <c r="AE29" s="365">
        <f t="shared" si="3"/>
        <v>1</v>
      </c>
      <c r="AF29" s="366">
        <f t="shared" si="4"/>
        <v>80</v>
      </c>
      <c r="AG29" s="363">
        <f t="shared" si="5"/>
        <v>1</v>
      </c>
      <c r="AH29" s="366">
        <f t="shared" si="6"/>
        <v>80</v>
      </c>
      <c r="AI29" s="367" t="str">
        <f t="shared" si="7"/>
        <v>80-100%</v>
      </c>
      <c r="AJ29" s="363">
        <f t="shared" si="8"/>
        <v>0</v>
      </c>
      <c r="AK29" s="368">
        <f t="shared" si="9"/>
        <v>0</v>
      </c>
      <c r="AL29" s="366">
        <f t="shared" si="10"/>
        <v>0.2</v>
      </c>
      <c r="AM29" s="366">
        <f t="shared" si="11"/>
        <v>0</v>
      </c>
      <c r="AN29" s="366">
        <f t="shared" si="12"/>
        <v>0</v>
      </c>
      <c r="AO29" s="485">
        <v>1</v>
      </c>
      <c r="AP29" s="486">
        <f t="shared" si="13"/>
        <v>80</v>
      </c>
      <c r="AQ29" s="475"/>
      <c r="AR29" s="732">
        <v>6</v>
      </c>
      <c r="AS29" s="452">
        <v>3</v>
      </c>
      <c r="AT29" s="452">
        <v>1</v>
      </c>
      <c r="AU29" s="452" t="s">
        <v>290</v>
      </c>
      <c r="AV29" s="369">
        <f t="shared" si="14"/>
        <v>1</v>
      </c>
      <c r="AW29" s="366">
        <f t="shared" si="15"/>
        <v>80</v>
      </c>
      <c r="AX29" s="369">
        <f t="shared" si="16"/>
        <v>0.75</v>
      </c>
      <c r="AY29" s="366">
        <f t="shared" si="17"/>
        <v>60</v>
      </c>
      <c r="AZ29" s="369">
        <f t="shared" si="18"/>
        <v>0.25</v>
      </c>
      <c r="BA29" s="366">
        <f t="shared" si="19"/>
        <v>20</v>
      </c>
      <c r="BB29" s="474">
        <v>0</v>
      </c>
      <c r="BC29" s="490">
        <v>1</v>
      </c>
      <c r="BD29" s="370">
        <f t="shared" si="20"/>
        <v>80</v>
      </c>
      <c r="BE29" s="371">
        <f t="shared" si="21"/>
        <v>3</v>
      </c>
      <c r="BF29" s="452">
        <v>2</v>
      </c>
      <c r="BG29" s="452" t="s">
        <v>291</v>
      </c>
      <c r="BH29" s="369">
        <f t="shared" si="22"/>
        <v>1</v>
      </c>
      <c r="BI29" s="366">
        <f t="shared" si="23"/>
        <v>80</v>
      </c>
      <c r="BJ29" s="371">
        <f t="shared" si="24"/>
        <v>0</v>
      </c>
      <c r="BK29" s="485">
        <v>1</v>
      </c>
      <c r="BL29" s="366">
        <f t="shared" si="25"/>
        <v>80</v>
      </c>
      <c r="BM29" s="474">
        <v>3</v>
      </c>
      <c r="BN29" s="369">
        <f t="shared" si="26"/>
        <v>1</v>
      </c>
      <c r="BO29" s="371">
        <f t="shared" si="27"/>
        <v>0</v>
      </c>
      <c r="BP29" s="478">
        <v>1</v>
      </c>
      <c r="BQ29" s="500" t="s">
        <v>730</v>
      </c>
      <c r="BR29" s="502">
        <v>41695</v>
      </c>
      <c r="BS29" s="372" t="str">
        <f t="shared" si="28"/>
        <v>To be realised</v>
      </c>
      <c r="BT29" s="452">
        <v>22</v>
      </c>
      <c r="BU29" s="452">
        <v>10</v>
      </c>
      <c r="BV29" s="373">
        <f t="shared" si="29"/>
        <v>22</v>
      </c>
      <c r="BW29" s="374">
        <f t="shared" si="30"/>
        <v>0</v>
      </c>
      <c r="BX29" s="366">
        <f t="shared" si="31"/>
        <v>0</v>
      </c>
      <c r="BY29" s="387">
        <f t="shared" si="32"/>
        <v>6</v>
      </c>
      <c r="BZ29" s="468" t="s">
        <v>732</v>
      </c>
      <c r="CA29" s="478">
        <v>0</v>
      </c>
      <c r="CB29" s="389">
        <f t="shared" si="33"/>
        <v>0</v>
      </c>
      <c r="CC29" s="468">
        <v>2</v>
      </c>
      <c r="CD29" s="375" t="str">
        <f t="shared" si="34"/>
        <v>Excellent coverage</v>
      </c>
      <c r="CE29" s="474">
        <v>0</v>
      </c>
      <c r="CF29" s="469" t="s">
        <v>293</v>
      </c>
      <c r="CG29" s="509"/>
    </row>
    <row r="30" spans="2:85" s="40" customFormat="1" ht="30.75" customHeight="1" x14ac:dyDescent="0.2">
      <c r="B30" s="449" t="s">
        <v>125</v>
      </c>
      <c r="C30" s="450" t="s">
        <v>541</v>
      </c>
      <c r="D30" s="451" t="s">
        <v>314</v>
      </c>
      <c r="E30" s="450" t="s">
        <v>126</v>
      </c>
      <c r="F30" s="451">
        <v>98.144502500000002</v>
      </c>
      <c r="G30" s="451">
        <v>26.890058</v>
      </c>
      <c r="H30" s="451" t="s">
        <v>449</v>
      </c>
      <c r="I30" s="451" t="s">
        <v>214</v>
      </c>
      <c r="J30" s="452">
        <v>11</v>
      </c>
      <c r="K30" s="452">
        <v>17</v>
      </c>
      <c r="L30" s="452">
        <v>17</v>
      </c>
      <c r="M30" s="362" t="str">
        <f t="shared" si="0"/>
        <v>1. Small</v>
      </c>
      <c r="N30" s="701"/>
      <c r="O30" s="453"/>
      <c r="P30" s="461" t="s">
        <v>300</v>
      </c>
      <c r="Q30" s="382" t="str">
        <f t="shared" si="35"/>
        <v>Not covered</v>
      </c>
      <c r="R30" s="462" t="s">
        <v>629</v>
      </c>
      <c r="S30" s="453" t="s">
        <v>255</v>
      </c>
      <c r="T30" s="380" t="str">
        <f t="shared" si="36"/>
        <v>Not documented</v>
      </c>
      <c r="U30" s="468">
        <v>0</v>
      </c>
      <c r="V30" s="452">
        <v>0</v>
      </c>
      <c r="W30" s="469" t="s">
        <v>19</v>
      </c>
      <c r="X30" s="468">
        <v>0</v>
      </c>
      <c r="Y30" s="474">
        <v>0</v>
      </c>
      <c r="Z30" s="475">
        <v>0</v>
      </c>
      <c r="AA30" s="481">
        <v>0</v>
      </c>
      <c r="AB30" s="482">
        <v>0</v>
      </c>
      <c r="AC30" s="385">
        <f t="shared" si="1"/>
        <v>0</v>
      </c>
      <c r="AD30" s="364">
        <f t="shared" si="2"/>
        <v>0</v>
      </c>
      <c r="AE30" s="365">
        <f t="shared" si="3"/>
        <v>0</v>
      </c>
      <c r="AF30" s="366">
        <f t="shared" si="4"/>
        <v>0</v>
      </c>
      <c r="AG30" s="363">
        <f t="shared" si="5"/>
        <v>0</v>
      </c>
      <c r="AH30" s="366">
        <f t="shared" si="6"/>
        <v>0</v>
      </c>
      <c r="AI30" s="367" t="str">
        <f t="shared" si="7"/>
        <v>0-10%</v>
      </c>
      <c r="AJ30" s="363">
        <f t="shared" si="8"/>
        <v>0</v>
      </c>
      <c r="AK30" s="368">
        <f t="shared" si="9"/>
        <v>0</v>
      </c>
      <c r="AL30" s="366">
        <f t="shared" si="10"/>
        <v>4.2500000000000003E-2</v>
      </c>
      <c r="AM30" s="366">
        <f t="shared" si="11"/>
        <v>0</v>
      </c>
      <c r="AN30" s="366">
        <f t="shared" si="12"/>
        <v>0</v>
      </c>
      <c r="AO30" s="485">
        <v>0</v>
      </c>
      <c r="AP30" s="486">
        <f t="shared" si="13"/>
        <v>0</v>
      </c>
      <c r="AQ30" s="475" t="s">
        <v>711</v>
      </c>
      <c r="AR30" s="732">
        <v>0</v>
      </c>
      <c r="AS30" s="452">
        <v>0</v>
      </c>
      <c r="AT30" s="452">
        <v>0</v>
      </c>
      <c r="AU30" s="452" t="s">
        <v>89</v>
      </c>
      <c r="AV30" s="369">
        <f t="shared" si="14"/>
        <v>0</v>
      </c>
      <c r="AW30" s="366">
        <f t="shared" si="15"/>
        <v>0</v>
      </c>
      <c r="AX30" s="369">
        <f t="shared" si="16"/>
        <v>0</v>
      </c>
      <c r="AY30" s="366">
        <f t="shared" si="17"/>
        <v>0</v>
      </c>
      <c r="AZ30" s="369">
        <f t="shared" si="18"/>
        <v>0</v>
      </c>
      <c r="BA30" s="366">
        <f t="shared" si="19"/>
        <v>0</v>
      </c>
      <c r="BB30" s="474">
        <v>0</v>
      </c>
      <c r="BC30" s="490">
        <v>0</v>
      </c>
      <c r="BD30" s="370">
        <f t="shared" si="20"/>
        <v>0</v>
      </c>
      <c r="BE30" s="371">
        <f t="shared" si="21"/>
        <v>0.85</v>
      </c>
      <c r="BF30" s="452">
        <v>0</v>
      </c>
      <c r="BG30" s="452" t="s">
        <v>89</v>
      </c>
      <c r="BH30" s="369">
        <f t="shared" si="22"/>
        <v>0</v>
      </c>
      <c r="BI30" s="366">
        <f t="shared" si="23"/>
        <v>0</v>
      </c>
      <c r="BJ30" s="371">
        <f t="shared" si="24"/>
        <v>0.17</v>
      </c>
      <c r="BK30" s="485">
        <v>0</v>
      </c>
      <c r="BL30" s="366">
        <f t="shared" si="25"/>
        <v>0</v>
      </c>
      <c r="BM30" s="474">
        <v>0</v>
      </c>
      <c r="BN30" s="369">
        <f t="shared" si="26"/>
        <v>0</v>
      </c>
      <c r="BO30" s="371">
        <f t="shared" si="27"/>
        <v>0.17</v>
      </c>
      <c r="BP30" s="478">
        <v>0</v>
      </c>
      <c r="BQ30" s="500"/>
      <c r="BR30" s="502"/>
      <c r="BS30" s="372" t="str">
        <f t="shared" si="28"/>
        <v>To be realised</v>
      </c>
      <c r="BT30" s="452">
        <v>0</v>
      </c>
      <c r="BU30" s="452">
        <v>0</v>
      </c>
      <c r="BV30" s="373">
        <f t="shared" si="29"/>
        <v>11</v>
      </c>
      <c r="BW30" s="374">
        <f t="shared" si="30"/>
        <v>0</v>
      </c>
      <c r="BX30" s="366">
        <f t="shared" si="31"/>
        <v>0</v>
      </c>
      <c r="BY30" s="387" t="str">
        <f t="shared" si="32"/>
        <v>Column BN to be completed</v>
      </c>
      <c r="BZ30" s="468"/>
      <c r="CA30" s="478">
        <v>0</v>
      </c>
      <c r="CB30" s="389">
        <f t="shared" si="33"/>
        <v>0</v>
      </c>
      <c r="CC30" s="468">
        <v>0</v>
      </c>
      <c r="CD30" s="375" t="str">
        <f t="shared" si="34"/>
        <v>No coverage</v>
      </c>
      <c r="CE30" s="474">
        <v>0</v>
      </c>
      <c r="CF30" s="469" t="s">
        <v>66</v>
      </c>
      <c r="CG30" s="509" t="s">
        <v>881</v>
      </c>
    </row>
    <row r="31" spans="2:85" s="40" customFormat="1" ht="30.75" customHeight="1" x14ac:dyDescent="0.2">
      <c r="B31" s="449" t="s">
        <v>221</v>
      </c>
      <c r="C31" s="450" t="s">
        <v>558</v>
      </c>
      <c r="D31" s="451" t="s">
        <v>259</v>
      </c>
      <c r="E31" s="450" t="s">
        <v>127</v>
      </c>
      <c r="F31" s="451">
        <v>96.922619999999995</v>
      </c>
      <c r="G31" s="451">
        <v>25.305669999999999</v>
      </c>
      <c r="H31" s="451" t="s">
        <v>449</v>
      </c>
      <c r="I31" s="451" t="s">
        <v>214</v>
      </c>
      <c r="J31" s="452">
        <v>17</v>
      </c>
      <c r="K31" s="452">
        <v>69</v>
      </c>
      <c r="L31" s="452">
        <v>69</v>
      </c>
      <c r="M31" s="362" t="str">
        <f t="shared" si="0"/>
        <v>1. Small</v>
      </c>
      <c r="N31" s="701" t="s">
        <v>833</v>
      </c>
      <c r="O31" s="453" t="s">
        <v>235</v>
      </c>
      <c r="P31" s="461" t="s">
        <v>235</v>
      </c>
      <c r="Q31" s="382" t="str">
        <f t="shared" si="35"/>
        <v>Covered</v>
      </c>
      <c r="R31" s="462">
        <v>42429</v>
      </c>
      <c r="S31" s="453" t="s">
        <v>253</v>
      </c>
      <c r="T31" s="380" t="str">
        <f t="shared" si="36"/>
        <v>Documented</v>
      </c>
      <c r="U31" s="468">
        <v>0</v>
      </c>
      <c r="V31" s="452">
        <v>0</v>
      </c>
      <c r="W31" s="469" t="s">
        <v>19</v>
      </c>
      <c r="X31" s="468">
        <v>0</v>
      </c>
      <c r="Y31" s="474">
        <v>2</v>
      </c>
      <c r="Z31" s="475">
        <v>3600</v>
      </c>
      <c r="AA31" s="481">
        <v>0</v>
      </c>
      <c r="AB31" s="482">
        <v>1</v>
      </c>
      <c r="AC31" s="385">
        <f t="shared" si="1"/>
        <v>1</v>
      </c>
      <c r="AD31" s="364">
        <f t="shared" si="2"/>
        <v>69</v>
      </c>
      <c r="AE31" s="365">
        <f t="shared" si="3"/>
        <v>1</v>
      </c>
      <c r="AF31" s="366">
        <f t="shared" si="4"/>
        <v>69</v>
      </c>
      <c r="AG31" s="363">
        <f t="shared" si="5"/>
        <v>1</v>
      </c>
      <c r="AH31" s="366">
        <f t="shared" si="6"/>
        <v>69</v>
      </c>
      <c r="AI31" s="367" t="str">
        <f t="shared" si="7"/>
        <v>80-100%</v>
      </c>
      <c r="AJ31" s="363">
        <f t="shared" si="8"/>
        <v>0</v>
      </c>
      <c r="AK31" s="368">
        <f t="shared" si="9"/>
        <v>0</v>
      </c>
      <c r="AL31" s="366">
        <f t="shared" si="10"/>
        <v>0</v>
      </c>
      <c r="AM31" s="366">
        <f t="shared" si="11"/>
        <v>17</v>
      </c>
      <c r="AN31" s="366">
        <f t="shared" si="12"/>
        <v>0</v>
      </c>
      <c r="AO31" s="485">
        <v>1</v>
      </c>
      <c r="AP31" s="486">
        <f t="shared" si="13"/>
        <v>69</v>
      </c>
      <c r="AQ31" s="475"/>
      <c r="AR31" s="732">
        <v>0</v>
      </c>
      <c r="AS31" s="452">
        <v>0</v>
      </c>
      <c r="AT31" s="452">
        <v>6</v>
      </c>
      <c r="AU31" s="452" t="s">
        <v>290</v>
      </c>
      <c r="AV31" s="369">
        <f t="shared" si="14"/>
        <v>1</v>
      </c>
      <c r="AW31" s="366">
        <f t="shared" si="15"/>
        <v>69</v>
      </c>
      <c r="AX31" s="369">
        <f t="shared" si="16"/>
        <v>0</v>
      </c>
      <c r="AY31" s="366">
        <f t="shared" si="17"/>
        <v>0</v>
      </c>
      <c r="AZ31" s="369">
        <f t="shared" si="18"/>
        <v>1</v>
      </c>
      <c r="BA31" s="366">
        <f t="shared" si="19"/>
        <v>69</v>
      </c>
      <c r="BB31" s="474">
        <v>0</v>
      </c>
      <c r="BC31" s="490">
        <v>1</v>
      </c>
      <c r="BD31" s="370">
        <f t="shared" si="20"/>
        <v>69</v>
      </c>
      <c r="BE31" s="371">
        <f t="shared" si="21"/>
        <v>0</v>
      </c>
      <c r="BF31" s="452">
        <v>2</v>
      </c>
      <c r="BG31" s="452" t="s">
        <v>291</v>
      </c>
      <c r="BH31" s="369">
        <f t="shared" si="22"/>
        <v>1</v>
      </c>
      <c r="BI31" s="366">
        <f t="shared" si="23"/>
        <v>69</v>
      </c>
      <c r="BJ31" s="371">
        <f t="shared" si="24"/>
        <v>0</v>
      </c>
      <c r="BK31" s="485">
        <v>1</v>
      </c>
      <c r="BL31" s="366">
        <f t="shared" si="25"/>
        <v>69</v>
      </c>
      <c r="BM31" s="474">
        <v>6</v>
      </c>
      <c r="BN31" s="369">
        <f t="shared" si="26"/>
        <v>1</v>
      </c>
      <c r="BO31" s="371">
        <f t="shared" si="27"/>
        <v>0</v>
      </c>
      <c r="BP31" s="478">
        <v>1</v>
      </c>
      <c r="BQ31" s="500"/>
      <c r="BR31" s="502">
        <v>42053</v>
      </c>
      <c r="BS31" s="372">
        <f t="shared" si="28"/>
        <v>42418</v>
      </c>
      <c r="BT31" s="452">
        <v>17</v>
      </c>
      <c r="BU31" s="452">
        <v>4</v>
      </c>
      <c r="BV31" s="373">
        <f t="shared" si="29"/>
        <v>0</v>
      </c>
      <c r="BW31" s="374">
        <f t="shared" si="30"/>
        <v>1</v>
      </c>
      <c r="BX31" s="366">
        <f t="shared" si="31"/>
        <v>69</v>
      </c>
      <c r="BY31" s="387">
        <f t="shared" si="32"/>
        <v>0</v>
      </c>
      <c r="BZ31" s="468"/>
      <c r="CA31" s="478">
        <v>0.8</v>
      </c>
      <c r="CB31" s="389">
        <f t="shared" si="33"/>
        <v>55.2</v>
      </c>
      <c r="CC31" s="468">
        <v>1</v>
      </c>
      <c r="CD31" s="375" t="str">
        <f t="shared" si="34"/>
        <v>Excellent coverage</v>
      </c>
      <c r="CE31" s="474">
        <v>0</v>
      </c>
      <c r="CF31" s="469" t="s">
        <v>293</v>
      </c>
      <c r="CG31" s="509"/>
    </row>
    <row r="32" spans="2:85" s="40" customFormat="1" ht="30.75" customHeight="1" x14ac:dyDescent="0.2">
      <c r="B32" s="449" t="s">
        <v>221</v>
      </c>
      <c r="C32" s="450" t="s">
        <v>556</v>
      </c>
      <c r="D32" s="451" t="s">
        <v>259</v>
      </c>
      <c r="E32" s="450" t="s">
        <v>128</v>
      </c>
      <c r="F32" s="451">
        <v>96.942279999999997</v>
      </c>
      <c r="G32" s="451">
        <v>25.296579999999999</v>
      </c>
      <c r="H32" s="451" t="s">
        <v>449</v>
      </c>
      <c r="I32" s="451" t="s">
        <v>214</v>
      </c>
      <c r="J32" s="452">
        <v>12</v>
      </c>
      <c r="K32" s="452">
        <v>48</v>
      </c>
      <c r="L32" s="452">
        <v>48</v>
      </c>
      <c r="M32" s="362" t="str">
        <f t="shared" si="0"/>
        <v>1. Small</v>
      </c>
      <c r="N32" s="701" t="s">
        <v>833</v>
      </c>
      <c r="O32" s="453" t="s">
        <v>235</v>
      </c>
      <c r="P32" s="461" t="s">
        <v>235</v>
      </c>
      <c r="Q32" s="382" t="str">
        <f t="shared" si="35"/>
        <v>Covered</v>
      </c>
      <c r="R32" s="462">
        <v>42429</v>
      </c>
      <c r="S32" s="453" t="s">
        <v>253</v>
      </c>
      <c r="T32" s="380" t="str">
        <f t="shared" si="36"/>
        <v>Documented</v>
      </c>
      <c r="U32" s="468">
        <v>0</v>
      </c>
      <c r="V32" s="452">
        <v>0</v>
      </c>
      <c r="W32" s="469" t="s">
        <v>19</v>
      </c>
      <c r="X32" s="468">
        <v>0</v>
      </c>
      <c r="Y32" s="474">
        <v>2</v>
      </c>
      <c r="Z32" s="475">
        <v>3600</v>
      </c>
      <c r="AA32" s="481">
        <v>0</v>
      </c>
      <c r="AB32" s="482">
        <v>1</v>
      </c>
      <c r="AC32" s="385">
        <f t="shared" si="1"/>
        <v>1</v>
      </c>
      <c r="AD32" s="364">
        <f t="shared" si="2"/>
        <v>48</v>
      </c>
      <c r="AE32" s="365">
        <f t="shared" si="3"/>
        <v>1</v>
      </c>
      <c r="AF32" s="366">
        <f t="shared" si="4"/>
        <v>48</v>
      </c>
      <c r="AG32" s="363">
        <f t="shared" si="5"/>
        <v>1</v>
      </c>
      <c r="AH32" s="366">
        <f t="shared" si="6"/>
        <v>48</v>
      </c>
      <c r="AI32" s="367" t="str">
        <f t="shared" si="7"/>
        <v>80-100%</v>
      </c>
      <c r="AJ32" s="363">
        <f t="shared" si="8"/>
        <v>0</v>
      </c>
      <c r="AK32" s="368">
        <f t="shared" si="9"/>
        <v>0</v>
      </c>
      <c r="AL32" s="366">
        <f t="shared" si="10"/>
        <v>0</v>
      </c>
      <c r="AM32" s="366">
        <f t="shared" si="11"/>
        <v>12</v>
      </c>
      <c r="AN32" s="366">
        <f t="shared" si="12"/>
        <v>0</v>
      </c>
      <c r="AO32" s="485">
        <v>1</v>
      </c>
      <c r="AP32" s="486">
        <f t="shared" si="13"/>
        <v>48</v>
      </c>
      <c r="AQ32" s="475"/>
      <c r="AR32" s="732">
        <v>0</v>
      </c>
      <c r="AS32" s="452">
        <v>0</v>
      </c>
      <c r="AT32" s="452">
        <v>4</v>
      </c>
      <c r="AU32" s="452" t="s">
        <v>290</v>
      </c>
      <c r="AV32" s="369">
        <f t="shared" si="14"/>
        <v>1</v>
      </c>
      <c r="AW32" s="366">
        <f t="shared" si="15"/>
        <v>48</v>
      </c>
      <c r="AX32" s="369">
        <f t="shared" si="16"/>
        <v>0</v>
      </c>
      <c r="AY32" s="366">
        <f t="shared" si="17"/>
        <v>0</v>
      </c>
      <c r="AZ32" s="369">
        <f t="shared" si="18"/>
        <v>1</v>
      </c>
      <c r="BA32" s="366">
        <f t="shared" si="19"/>
        <v>48</v>
      </c>
      <c r="BB32" s="474">
        <v>0</v>
      </c>
      <c r="BC32" s="490">
        <v>1</v>
      </c>
      <c r="BD32" s="370">
        <f t="shared" si="20"/>
        <v>48</v>
      </c>
      <c r="BE32" s="371">
        <f t="shared" si="21"/>
        <v>0</v>
      </c>
      <c r="BF32" s="452">
        <v>2</v>
      </c>
      <c r="BG32" s="452" t="s">
        <v>89</v>
      </c>
      <c r="BH32" s="369">
        <f t="shared" si="22"/>
        <v>1</v>
      </c>
      <c r="BI32" s="366">
        <f t="shared" si="23"/>
        <v>48</v>
      </c>
      <c r="BJ32" s="371">
        <f t="shared" si="24"/>
        <v>0</v>
      </c>
      <c r="BK32" s="485">
        <v>1</v>
      </c>
      <c r="BL32" s="366">
        <f t="shared" si="25"/>
        <v>48</v>
      </c>
      <c r="BM32" s="474">
        <v>3</v>
      </c>
      <c r="BN32" s="369">
        <f t="shared" si="26"/>
        <v>1</v>
      </c>
      <c r="BO32" s="371">
        <f t="shared" si="27"/>
        <v>0</v>
      </c>
      <c r="BP32" s="478">
        <v>1</v>
      </c>
      <c r="BQ32" s="500"/>
      <c r="BR32" s="502">
        <v>42053</v>
      </c>
      <c r="BS32" s="372">
        <f t="shared" si="28"/>
        <v>42418</v>
      </c>
      <c r="BT32" s="452">
        <v>12</v>
      </c>
      <c r="BU32" s="452">
        <v>4</v>
      </c>
      <c r="BV32" s="373">
        <f t="shared" si="29"/>
        <v>0</v>
      </c>
      <c r="BW32" s="374">
        <f t="shared" si="30"/>
        <v>1</v>
      </c>
      <c r="BX32" s="366">
        <f t="shared" si="31"/>
        <v>48</v>
      </c>
      <c r="BY32" s="387">
        <f t="shared" si="32"/>
        <v>0</v>
      </c>
      <c r="BZ32" s="468"/>
      <c r="CA32" s="478">
        <v>0.8</v>
      </c>
      <c r="CB32" s="389">
        <f t="shared" si="33"/>
        <v>38.400000000000006</v>
      </c>
      <c r="CC32" s="468">
        <v>1</v>
      </c>
      <c r="CD32" s="375" t="str">
        <f t="shared" si="34"/>
        <v>Excellent coverage</v>
      </c>
      <c r="CE32" s="474">
        <v>0</v>
      </c>
      <c r="CF32" s="469" t="s">
        <v>293</v>
      </c>
      <c r="CG32" s="509"/>
    </row>
    <row r="33" spans="2:85" s="40" customFormat="1" ht="30.75" customHeight="1" x14ac:dyDescent="0.2">
      <c r="B33" s="449" t="s">
        <v>221</v>
      </c>
      <c r="C33" s="450" t="s">
        <v>557</v>
      </c>
      <c r="D33" s="451" t="s">
        <v>259</v>
      </c>
      <c r="E33" s="450" t="s">
        <v>129</v>
      </c>
      <c r="F33" s="451">
        <v>96.948740000000001</v>
      </c>
      <c r="G33" s="451">
        <v>25.30442</v>
      </c>
      <c r="H33" s="451" t="s">
        <v>449</v>
      </c>
      <c r="I33" s="451" t="s">
        <v>214</v>
      </c>
      <c r="J33" s="452">
        <v>15</v>
      </c>
      <c r="K33" s="452">
        <v>47</v>
      </c>
      <c r="L33" s="452">
        <v>47</v>
      </c>
      <c r="M33" s="362" t="str">
        <f t="shared" si="0"/>
        <v>1. Small</v>
      </c>
      <c r="N33" s="701" t="s">
        <v>833</v>
      </c>
      <c r="O33" s="453" t="s">
        <v>235</v>
      </c>
      <c r="P33" s="461" t="s">
        <v>235</v>
      </c>
      <c r="Q33" s="382" t="str">
        <f t="shared" si="35"/>
        <v>Covered</v>
      </c>
      <c r="R33" s="462">
        <v>42429</v>
      </c>
      <c r="S33" s="453" t="s">
        <v>253</v>
      </c>
      <c r="T33" s="380" t="str">
        <f t="shared" si="36"/>
        <v>Documented</v>
      </c>
      <c r="U33" s="468">
        <v>0</v>
      </c>
      <c r="V33" s="452">
        <v>0</v>
      </c>
      <c r="W33" s="469" t="s">
        <v>19</v>
      </c>
      <c r="X33" s="468">
        <v>1</v>
      </c>
      <c r="Y33" s="474">
        <v>2</v>
      </c>
      <c r="Z33" s="475">
        <v>3600</v>
      </c>
      <c r="AA33" s="481">
        <v>0</v>
      </c>
      <c r="AB33" s="482">
        <v>1</v>
      </c>
      <c r="AC33" s="385">
        <f t="shared" si="1"/>
        <v>1</v>
      </c>
      <c r="AD33" s="364">
        <f t="shared" si="2"/>
        <v>47</v>
      </c>
      <c r="AE33" s="365">
        <f t="shared" si="3"/>
        <v>1</v>
      </c>
      <c r="AF33" s="366">
        <f t="shared" si="4"/>
        <v>47</v>
      </c>
      <c r="AG33" s="363">
        <f t="shared" si="5"/>
        <v>1</v>
      </c>
      <c r="AH33" s="366">
        <f t="shared" si="6"/>
        <v>47</v>
      </c>
      <c r="AI33" s="367" t="str">
        <f t="shared" si="7"/>
        <v>80-100%</v>
      </c>
      <c r="AJ33" s="363">
        <f t="shared" si="8"/>
        <v>0</v>
      </c>
      <c r="AK33" s="368">
        <f t="shared" si="9"/>
        <v>0</v>
      </c>
      <c r="AL33" s="366">
        <f t="shared" si="10"/>
        <v>0</v>
      </c>
      <c r="AM33" s="366">
        <f t="shared" si="11"/>
        <v>15</v>
      </c>
      <c r="AN33" s="366">
        <f t="shared" si="12"/>
        <v>0</v>
      </c>
      <c r="AO33" s="485">
        <v>1</v>
      </c>
      <c r="AP33" s="486">
        <f t="shared" si="13"/>
        <v>47</v>
      </c>
      <c r="AQ33" s="475"/>
      <c r="AR33" s="732">
        <v>0</v>
      </c>
      <c r="AS33" s="452">
        <v>0</v>
      </c>
      <c r="AT33" s="452">
        <v>3</v>
      </c>
      <c r="AU33" s="452" t="s">
        <v>290</v>
      </c>
      <c r="AV33" s="369">
        <f t="shared" si="14"/>
        <v>1</v>
      </c>
      <c r="AW33" s="366">
        <f t="shared" si="15"/>
        <v>47</v>
      </c>
      <c r="AX33" s="369">
        <f t="shared" si="16"/>
        <v>0</v>
      </c>
      <c r="AY33" s="366">
        <f t="shared" si="17"/>
        <v>0</v>
      </c>
      <c r="AZ33" s="369">
        <f t="shared" si="18"/>
        <v>1</v>
      </c>
      <c r="BA33" s="366">
        <f t="shared" si="19"/>
        <v>47</v>
      </c>
      <c r="BB33" s="474">
        <v>0</v>
      </c>
      <c r="BC33" s="490">
        <v>1</v>
      </c>
      <c r="BD33" s="370">
        <f t="shared" si="20"/>
        <v>47</v>
      </c>
      <c r="BE33" s="371">
        <f t="shared" si="21"/>
        <v>0</v>
      </c>
      <c r="BF33" s="452">
        <v>2</v>
      </c>
      <c r="BG33" s="452" t="s">
        <v>291</v>
      </c>
      <c r="BH33" s="369">
        <f t="shared" si="22"/>
        <v>1</v>
      </c>
      <c r="BI33" s="366">
        <f t="shared" si="23"/>
        <v>47</v>
      </c>
      <c r="BJ33" s="371">
        <f t="shared" si="24"/>
        <v>0</v>
      </c>
      <c r="BK33" s="485">
        <v>1</v>
      </c>
      <c r="BL33" s="366">
        <f t="shared" si="25"/>
        <v>47</v>
      </c>
      <c r="BM33" s="474">
        <v>6</v>
      </c>
      <c r="BN33" s="369">
        <f t="shared" si="26"/>
        <v>1</v>
      </c>
      <c r="BO33" s="371">
        <f t="shared" si="27"/>
        <v>0</v>
      </c>
      <c r="BP33" s="478">
        <v>1</v>
      </c>
      <c r="BQ33" s="500"/>
      <c r="BR33" s="502">
        <v>42053</v>
      </c>
      <c r="BS33" s="372">
        <f t="shared" si="28"/>
        <v>42418</v>
      </c>
      <c r="BT33" s="452">
        <v>15</v>
      </c>
      <c r="BU33" s="452">
        <v>4</v>
      </c>
      <c r="BV33" s="373">
        <f t="shared" si="29"/>
        <v>0</v>
      </c>
      <c r="BW33" s="374">
        <f t="shared" si="30"/>
        <v>1</v>
      </c>
      <c r="BX33" s="366">
        <f t="shared" si="31"/>
        <v>47</v>
      </c>
      <c r="BY33" s="387">
        <f t="shared" si="32"/>
        <v>0</v>
      </c>
      <c r="BZ33" s="468"/>
      <c r="CA33" s="478">
        <v>0.8</v>
      </c>
      <c r="CB33" s="389">
        <f t="shared" si="33"/>
        <v>37.6</v>
      </c>
      <c r="CC33" s="468">
        <v>1</v>
      </c>
      <c r="CD33" s="375" t="str">
        <f t="shared" si="34"/>
        <v>Excellent coverage</v>
      </c>
      <c r="CE33" s="474">
        <v>0</v>
      </c>
      <c r="CF33" s="469" t="s">
        <v>293</v>
      </c>
      <c r="CG33" s="509"/>
    </row>
    <row r="34" spans="2:85" s="40" customFormat="1" ht="30.75" customHeight="1" x14ac:dyDescent="0.2">
      <c r="B34" s="449" t="s">
        <v>130</v>
      </c>
      <c r="C34" s="450" t="s">
        <v>560</v>
      </c>
      <c r="D34" s="451" t="s">
        <v>259</v>
      </c>
      <c r="E34" s="450" t="s">
        <v>315</v>
      </c>
      <c r="F34" s="451">
        <v>96.364949999999993</v>
      </c>
      <c r="G34" s="451">
        <v>24.998349999999999</v>
      </c>
      <c r="H34" s="451" t="s">
        <v>449</v>
      </c>
      <c r="I34" s="451" t="s">
        <v>214</v>
      </c>
      <c r="J34" s="452">
        <v>19</v>
      </c>
      <c r="K34" s="452">
        <v>104</v>
      </c>
      <c r="L34" s="452">
        <v>84</v>
      </c>
      <c r="M34" s="362" t="str">
        <f t="shared" si="0"/>
        <v>1. Small</v>
      </c>
      <c r="N34" s="701" t="s">
        <v>833</v>
      </c>
      <c r="O34" s="453" t="s">
        <v>235</v>
      </c>
      <c r="P34" s="461" t="s">
        <v>235</v>
      </c>
      <c r="Q34" s="382" t="str">
        <f t="shared" si="35"/>
        <v>Covered</v>
      </c>
      <c r="R34" s="462">
        <v>42429</v>
      </c>
      <c r="S34" s="453" t="s">
        <v>253</v>
      </c>
      <c r="T34" s="380" t="str">
        <f t="shared" si="36"/>
        <v>Documented</v>
      </c>
      <c r="U34" s="468">
        <v>0</v>
      </c>
      <c r="V34" s="452">
        <v>0</v>
      </c>
      <c r="W34" s="469" t="s">
        <v>19</v>
      </c>
      <c r="X34" s="468">
        <v>0</v>
      </c>
      <c r="Y34" s="474">
        <v>1</v>
      </c>
      <c r="Z34" s="475">
        <v>7200</v>
      </c>
      <c r="AA34" s="481">
        <v>0</v>
      </c>
      <c r="AB34" s="482">
        <v>1</v>
      </c>
      <c r="AC34" s="385">
        <f t="shared" si="1"/>
        <v>1</v>
      </c>
      <c r="AD34" s="364">
        <f t="shared" si="2"/>
        <v>84</v>
      </c>
      <c r="AE34" s="365">
        <f t="shared" si="3"/>
        <v>1</v>
      </c>
      <c r="AF34" s="366">
        <f t="shared" si="4"/>
        <v>84</v>
      </c>
      <c r="AG34" s="363">
        <f t="shared" si="5"/>
        <v>1</v>
      </c>
      <c r="AH34" s="366">
        <f t="shared" si="6"/>
        <v>84</v>
      </c>
      <c r="AI34" s="367" t="str">
        <f t="shared" si="7"/>
        <v>80-100%</v>
      </c>
      <c r="AJ34" s="363">
        <f t="shared" si="8"/>
        <v>0</v>
      </c>
      <c r="AK34" s="368">
        <f t="shared" si="9"/>
        <v>0</v>
      </c>
      <c r="AL34" s="366">
        <f t="shared" si="10"/>
        <v>0</v>
      </c>
      <c r="AM34" s="366">
        <f t="shared" si="11"/>
        <v>19</v>
      </c>
      <c r="AN34" s="366">
        <f t="shared" si="12"/>
        <v>0</v>
      </c>
      <c r="AO34" s="485">
        <v>1</v>
      </c>
      <c r="AP34" s="486">
        <f t="shared" si="13"/>
        <v>84</v>
      </c>
      <c r="AQ34" s="475"/>
      <c r="AR34" s="732">
        <v>0</v>
      </c>
      <c r="AS34" s="452">
        <v>0</v>
      </c>
      <c r="AT34" s="452">
        <v>5</v>
      </c>
      <c r="AU34" s="452" t="s">
        <v>290</v>
      </c>
      <c r="AV34" s="369">
        <f t="shared" si="14"/>
        <v>1</v>
      </c>
      <c r="AW34" s="366">
        <f t="shared" si="15"/>
        <v>84</v>
      </c>
      <c r="AX34" s="369">
        <f t="shared" si="16"/>
        <v>0</v>
      </c>
      <c r="AY34" s="366">
        <f t="shared" si="17"/>
        <v>0</v>
      </c>
      <c r="AZ34" s="369">
        <f t="shared" si="18"/>
        <v>1</v>
      </c>
      <c r="BA34" s="366">
        <f t="shared" si="19"/>
        <v>84</v>
      </c>
      <c r="BB34" s="474">
        <v>0</v>
      </c>
      <c r="BC34" s="490">
        <v>1</v>
      </c>
      <c r="BD34" s="370">
        <f t="shared" si="20"/>
        <v>84</v>
      </c>
      <c r="BE34" s="371">
        <f t="shared" si="21"/>
        <v>0</v>
      </c>
      <c r="BF34" s="452">
        <v>2</v>
      </c>
      <c r="BG34" s="452" t="s">
        <v>291</v>
      </c>
      <c r="BH34" s="369">
        <f t="shared" si="22"/>
        <v>1</v>
      </c>
      <c r="BI34" s="366">
        <f t="shared" si="23"/>
        <v>84</v>
      </c>
      <c r="BJ34" s="371">
        <f t="shared" si="24"/>
        <v>0</v>
      </c>
      <c r="BK34" s="485">
        <v>1</v>
      </c>
      <c r="BL34" s="366">
        <f t="shared" si="25"/>
        <v>84</v>
      </c>
      <c r="BM34" s="474">
        <v>2</v>
      </c>
      <c r="BN34" s="369">
        <f t="shared" si="26"/>
        <v>1</v>
      </c>
      <c r="BO34" s="371">
        <f t="shared" si="27"/>
        <v>0</v>
      </c>
      <c r="BP34" s="478">
        <v>1</v>
      </c>
      <c r="BQ34" s="500" t="s">
        <v>759</v>
      </c>
      <c r="BR34" s="502">
        <v>42053</v>
      </c>
      <c r="BS34" s="372">
        <f t="shared" si="28"/>
        <v>42418</v>
      </c>
      <c r="BT34" s="452">
        <v>19</v>
      </c>
      <c r="BU34" s="452">
        <v>4</v>
      </c>
      <c r="BV34" s="373">
        <f t="shared" si="29"/>
        <v>0</v>
      </c>
      <c r="BW34" s="374">
        <f t="shared" si="30"/>
        <v>1</v>
      </c>
      <c r="BX34" s="366">
        <f t="shared" si="31"/>
        <v>84</v>
      </c>
      <c r="BY34" s="387">
        <f t="shared" si="32"/>
        <v>0</v>
      </c>
      <c r="BZ34" s="468"/>
      <c r="CA34" s="478">
        <v>0.8</v>
      </c>
      <c r="CB34" s="389">
        <f t="shared" si="33"/>
        <v>67.2</v>
      </c>
      <c r="CC34" s="468">
        <v>1</v>
      </c>
      <c r="CD34" s="375" t="str">
        <f t="shared" si="34"/>
        <v>Excellent coverage</v>
      </c>
      <c r="CE34" s="474">
        <v>0</v>
      </c>
      <c r="CF34" s="469" t="s">
        <v>293</v>
      </c>
      <c r="CG34" s="509"/>
    </row>
    <row r="35" spans="2:85" s="40" customFormat="1" ht="30.75" customHeight="1" x14ac:dyDescent="0.2">
      <c r="B35" s="449" t="s">
        <v>130</v>
      </c>
      <c r="C35" s="450" t="s">
        <v>559</v>
      </c>
      <c r="D35" s="451" t="s">
        <v>259</v>
      </c>
      <c r="E35" s="450" t="s">
        <v>131</v>
      </c>
      <c r="F35" s="451">
        <v>96.367059999999995</v>
      </c>
      <c r="G35" s="451">
        <v>24.764800000000001</v>
      </c>
      <c r="H35" s="451" t="s">
        <v>449</v>
      </c>
      <c r="I35" s="451" t="s">
        <v>214</v>
      </c>
      <c r="J35" s="452">
        <v>12</v>
      </c>
      <c r="K35" s="452">
        <v>51</v>
      </c>
      <c r="L35" s="452">
        <v>51</v>
      </c>
      <c r="M35" s="362" t="str">
        <f t="shared" si="0"/>
        <v>1. Small</v>
      </c>
      <c r="N35" s="701" t="s">
        <v>834</v>
      </c>
      <c r="O35" s="453" t="s">
        <v>231</v>
      </c>
      <c r="P35" s="461" t="s">
        <v>231</v>
      </c>
      <c r="Q35" s="382" t="str">
        <f t="shared" si="35"/>
        <v>Covered</v>
      </c>
      <c r="R35" s="462">
        <v>42369</v>
      </c>
      <c r="S35" s="453" t="s">
        <v>253</v>
      </c>
      <c r="T35" s="380" t="str">
        <f t="shared" si="36"/>
        <v>Documented</v>
      </c>
      <c r="U35" s="468">
        <v>0</v>
      </c>
      <c r="V35" s="452">
        <v>0</v>
      </c>
      <c r="W35" s="469" t="s">
        <v>19</v>
      </c>
      <c r="X35" s="468">
        <v>1</v>
      </c>
      <c r="Y35" s="474">
        <v>0</v>
      </c>
      <c r="Z35" s="475">
        <v>3000</v>
      </c>
      <c r="AA35" s="481">
        <v>0</v>
      </c>
      <c r="AB35" s="482">
        <v>0</v>
      </c>
      <c r="AC35" s="385">
        <f t="shared" si="1"/>
        <v>1</v>
      </c>
      <c r="AD35" s="364">
        <f t="shared" si="2"/>
        <v>51</v>
      </c>
      <c r="AE35" s="365">
        <f t="shared" si="3"/>
        <v>1</v>
      </c>
      <c r="AF35" s="366">
        <f t="shared" si="4"/>
        <v>51</v>
      </c>
      <c r="AG35" s="363">
        <f t="shared" si="5"/>
        <v>1</v>
      </c>
      <c r="AH35" s="366">
        <f t="shared" si="6"/>
        <v>51</v>
      </c>
      <c r="AI35" s="367" t="str">
        <f t="shared" si="7"/>
        <v>80-100%</v>
      </c>
      <c r="AJ35" s="363">
        <f t="shared" si="8"/>
        <v>0</v>
      </c>
      <c r="AK35" s="368">
        <f t="shared" si="9"/>
        <v>0</v>
      </c>
      <c r="AL35" s="366">
        <f t="shared" si="10"/>
        <v>0</v>
      </c>
      <c r="AM35" s="366">
        <f t="shared" si="11"/>
        <v>0</v>
      </c>
      <c r="AN35" s="366">
        <f t="shared" si="12"/>
        <v>0</v>
      </c>
      <c r="AO35" s="485">
        <v>1</v>
      </c>
      <c r="AP35" s="486">
        <f t="shared" si="13"/>
        <v>51</v>
      </c>
      <c r="AQ35" s="475"/>
      <c r="AR35" s="732">
        <v>11</v>
      </c>
      <c r="AS35" s="452">
        <v>0</v>
      </c>
      <c r="AT35" s="452">
        <v>3</v>
      </c>
      <c r="AU35" s="452" t="s">
        <v>291</v>
      </c>
      <c r="AV35" s="369">
        <f t="shared" si="14"/>
        <v>1</v>
      </c>
      <c r="AW35" s="366">
        <f t="shared" si="15"/>
        <v>51</v>
      </c>
      <c r="AX35" s="369">
        <f t="shared" si="16"/>
        <v>0</v>
      </c>
      <c r="AY35" s="366">
        <f t="shared" si="17"/>
        <v>0</v>
      </c>
      <c r="AZ35" s="369">
        <f t="shared" si="18"/>
        <v>1</v>
      </c>
      <c r="BA35" s="366">
        <f t="shared" si="19"/>
        <v>51</v>
      </c>
      <c r="BB35" s="474">
        <v>0</v>
      </c>
      <c r="BC35" s="490">
        <v>1</v>
      </c>
      <c r="BD35" s="370">
        <f t="shared" si="20"/>
        <v>51</v>
      </c>
      <c r="BE35" s="371">
        <f t="shared" si="21"/>
        <v>0</v>
      </c>
      <c r="BF35" s="452">
        <v>2</v>
      </c>
      <c r="BG35" s="452" t="s">
        <v>291</v>
      </c>
      <c r="BH35" s="369">
        <f t="shared" si="22"/>
        <v>1</v>
      </c>
      <c r="BI35" s="366">
        <f t="shared" si="23"/>
        <v>51</v>
      </c>
      <c r="BJ35" s="371">
        <f t="shared" si="24"/>
        <v>0</v>
      </c>
      <c r="BK35" s="485">
        <v>1</v>
      </c>
      <c r="BL35" s="366">
        <f t="shared" si="25"/>
        <v>51</v>
      </c>
      <c r="BM35" s="474">
        <v>1</v>
      </c>
      <c r="BN35" s="369">
        <f t="shared" si="26"/>
        <v>1</v>
      </c>
      <c r="BO35" s="371">
        <f t="shared" si="27"/>
        <v>0</v>
      </c>
      <c r="BP35" s="478">
        <v>1</v>
      </c>
      <c r="BQ35" s="500"/>
      <c r="BR35" s="502">
        <v>41817</v>
      </c>
      <c r="BS35" s="372" t="str">
        <f t="shared" si="28"/>
        <v>To be realised</v>
      </c>
      <c r="BT35" s="452">
        <v>12</v>
      </c>
      <c r="BU35" s="452">
        <v>2</v>
      </c>
      <c r="BV35" s="373">
        <f t="shared" si="29"/>
        <v>12</v>
      </c>
      <c r="BW35" s="374">
        <f t="shared" si="30"/>
        <v>0</v>
      </c>
      <c r="BX35" s="366">
        <f t="shared" si="31"/>
        <v>0</v>
      </c>
      <c r="BY35" s="387">
        <f t="shared" si="32"/>
        <v>10</v>
      </c>
      <c r="BZ35" s="468"/>
      <c r="CA35" s="478">
        <v>0</v>
      </c>
      <c r="CB35" s="389">
        <f t="shared" si="33"/>
        <v>0</v>
      </c>
      <c r="CC35" s="468">
        <v>0</v>
      </c>
      <c r="CD35" s="375" t="str">
        <f t="shared" si="34"/>
        <v>No coverage</v>
      </c>
      <c r="CE35" s="474">
        <v>0</v>
      </c>
      <c r="CF35" s="469" t="s">
        <v>293</v>
      </c>
      <c r="CG35" s="509"/>
    </row>
    <row r="36" spans="2:85" s="40" customFormat="1" ht="30.75" customHeight="1" x14ac:dyDescent="0.2">
      <c r="B36" s="449" t="s">
        <v>184</v>
      </c>
      <c r="C36" s="450" t="s">
        <v>561</v>
      </c>
      <c r="D36" s="451" t="s">
        <v>266</v>
      </c>
      <c r="E36" s="450" t="s">
        <v>185</v>
      </c>
      <c r="F36" s="451">
        <v>97.537099999999995</v>
      </c>
      <c r="G36" s="451">
        <v>24.461033</v>
      </c>
      <c r="H36" s="451" t="s">
        <v>449</v>
      </c>
      <c r="I36" s="451" t="s">
        <v>222</v>
      </c>
      <c r="J36" s="452">
        <v>117</v>
      </c>
      <c r="K36" s="452">
        <v>620</v>
      </c>
      <c r="L36" s="452">
        <v>620</v>
      </c>
      <c r="M36" s="362" t="str">
        <f t="shared" ref="M36:M65" si="37">IF(J36&gt;50,IF(J36&gt;250,IF(J36&gt;500,IF(J36&gt;1000,"5. Massive","4. Big"),"3. Large"),"2. Medium"),"1. Small")</f>
        <v>2. Medium</v>
      </c>
      <c r="N36" s="701" t="s">
        <v>834</v>
      </c>
      <c r="O36" s="453" t="s">
        <v>277</v>
      </c>
      <c r="P36" s="461" t="s">
        <v>231</v>
      </c>
      <c r="Q36" s="382" t="str">
        <f t="shared" si="35"/>
        <v>Covered</v>
      </c>
      <c r="R36" s="462">
        <v>42369</v>
      </c>
      <c r="S36" s="453" t="s">
        <v>253</v>
      </c>
      <c r="T36" s="380" t="str">
        <f t="shared" si="36"/>
        <v>Documented</v>
      </c>
      <c r="U36" s="468">
        <v>0</v>
      </c>
      <c r="V36" s="452">
        <v>0</v>
      </c>
      <c r="W36" s="469" t="s">
        <v>19</v>
      </c>
      <c r="X36" s="468">
        <v>0</v>
      </c>
      <c r="Y36" s="474">
        <v>0</v>
      </c>
      <c r="Z36" s="475">
        <v>14568</v>
      </c>
      <c r="AA36" s="481">
        <v>0</v>
      </c>
      <c r="AB36" s="482">
        <v>1</v>
      </c>
      <c r="AC36" s="385">
        <f t="shared" ref="AC36:AC66" si="38">IF((((U36/15)+((V36/30)/15)+X36*400+Y36*500+(Z36/15))/L36)&gt;1,1,(((U36/15)+((V36/30)/15)+X36*400+Y36*500+(Z36/15))/L36))</f>
        <v>1</v>
      </c>
      <c r="AD36" s="364">
        <f t="shared" ref="AD36:AD66" si="39">AC36*L36</f>
        <v>620</v>
      </c>
      <c r="AE36" s="365">
        <f t="shared" ref="AE36:AE66" si="40">IF(((X36*400+Y36*500+(Z36/15))/L36)&gt;1,1,(X36*400+Y36*500+(Z36/15))/L36)</f>
        <v>1</v>
      </c>
      <c r="AF36" s="366">
        <f t="shared" ref="AF36:AF66" si="41">AE36*L36</f>
        <v>620</v>
      </c>
      <c r="AG36" s="363">
        <f t="shared" ref="AG36:AG65" si="42">IF(AB36=0,AC36,IF(AB36&lt;AC36,AC36,AB36))</f>
        <v>1</v>
      </c>
      <c r="AH36" s="366">
        <f t="shared" ref="AH36:AH66" si="43">AG36*L36</f>
        <v>620</v>
      </c>
      <c r="AI36" s="367" t="str">
        <f t="shared" ref="AI36:AI65" si="44">IF(AC36&gt;0.15,IF(AC36&gt;0.3,IF(AC36&gt;0.45,IF(AC36&gt;0.6,IF(AC36&gt;0.8,"80-100%","60-80%"),"45-60%"),"30-45%"),"15-30%"),"0-10%")</f>
        <v>80-100%</v>
      </c>
      <c r="AJ36" s="363">
        <f t="shared" ref="AJ36:AJ65" si="45">IF((AC36-AE36)&lt; 0, 0, AC36-AE36)</f>
        <v>0</v>
      </c>
      <c r="AK36" s="368">
        <f t="shared" ref="AK36:AK66" si="46">AJ36*L36</f>
        <v>0</v>
      </c>
      <c r="AL36" s="366">
        <f t="shared" ref="AL36:AL66" si="47">IF(L36/400-(X36+Y36)&lt;0,0,L36/400-(X36+Y36))</f>
        <v>1.55</v>
      </c>
      <c r="AM36" s="366">
        <f t="shared" ref="AM36:AM66" si="48">AB36*J36</f>
        <v>117</v>
      </c>
      <c r="AN36" s="366">
        <f t="shared" ref="AN36:AN66" si="49">AA36*L36</f>
        <v>0</v>
      </c>
      <c r="AO36" s="485">
        <v>1</v>
      </c>
      <c r="AP36" s="486">
        <f t="shared" ref="AP36:AP66" si="50">AO36*L36</f>
        <v>620</v>
      </c>
      <c r="AQ36" s="475"/>
      <c r="AR36" s="732">
        <v>62</v>
      </c>
      <c r="AS36" s="452">
        <v>60</v>
      </c>
      <c r="AT36" s="452">
        <v>37</v>
      </c>
      <c r="AU36" s="452" t="s">
        <v>292</v>
      </c>
      <c r="AV36" s="369">
        <f t="shared" ref="AV36:AV66" si="51">IF((((AS36+AT36)*20)/L36)&gt;1,1,(((AS36+AT36)*20)/L36))</f>
        <v>1</v>
      </c>
      <c r="AW36" s="366">
        <f t="shared" ref="AW36:AW66" si="52">AV36*L36</f>
        <v>620</v>
      </c>
      <c r="AX36" s="369">
        <f t="shared" ref="AX36:AX65" si="53">AV36-AZ36</f>
        <v>0</v>
      </c>
      <c r="AY36" s="366">
        <f t="shared" ref="AY36:AY66" si="54">AX36*L36</f>
        <v>0</v>
      </c>
      <c r="AZ36" s="369">
        <f t="shared" ref="AZ36:AZ66" si="55">IF(((AT36*20)/L36)&gt;1,1,((AT36*20)/L36))</f>
        <v>1</v>
      </c>
      <c r="BA36" s="366">
        <f t="shared" ref="BA36:BA66" si="56">AZ36*L36</f>
        <v>620</v>
      </c>
      <c r="BB36" s="474">
        <v>0</v>
      </c>
      <c r="BC36" s="490">
        <v>1</v>
      </c>
      <c r="BD36" s="370">
        <f t="shared" ref="BD36:BD66" si="57">BC36*L36</f>
        <v>620</v>
      </c>
      <c r="BE36" s="371">
        <f t="shared" ref="BE36:BE66" si="58">IF((L36/20-AT36+BB36)&lt;0,0,(L36/20-AT36+BB36))</f>
        <v>0</v>
      </c>
      <c r="BF36" s="452">
        <v>4</v>
      </c>
      <c r="BG36" s="452" t="s">
        <v>291</v>
      </c>
      <c r="BH36" s="369">
        <f t="shared" ref="BH36:BH66" si="59">IF((BF36*100/L36)&gt;1,1,(BF36*100/L36))</f>
        <v>0.64516129032258063</v>
      </c>
      <c r="BI36" s="366">
        <f t="shared" ref="BI36:BI66" si="60">BH36*L36</f>
        <v>400</v>
      </c>
      <c r="BJ36" s="371">
        <f t="shared" ref="BJ36:BJ66" si="61">IF(K36/100-BF36&lt;0,0,K36/100-BF36)</f>
        <v>2.2000000000000002</v>
      </c>
      <c r="BK36" s="485">
        <v>0.66</v>
      </c>
      <c r="BL36" s="366">
        <f t="shared" ref="BL36:BL66" si="62">BK36*L36</f>
        <v>409.20000000000005</v>
      </c>
      <c r="BM36" s="474">
        <v>7</v>
      </c>
      <c r="BN36" s="369">
        <f t="shared" ref="BN36:BN66" si="63">IF((BM36*100/L36)&gt;1,1,(BM36*100/L36))</f>
        <v>1</v>
      </c>
      <c r="BO36" s="371">
        <f t="shared" ref="BO36:BO66" si="64">IF(K36/100-BM36&lt;0,0,K36/100-BM36)</f>
        <v>0</v>
      </c>
      <c r="BP36" s="478">
        <v>1</v>
      </c>
      <c r="BQ36" s="500"/>
      <c r="BR36" s="502">
        <v>42065</v>
      </c>
      <c r="BS36" s="372">
        <f t="shared" si="28"/>
        <v>42430</v>
      </c>
      <c r="BT36" s="452">
        <v>117</v>
      </c>
      <c r="BU36" s="452">
        <v>3</v>
      </c>
      <c r="BV36" s="373">
        <f t="shared" ref="BV36:BV66" si="65">IF(BS36="n/a",0,IF(BS36="To be realised",J36,IF((J36-BT36)&lt;0,0,(J36-BT36))))</f>
        <v>0</v>
      </c>
      <c r="BW36" s="374">
        <f t="shared" ref="BW36:BW66" si="66">IF(BV36=0,1,(J36-BV36)/J36)</f>
        <v>1</v>
      </c>
      <c r="BX36" s="366">
        <f t="shared" ref="BX36:BX66" si="67">BW36*L36</f>
        <v>620</v>
      </c>
      <c r="BY36" s="387">
        <f t="shared" si="32"/>
        <v>1</v>
      </c>
      <c r="BZ36" s="468"/>
      <c r="CA36" s="478">
        <v>0</v>
      </c>
      <c r="CB36" s="389">
        <f t="shared" ref="CB36:CB66" si="68">CA36*L36</f>
        <v>0</v>
      </c>
      <c r="CC36" s="468">
        <v>0</v>
      </c>
      <c r="CD36" s="375" t="str">
        <f t="shared" ref="CD36:CD66" si="69">IF(CC36=0,"No coverage",IF(L36/CC36&gt;1000,"Low coverage",IF(L36/CC36&gt;750,"Average coverage",IF(L36/CC36&gt;500,"Good coverage","Excellent coverage"))))</f>
        <v>No coverage</v>
      </c>
      <c r="CE36" s="474">
        <v>0</v>
      </c>
      <c r="CF36" s="469" t="s">
        <v>293</v>
      </c>
      <c r="CG36" s="509"/>
    </row>
    <row r="37" spans="2:85" s="40" customFormat="1" ht="30.75" customHeight="1" x14ac:dyDescent="0.2">
      <c r="B37" s="449" t="s">
        <v>184</v>
      </c>
      <c r="C37" s="450" t="s">
        <v>563</v>
      </c>
      <c r="D37" s="451" t="s">
        <v>261</v>
      </c>
      <c r="E37" s="450" t="s">
        <v>186</v>
      </c>
      <c r="F37" s="451">
        <v>97.573166999999998</v>
      </c>
      <c r="G37" s="451">
        <v>24.661466999999998</v>
      </c>
      <c r="H37" s="451" t="s">
        <v>449</v>
      </c>
      <c r="I37" s="451" t="s">
        <v>222</v>
      </c>
      <c r="J37" s="452">
        <v>479</v>
      </c>
      <c r="K37" s="452">
        <v>2288</v>
      </c>
      <c r="L37" s="452">
        <v>2288</v>
      </c>
      <c r="M37" s="362" t="str">
        <f t="shared" si="37"/>
        <v>3. Large</v>
      </c>
      <c r="N37" s="701" t="s">
        <v>835</v>
      </c>
      <c r="O37" s="453" t="s">
        <v>231</v>
      </c>
      <c r="P37" s="461" t="s">
        <v>233</v>
      </c>
      <c r="Q37" s="382" t="str">
        <f t="shared" si="35"/>
        <v>Covered</v>
      </c>
      <c r="R37" s="462">
        <v>42521</v>
      </c>
      <c r="S37" s="453" t="s">
        <v>253</v>
      </c>
      <c r="T37" s="380" t="str">
        <f t="shared" si="36"/>
        <v>Documented</v>
      </c>
      <c r="U37" s="468">
        <v>0</v>
      </c>
      <c r="V37" s="452">
        <v>0</v>
      </c>
      <c r="W37" s="469" t="s">
        <v>19</v>
      </c>
      <c r="X37" s="468">
        <v>3</v>
      </c>
      <c r="Y37" s="474">
        <v>0</v>
      </c>
      <c r="Z37" s="475">
        <v>34155</v>
      </c>
      <c r="AA37" s="481">
        <v>0</v>
      </c>
      <c r="AB37" s="482">
        <v>1</v>
      </c>
      <c r="AC37" s="385">
        <f t="shared" si="38"/>
        <v>1</v>
      </c>
      <c r="AD37" s="364">
        <f t="shared" si="39"/>
        <v>2288</v>
      </c>
      <c r="AE37" s="365">
        <f t="shared" si="40"/>
        <v>1</v>
      </c>
      <c r="AF37" s="366">
        <f t="shared" si="41"/>
        <v>2288</v>
      </c>
      <c r="AG37" s="363">
        <f t="shared" si="42"/>
        <v>1</v>
      </c>
      <c r="AH37" s="366">
        <f t="shared" si="43"/>
        <v>2288</v>
      </c>
      <c r="AI37" s="367" t="str">
        <f t="shared" si="44"/>
        <v>80-100%</v>
      </c>
      <c r="AJ37" s="363">
        <f t="shared" si="45"/>
        <v>0</v>
      </c>
      <c r="AK37" s="368">
        <f t="shared" si="46"/>
        <v>0</v>
      </c>
      <c r="AL37" s="366">
        <f t="shared" si="47"/>
        <v>2.7199999999999998</v>
      </c>
      <c r="AM37" s="366">
        <f t="shared" si="48"/>
        <v>479</v>
      </c>
      <c r="AN37" s="366">
        <f t="shared" si="49"/>
        <v>0</v>
      </c>
      <c r="AO37" s="485">
        <v>1</v>
      </c>
      <c r="AP37" s="486">
        <f t="shared" si="50"/>
        <v>2288</v>
      </c>
      <c r="AQ37" s="475"/>
      <c r="AR37" s="732">
        <v>70</v>
      </c>
      <c r="AS37" s="452">
        <v>70</v>
      </c>
      <c r="AT37" s="452">
        <v>148</v>
      </c>
      <c r="AU37" s="452" t="s">
        <v>89</v>
      </c>
      <c r="AV37" s="369">
        <f t="shared" si="51"/>
        <v>1</v>
      </c>
      <c r="AW37" s="366">
        <f t="shared" si="52"/>
        <v>2288</v>
      </c>
      <c r="AX37" s="369">
        <f t="shared" si="53"/>
        <v>0</v>
      </c>
      <c r="AY37" s="366">
        <f t="shared" si="54"/>
        <v>0</v>
      </c>
      <c r="AZ37" s="369">
        <f t="shared" si="55"/>
        <v>1</v>
      </c>
      <c r="BA37" s="366">
        <f t="shared" si="56"/>
        <v>2288</v>
      </c>
      <c r="BB37" s="474">
        <v>0</v>
      </c>
      <c r="BC37" s="490">
        <v>1</v>
      </c>
      <c r="BD37" s="370">
        <f t="shared" si="57"/>
        <v>2288</v>
      </c>
      <c r="BE37" s="371">
        <f t="shared" si="58"/>
        <v>0</v>
      </c>
      <c r="BF37" s="452">
        <v>6</v>
      </c>
      <c r="BG37" s="452" t="s">
        <v>89</v>
      </c>
      <c r="BH37" s="369">
        <f t="shared" si="59"/>
        <v>0.26223776223776224</v>
      </c>
      <c r="BI37" s="366">
        <f t="shared" si="60"/>
        <v>600</v>
      </c>
      <c r="BJ37" s="371">
        <f t="shared" si="61"/>
        <v>16.88</v>
      </c>
      <c r="BK37" s="485">
        <v>0.26</v>
      </c>
      <c r="BL37" s="366">
        <f t="shared" si="62"/>
        <v>594.88</v>
      </c>
      <c r="BM37" s="474">
        <v>28</v>
      </c>
      <c r="BN37" s="369">
        <f t="shared" si="63"/>
        <v>1</v>
      </c>
      <c r="BO37" s="371">
        <f t="shared" si="64"/>
        <v>0</v>
      </c>
      <c r="BP37" s="478">
        <v>1</v>
      </c>
      <c r="BQ37" s="500"/>
      <c r="BR37" s="502">
        <v>41559</v>
      </c>
      <c r="BS37" s="372" t="str">
        <f t="shared" si="28"/>
        <v>To be realised</v>
      </c>
      <c r="BT37" s="452">
        <v>479</v>
      </c>
      <c r="BU37" s="452">
        <v>19</v>
      </c>
      <c r="BV37" s="373">
        <f t="shared" si="65"/>
        <v>479</v>
      </c>
      <c r="BW37" s="374">
        <f t="shared" si="66"/>
        <v>0</v>
      </c>
      <c r="BX37" s="366">
        <f t="shared" si="67"/>
        <v>0</v>
      </c>
      <c r="BY37" s="387">
        <f t="shared" si="32"/>
        <v>2</v>
      </c>
      <c r="BZ37" s="468" t="s">
        <v>879</v>
      </c>
      <c r="CA37" s="478">
        <v>0.5</v>
      </c>
      <c r="CB37" s="389">
        <f t="shared" si="68"/>
        <v>1144</v>
      </c>
      <c r="CC37" s="468">
        <v>2</v>
      </c>
      <c r="CD37" s="375" t="str">
        <f t="shared" si="69"/>
        <v>Low coverage</v>
      </c>
      <c r="CE37" s="474">
        <v>1</v>
      </c>
      <c r="CF37" s="469" t="s">
        <v>65</v>
      </c>
      <c r="CG37" s="509"/>
    </row>
    <row r="38" spans="2:85" s="40" customFormat="1" ht="30.75" customHeight="1" x14ac:dyDescent="0.2">
      <c r="B38" s="449" t="s">
        <v>132</v>
      </c>
      <c r="C38" s="450" t="s">
        <v>495</v>
      </c>
      <c r="D38" s="451" t="s">
        <v>258</v>
      </c>
      <c r="E38" s="450" t="s">
        <v>133</v>
      </c>
      <c r="F38" s="451">
        <v>97.385101000000006</v>
      </c>
      <c r="G38" s="451">
        <v>25.399795999999998</v>
      </c>
      <c r="H38" s="451" t="s">
        <v>449</v>
      </c>
      <c r="I38" s="451" t="s">
        <v>214</v>
      </c>
      <c r="J38" s="452">
        <v>6</v>
      </c>
      <c r="K38" s="452">
        <v>27</v>
      </c>
      <c r="L38" s="452">
        <v>27</v>
      </c>
      <c r="M38" s="362" t="str">
        <f t="shared" si="37"/>
        <v>1. Small</v>
      </c>
      <c r="N38" s="701" t="s">
        <v>833</v>
      </c>
      <c r="O38" s="453" t="s">
        <v>235</v>
      </c>
      <c r="P38" s="461" t="s">
        <v>235</v>
      </c>
      <c r="Q38" s="382" t="str">
        <f t="shared" si="35"/>
        <v>Covered</v>
      </c>
      <c r="R38" s="462">
        <v>42429</v>
      </c>
      <c r="S38" s="453" t="s">
        <v>253</v>
      </c>
      <c r="T38" s="380" t="str">
        <f t="shared" si="36"/>
        <v>Documented</v>
      </c>
      <c r="U38" s="468">
        <v>0</v>
      </c>
      <c r="V38" s="452">
        <v>0</v>
      </c>
      <c r="W38" s="469" t="s">
        <v>19</v>
      </c>
      <c r="X38" s="468">
        <v>0</v>
      </c>
      <c r="Y38" s="474">
        <v>1</v>
      </c>
      <c r="Z38" s="475">
        <v>0</v>
      </c>
      <c r="AA38" s="481">
        <v>0</v>
      </c>
      <c r="AB38" s="482">
        <v>1</v>
      </c>
      <c r="AC38" s="385">
        <f t="shared" si="38"/>
        <v>1</v>
      </c>
      <c r="AD38" s="364">
        <f t="shared" si="39"/>
        <v>27</v>
      </c>
      <c r="AE38" s="365">
        <f t="shared" si="40"/>
        <v>1</v>
      </c>
      <c r="AF38" s="366">
        <f t="shared" si="41"/>
        <v>27</v>
      </c>
      <c r="AG38" s="363">
        <f t="shared" si="42"/>
        <v>1</v>
      </c>
      <c r="AH38" s="366">
        <f t="shared" si="43"/>
        <v>27</v>
      </c>
      <c r="AI38" s="367" t="str">
        <f t="shared" si="44"/>
        <v>80-100%</v>
      </c>
      <c r="AJ38" s="363">
        <f t="shared" si="45"/>
        <v>0</v>
      </c>
      <c r="AK38" s="368">
        <f t="shared" si="46"/>
        <v>0</v>
      </c>
      <c r="AL38" s="366">
        <f t="shared" si="47"/>
        <v>0</v>
      </c>
      <c r="AM38" s="366">
        <f t="shared" si="48"/>
        <v>6</v>
      </c>
      <c r="AN38" s="366">
        <f t="shared" si="49"/>
        <v>0</v>
      </c>
      <c r="AO38" s="485">
        <v>1</v>
      </c>
      <c r="AP38" s="486">
        <f t="shared" si="50"/>
        <v>27</v>
      </c>
      <c r="AQ38" s="475"/>
      <c r="AR38" s="732">
        <v>0</v>
      </c>
      <c r="AS38" s="452">
        <v>0</v>
      </c>
      <c r="AT38" s="452">
        <v>1</v>
      </c>
      <c r="AU38" s="452" t="s">
        <v>290</v>
      </c>
      <c r="AV38" s="369">
        <f t="shared" si="51"/>
        <v>0.7407407407407407</v>
      </c>
      <c r="AW38" s="366">
        <f t="shared" si="52"/>
        <v>20</v>
      </c>
      <c r="AX38" s="369">
        <f t="shared" si="53"/>
        <v>0</v>
      </c>
      <c r="AY38" s="366">
        <f t="shared" si="54"/>
        <v>0</v>
      </c>
      <c r="AZ38" s="369">
        <f t="shared" si="55"/>
        <v>0.7407407407407407</v>
      </c>
      <c r="BA38" s="366">
        <f t="shared" si="56"/>
        <v>20</v>
      </c>
      <c r="BB38" s="474">
        <v>0</v>
      </c>
      <c r="BC38" s="490">
        <v>0.75</v>
      </c>
      <c r="BD38" s="370">
        <f t="shared" si="57"/>
        <v>20.25</v>
      </c>
      <c r="BE38" s="371">
        <f t="shared" si="58"/>
        <v>0.35000000000000009</v>
      </c>
      <c r="BF38" s="452">
        <v>1</v>
      </c>
      <c r="BG38" s="452" t="s">
        <v>89</v>
      </c>
      <c r="BH38" s="369">
        <f t="shared" si="59"/>
        <v>1</v>
      </c>
      <c r="BI38" s="366">
        <f t="shared" si="60"/>
        <v>27</v>
      </c>
      <c r="BJ38" s="371">
        <f t="shared" si="61"/>
        <v>0</v>
      </c>
      <c r="BK38" s="485">
        <v>1</v>
      </c>
      <c r="BL38" s="366">
        <f t="shared" si="62"/>
        <v>27</v>
      </c>
      <c r="BM38" s="474">
        <v>2</v>
      </c>
      <c r="BN38" s="369">
        <f t="shared" si="63"/>
        <v>1</v>
      </c>
      <c r="BO38" s="371">
        <f t="shared" si="64"/>
        <v>0</v>
      </c>
      <c r="BP38" s="478">
        <v>1</v>
      </c>
      <c r="BQ38" s="500" t="s">
        <v>743</v>
      </c>
      <c r="BR38" s="502">
        <v>42053</v>
      </c>
      <c r="BS38" s="372">
        <f t="shared" si="28"/>
        <v>42418</v>
      </c>
      <c r="BT38" s="452">
        <v>6</v>
      </c>
      <c r="BU38" s="452">
        <v>4</v>
      </c>
      <c r="BV38" s="373">
        <f t="shared" si="65"/>
        <v>0</v>
      </c>
      <c r="BW38" s="374">
        <f t="shared" si="66"/>
        <v>1</v>
      </c>
      <c r="BX38" s="366">
        <f t="shared" si="67"/>
        <v>27</v>
      </c>
      <c r="BY38" s="387">
        <f t="shared" si="32"/>
        <v>0</v>
      </c>
      <c r="BZ38" s="468"/>
      <c r="CA38" s="478">
        <v>0.8</v>
      </c>
      <c r="CB38" s="389">
        <f t="shared" si="68"/>
        <v>21.6</v>
      </c>
      <c r="CC38" s="468">
        <v>1</v>
      </c>
      <c r="CD38" s="375" t="str">
        <f t="shared" si="69"/>
        <v>Excellent coverage</v>
      </c>
      <c r="CE38" s="474">
        <v>0</v>
      </c>
      <c r="CF38" s="469" t="s">
        <v>293</v>
      </c>
      <c r="CG38" s="509"/>
    </row>
    <row r="39" spans="2:85" s="40" customFormat="1" ht="30.75" customHeight="1" x14ac:dyDescent="0.2">
      <c r="B39" s="449" t="s">
        <v>132</v>
      </c>
      <c r="C39" s="450" t="s">
        <v>493</v>
      </c>
      <c r="D39" s="451" t="s">
        <v>258</v>
      </c>
      <c r="E39" s="450" t="s">
        <v>134</v>
      </c>
      <c r="F39" s="451">
        <v>97.383056999999994</v>
      </c>
      <c r="G39" s="451">
        <v>25.395994000000002</v>
      </c>
      <c r="H39" s="451" t="s">
        <v>449</v>
      </c>
      <c r="I39" s="451" t="s">
        <v>214</v>
      </c>
      <c r="J39" s="452">
        <v>6</v>
      </c>
      <c r="K39" s="452">
        <v>35</v>
      </c>
      <c r="L39" s="452">
        <v>35</v>
      </c>
      <c r="M39" s="362" t="str">
        <f t="shared" si="37"/>
        <v>1. Small</v>
      </c>
      <c r="N39" s="701" t="s">
        <v>833</v>
      </c>
      <c r="O39" s="453" t="s">
        <v>235</v>
      </c>
      <c r="P39" s="461" t="s">
        <v>235</v>
      </c>
      <c r="Q39" s="382" t="str">
        <f t="shared" si="35"/>
        <v>Covered</v>
      </c>
      <c r="R39" s="462">
        <v>42429</v>
      </c>
      <c r="S39" s="453" t="s">
        <v>253</v>
      </c>
      <c r="T39" s="380" t="str">
        <f t="shared" si="36"/>
        <v>Documented</v>
      </c>
      <c r="U39" s="468">
        <v>0</v>
      </c>
      <c r="V39" s="452">
        <v>0</v>
      </c>
      <c r="W39" s="469" t="s">
        <v>19</v>
      </c>
      <c r="X39" s="468">
        <v>0</v>
      </c>
      <c r="Y39" s="474">
        <v>1</v>
      </c>
      <c r="Z39" s="475">
        <v>0</v>
      </c>
      <c r="AA39" s="481">
        <v>0</v>
      </c>
      <c r="AB39" s="482">
        <v>1</v>
      </c>
      <c r="AC39" s="385">
        <f t="shared" si="38"/>
        <v>1</v>
      </c>
      <c r="AD39" s="364">
        <f t="shared" si="39"/>
        <v>35</v>
      </c>
      <c r="AE39" s="365">
        <f t="shared" si="40"/>
        <v>1</v>
      </c>
      <c r="AF39" s="366">
        <f t="shared" si="41"/>
        <v>35</v>
      </c>
      <c r="AG39" s="363">
        <f t="shared" si="42"/>
        <v>1</v>
      </c>
      <c r="AH39" s="366">
        <f t="shared" si="43"/>
        <v>35</v>
      </c>
      <c r="AI39" s="367" t="str">
        <f t="shared" si="44"/>
        <v>80-100%</v>
      </c>
      <c r="AJ39" s="363">
        <f t="shared" si="45"/>
        <v>0</v>
      </c>
      <c r="AK39" s="368">
        <f t="shared" si="46"/>
        <v>0</v>
      </c>
      <c r="AL39" s="366">
        <f t="shared" si="47"/>
        <v>0</v>
      </c>
      <c r="AM39" s="366">
        <f t="shared" si="48"/>
        <v>6</v>
      </c>
      <c r="AN39" s="366">
        <f t="shared" si="49"/>
        <v>0</v>
      </c>
      <c r="AO39" s="485">
        <v>1</v>
      </c>
      <c r="AP39" s="486">
        <f t="shared" si="50"/>
        <v>35</v>
      </c>
      <c r="AQ39" s="475"/>
      <c r="AR39" s="732">
        <v>0</v>
      </c>
      <c r="AS39" s="452">
        <v>0</v>
      </c>
      <c r="AT39" s="452">
        <v>3</v>
      </c>
      <c r="AU39" s="452" t="s">
        <v>290</v>
      </c>
      <c r="AV39" s="369">
        <f t="shared" si="51"/>
        <v>1</v>
      </c>
      <c r="AW39" s="366">
        <f t="shared" si="52"/>
        <v>35</v>
      </c>
      <c r="AX39" s="369">
        <f t="shared" si="53"/>
        <v>0</v>
      </c>
      <c r="AY39" s="366">
        <f t="shared" si="54"/>
        <v>0</v>
      </c>
      <c r="AZ39" s="369">
        <f t="shared" si="55"/>
        <v>1</v>
      </c>
      <c r="BA39" s="366">
        <f t="shared" si="56"/>
        <v>35</v>
      </c>
      <c r="BB39" s="474">
        <v>0</v>
      </c>
      <c r="BC39" s="490">
        <v>1</v>
      </c>
      <c r="BD39" s="370">
        <f t="shared" si="57"/>
        <v>35</v>
      </c>
      <c r="BE39" s="371">
        <f t="shared" si="58"/>
        <v>0</v>
      </c>
      <c r="BF39" s="452">
        <v>1</v>
      </c>
      <c r="BG39" s="452" t="s">
        <v>89</v>
      </c>
      <c r="BH39" s="369">
        <f t="shared" si="59"/>
        <v>1</v>
      </c>
      <c r="BI39" s="366">
        <f t="shared" si="60"/>
        <v>35</v>
      </c>
      <c r="BJ39" s="371">
        <f t="shared" si="61"/>
        <v>0</v>
      </c>
      <c r="BK39" s="485">
        <v>1</v>
      </c>
      <c r="BL39" s="366">
        <f t="shared" si="62"/>
        <v>35</v>
      </c>
      <c r="BM39" s="474">
        <v>3</v>
      </c>
      <c r="BN39" s="369">
        <f t="shared" si="63"/>
        <v>1</v>
      </c>
      <c r="BO39" s="371">
        <f t="shared" si="64"/>
        <v>0</v>
      </c>
      <c r="BP39" s="478">
        <v>1</v>
      </c>
      <c r="BQ39" s="500" t="s">
        <v>641</v>
      </c>
      <c r="BR39" s="502">
        <v>42053</v>
      </c>
      <c r="BS39" s="372">
        <f t="shared" si="28"/>
        <v>42418</v>
      </c>
      <c r="BT39" s="452">
        <v>6</v>
      </c>
      <c r="BU39" s="452">
        <v>4</v>
      </c>
      <c r="BV39" s="373">
        <f t="shared" si="65"/>
        <v>0</v>
      </c>
      <c r="BW39" s="374">
        <f t="shared" si="66"/>
        <v>1</v>
      </c>
      <c r="BX39" s="366">
        <f t="shared" si="67"/>
        <v>35</v>
      </c>
      <c r="BY39" s="387">
        <f t="shared" si="32"/>
        <v>0</v>
      </c>
      <c r="BZ39" s="468"/>
      <c r="CA39" s="478">
        <v>0.8</v>
      </c>
      <c r="CB39" s="389">
        <f t="shared" si="68"/>
        <v>28</v>
      </c>
      <c r="CC39" s="468">
        <v>1</v>
      </c>
      <c r="CD39" s="375" t="str">
        <f t="shared" si="69"/>
        <v>Excellent coverage</v>
      </c>
      <c r="CE39" s="474">
        <v>0</v>
      </c>
      <c r="CF39" s="469" t="s">
        <v>293</v>
      </c>
      <c r="CG39" s="509"/>
    </row>
    <row r="40" spans="2:85" s="40" customFormat="1" ht="30.75" customHeight="1" x14ac:dyDescent="0.2">
      <c r="B40" s="449" t="s">
        <v>132</v>
      </c>
      <c r="C40" s="450" t="s">
        <v>494</v>
      </c>
      <c r="D40" s="451" t="s">
        <v>258</v>
      </c>
      <c r="E40" s="450" t="s">
        <v>135</v>
      </c>
      <c r="F40" s="451">
        <v>97.381195000000005</v>
      </c>
      <c r="G40" s="451">
        <v>25.396363999999998</v>
      </c>
      <c r="H40" s="451" t="s">
        <v>449</v>
      </c>
      <c r="I40" s="451" t="s">
        <v>214</v>
      </c>
      <c r="J40" s="452">
        <v>8</v>
      </c>
      <c r="K40" s="452">
        <v>26</v>
      </c>
      <c r="L40" s="452">
        <v>26</v>
      </c>
      <c r="M40" s="362" t="str">
        <f t="shared" si="37"/>
        <v>1. Small</v>
      </c>
      <c r="N40" s="701" t="s">
        <v>833</v>
      </c>
      <c r="O40" s="453" t="s">
        <v>235</v>
      </c>
      <c r="P40" s="461" t="s">
        <v>235</v>
      </c>
      <c r="Q40" s="382" t="str">
        <f t="shared" si="35"/>
        <v>Covered</v>
      </c>
      <c r="R40" s="462">
        <v>42429</v>
      </c>
      <c r="S40" s="453" t="s">
        <v>253</v>
      </c>
      <c r="T40" s="380" t="str">
        <f t="shared" si="36"/>
        <v>Documented</v>
      </c>
      <c r="U40" s="468">
        <v>0</v>
      </c>
      <c r="V40" s="452">
        <v>0</v>
      </c>
      <c r="W40" s="469" t="s">
        <v>19</v>
      </c>
      <c r="X40" s="468">
        <v>0</v>
      </c>
      <c r="Y40" s="474">
        <v>1</v>
      </c>
      <c r="Z40" s="475">
        <v>0</v>
      </c>
      <c r="AA40" s="481">
        <v>0</v>
      </c>
      <c r="AB40" s="482">
        <v>1</v>
      </c>
      <c r="AC40" s="385">
        <f t="shared" si="38"/>
        <v>1</v>
      </c>
      <c r="AD40" s="364">
        <f t="shared" si="39"/>
        <v>26</v>
      </c>
      <c r="AE40" s="365">
        <f t="shared" si="40"/>
        <v>1</v>
      </c>
      <c r="AF40" s="366">
        <f t="shared" si="41"/>
        <v>26</v>
      </c>
      <c r="AG40" s="363">
        <f t="shared" si="42"/>
        <v>1</v>
      </c>
      <c r="AH40" s="366">
        <f t="shared" si="43"/>
        <v>26</v>
      </c>
      <c r="AI40" s="367" t="str">
        <f t="shared" si="44"/>
        <v>80-100%</v>
      </c>
      <c r="AJ40" s="363">
        <f t="shared" si="45"/>
        <v>0</v>
      </c>
      <c r="AK40" s="368">
        <f t="shared" si="46"/>
        <v>0</v>
      </c>
      <c r="AL40" s="366">
        <f t="shared" si="47"/>
        <v>0</v>
      </c>
      <c r="AM40" s="366">
        <f t="shared" si="48"/>
        <v>8</v>
      </c>
      <c r="AN40" s="366">
        <f t="shared" si="49"/>
        <v>0</v>
      </c>
      <c r="AO40" s="485">
        <v>1</v>
      </c>
      <c r="AP40" s="486">
        <f t="shared" si="50"/>
        <v>26</v>
      </c>
      <c r="AQ40" s="475"/>
      <c r="AR40" s="732">
        <v>0</v>
      </c>
      <c r="AS40" s="452">
        <v>0</v>
      </c>
      <c r="AT40" s="452">
        <v>1</v>
      </c>
      <c r="AU40" s="452" t="s">
        <v>290</v>
      </c>
      <c r="AV40" s="369">
        <f t="shared" si="51"/>
        <v>0.76923076923076927</v>
      </c>
      <c r="AW40" s="366">
        <f t="shared" si="52"/>
        <v>20</v>
      </c>
      <c r="AX40" s="369">
        <f t="shared" si="53"/>
        <v>0</v>
      </c>
      <c r="AY40" s="366">
        <f t="shared" si="54"/>
        <v>0</v>
      </c>
      <c r="AZ40" s="369">
        <f t="shared" si="55"/>
        <v>0.76923076923076927</v>
      </c>
      <c r="BA40" s="366">
        <f t="shared" si="56"/>
        <v>20</v>
      </c>
      <c r="BB40" s="474">
        <v>0</v>
      </c>
      <c r="BC40" s="490">
        <v>0.77</v>
      </c>
      <c r="BD40" s="370">
        <f t="shared" si="57"/>
        <v>20.02</v>
      </c>
      <c r="BE40" s="371">
        <f t="shared" si="58"/>
        <v>0.30000000000000004</v>
      </c>
      <c r="BF40" s="452">
        <v>1</v>
      </c>
      <c r="BG40" s="452" t="s">
        <v>89</v>
      </c>
      <c r="BH40" s="369">
        <f t="shared" si="59"/>
        <v>1</v>
      </c>
      <c r="BI40" s="366">
        <f t="shared" si="60"/>
        <v>26</v>
      </c>
      <c r="BJ40" s="371">
        <f t="shared" si="61"/>
        <v>0</v>
      </c>
      <c r="BK40" s="485">
        <v>1</v>
      </c>
      <c r="BL40" s="366">
        <f t="shared" si="62"/>
        <v>26</v>
      </c>
      <c r="BM40" s="474">
        <v>3</v>
      </c>
      <c r="BN40" s="369">
        <f t="shared" si="63"/>
        <v>1</v>
      </c>
      <c r="BO40" s="371">
        <f t="shared" si="64"/>
        <v>0</v>
      </c>
      <c r="BP40" s="478">
        <v>1</v>
      </c>
      <c r="BQ40" s="500" t="s">
        <v>744</v>
      </c>
      <c r="BR40" s="502">
        <v>42053</v>
      </c>
      <c r="BS40" s="372">
        <f t="shared" si="28"/>
        <v>42418</v>
      </c>
      <c r="BT40" s="452">
        <v>8</v>
      </c>
      <c r="BU40" s="452">
        <v>4</v>
      </c>
      <c r="BV40" s="373">
        <f t="shared" si="65"/>
        <v>0</v>
      </c>
      <c r="BW40" s="374">
        <f t="shared" si="66"/>
        <v>1</v>
      </c>
      <c r="BX40" s="366">
        <f t="shared" si="67"/>
        <v>26</v>
      </c>
      <c r="BY40" s="387">
        <f t="shared" si="32"/>
        <v>0</v>
      </c>
      <c r="BZ40" s="468"/>
      <c r="CA40" s="478">
        <v>0.8</v>
      </c>
      <c r="CB40" s="389">
        <f t="shared" si="68"/>
        <v>20.8</v>
      </c>
      <c r="CC40" s="468">
        <v>1</v>
      </c>
      <c r="CD40" s="375" t="str">
        <f t="shared" si="69"/>
        <v>Excellent coverage</v>
      </c>
      <c r="CE40" s="474">
        <v>0</v>
      </c>
      <c r="CF40" s="469" t="s">
        <v>293</v>
      </c>
      <c r="CG40" s="509"/>
    </row>
    <row r="41" spans="2:85" s="40" customFormat="1" ht="30.75" customHeight="1" x14ac:dyDescent="0.2">
      <c r="B41" s="449" t="s">
        <v>132</v>
      </c>
      <c r="C41" s="450" t="s">
        <v>500</v>
      </c>
      <c r="D41" s="451" t="s">
        <v>258</v>
      </c>
      <c r="E41" s="450" t="s">
        <v>136</v>
      </c>
      <c r="F41" s="451">
        <v>97.389778000000007</v>
      </c>
      <c r="G41" s="451">
        <v>25.417733999999999</v>
      </c>
      <c r="H41" s="451" t="s">
        <v>449</v>
      </c>
      <c r="I41" s="451" t="s">
        <v>214</v>
      </c>
      <c r="J41" s="452">
        <v>189</v>
      </c>
      <c r="K41" s="452">
        <v>974</v>
      </c>
      <c r="L41" s="452">
        <v>974</v>
      </c>
      <c r="M41" s="362" t="str">
        <f t="shared" si="37"/>
        <v>2. Medium</v>
      </c>
      <c r="N41" s="701" t="s">
        <v>833</v>
      </c>
      <c r="O41" s="453" t="s">
        <v>235</v>
      </c>
      <c r="P41" s="461" t="s">
        <v>235</v>
      </c>
      <c r="Q41" s="382" t="str">
        <f t="shared" si="35"/>
        <v>Covered</v>
      </c>
      <c r="R41" s="462">
        <v>42429</v>
      </c>
      <c r="S41" s="453" t="s">
        <v>253</v>
      </c>
      <c r="T41" s="380" t="str">
        <f t="shared" si="36"/>
        <v>Documented</v>
      </c>
      <c r="U41" s="468">
        <v>0</v>
      </c>
      <c r="V41" s="452">
        <v>0</v>
      </c>
      <c r="W41" s="469" t="s">
        <v>19</v>
      </c>
      <c r="X41" s="468">
        <v>1</v>
      </c>
      <c r="Y41" s="474">
        <v>9</v>
      </c>
      <c r="Z41" s="475">
        <v>3000</v>
      </c>
      <c r="AA41" s="481">
        <v>0</v>
      </c>
      <c r="AB41" s="482">
        <v>1</v>
      </c>
      <c r="AC41" s="385">
        <f t="shared" si="38"/>
        <v>1</v>
      </c>
      <c r="AD41" s="364">
        <f t="shared" si="39"/>
        <v>974</v>
      </c>
      <c r="AE41" s="365">
        <f t="shared" si="40"/>
        <v>1</v>
      </c>
      <c r="AF41" s="366">
        <f t="shared" si="41"/>
        <v>974</v>
      </c>
      <c r="AG41" s="363">
        <f t="shared" si="42"/>
        <v>1</v>
      </c>
      <c r="AH41" s="366">
        <f t="shared" si="43"/>
        <v>974</v>
      </c>
      <c r="AI41" s="367" t="str">
        <f t="shared" si="44"/>
        <v>80-100%</v>
      </c>
      <c r="AJ41" s="363">
        <f t="shared" si="45"/>
        <v>0</v>
      </c>
      <c r="AK41" s="368">
        <f t="shared" si="46"/>
        <v>0</v>
      </c>
      <c r="AL41" s="366">
        <f t="shared" si="47"/>
        <v>0</v>
      </c>
      <c r="AM41" s="366">
        <f t="shared" si="48"/>
        <v>189</v>
      </c>
      <c r="AN41" s="366">
        <f t="shared" si="49"/>
        <v>0</v>
      </c>
      <c r="AO41" s="485">
        <v>1</v>
      </c>
      <c r="AP41" s="486">
        <f t="shared" si="50"/>
        <v>974</v>
      </c>
      <c r="AQ41" s="475"/>
      <c r="AR41" s="732">
        <v>0</v>
      </c>
      <c r="AS41" s="452">
        <v>0</v>
      </c>
      <c r="AT41" s="452">
        <v>51</v>
      </c>
      <c r="AU41" s="452" t="s">
        <v>290</v>
      </c>
      <c r="AV41" s="369">
        <f t="shared" si="51"/>
        <v>1</v>
      </c>
      <c r="AW41" s="366">
        <f t="shared" si="52"/>
        <v>974</v>
      </c>
      <c r="AX41" s="369">
        <f t="shared" si="53"/>
        <v>0</v>
      </c>
      <c r="AY41" s="366">
        <f t="shared" si="54"/>
        <v>0</v>
      </c>
      <c r="AZ41" s="369">
        <f t="shared" si="55"/>
        <v>1</v>
      </c>
      <c r="BA41" s="366">
        <f t="shared" si="56"/>
        <v>974</v>
      </c>
      <c r="BB41" s="474">
        <v>0</v>
      </c>
      <c r="BC41" s="490">
        <v>1</v>
      </c>
      <c r="BD41" s="370">
        <f t="shared" si="57"/>
        <v>974</v>
      </c>
      <c r="BE41" s="371">
        <f t="shared" si="58"/>
        <v>0</v>
      </c>
      <c r="BF41" s="452">
        <v>4</v>
      </c>
      <c r="BG41" s="452" t="s">
        <v>292</v>
      </c>
      <c r="BH41" s="369">
        <f t="shared" si="59"/>
        <v>0.41067761806981518</v>
      </c>
      <c r="BI41" s="366">
        <f t="shared" si="60"/>
        <v>400</v>
      </c>
      <c r="BJ41" s="371">
        <f t="shared" si="61"/>
        <v>5.74</v>
      </c>
      <c r="BK41" s="485">
        <v>0.41</v>
      </c>
      <c r="BL41" s="366">
        <f t="shared" si="62"/>
        <v>399.34</v>
      </c>
      <c r="BM41" s="474">
        <v>15</v>
      </c>
      <c r="BN41" s="369">
        <f t="shared" si="63"/>
        <v>1</v>
      </c>
      <c r="BO41" s="371">
        <f t="shared" si="64"/>
        <v>0</v>
      </c>
      <c r="BP41" s="478">
        <v>1</v>
      </c>
      <c r="BQ41" s="500" t="s">
        <v>847</v>
      </c>
      <c r="BR41" s="502">
        <v>42053</v>
      </c>
      <c r="BS41" s="372">
        <f t="shared" si="28"/>
        <v>42418</v>
      </c>
      <c r="BT41" s="452">
        <v>189</v>
      </c>
      <c r="BU41" s="452">
        <v>4</v>
      </c>
      <c r="BV41" s="373">
        <f t="shared" si="65"/>
        <v>0</v>
      </c>
      <c r="BW41" s="374">
        <f t="shared" si="66"/>
        <v>1</v>
      </c>
      <c r="BX41" s="366">
        <f t="shared" si="67"/>
        <v>974</v>
      </c>
      <c r="BY41" s="387">
        <f t="shared" si="32"/>
        <v>0</v>
      </c>
      <c r="BZ41" s="468"/>
      <c r="CA41" s="478">
        <v>0.8</v>
      </c>
      <c r="CB41" s="389">
        <f t="shared" si="68"/>
        <v>779.2</v>
      </c>
      <c r="CC41" s="468">
        <v>3</v>
      </c>
      <c r="CD41" s="375" t="str">
        <f t="shared" si="69"/>
        <v>Excellent coverage</v>
      </c>
      <c r="CE41" s="474">
        <v>0</v>
      </c>
      <c r="CF41" s="469" t="s">
        <v>293</v>
      </c>
      <c r="CG41" s="509"/>
    </row>
    <row r="42" spans="2:85" s="40" customFormat="1" ht="30.75" customHeight="1" x14ac:dyDescent="0.2">
      <c r="B42" s="449" t="s">
        <v>132</v>
      </c>
      <c r="C42" s="450" t="s">
        <v>501</v>
      </c>
      <c r="D42" s="451" t="s">
        <v>258</v>
      </c>
      <c r="E42" s="450" t="s">
        <v>137</v>
      </c>
      <c r="F42" s="451">
        <v>97.373361000000003</v>
      </c>
      <c r="G42" s="451">
        <v>25.403476999999999</v>
      </c>
      <c r="H42" s="451" t="s">
        <v>449</v>
      </c>
      <c r="I42" s="451" t="s">
        <v>214</v>
      </c>
      <c r="J42" s="452">
        <v>106</v>
      </c>
      <c r="K42" s="452">
        <v>468</v>
      </c>
      <c r="L42" s="452">
        <v>468</v>
      </c>
      <c r="M42" s="362" t="str">
        <f t="shared" si="37"/>
        <v>2. Medium</v>
      </c>
      <c r="N42" s="701" t="s">
        <v>834</v>
      </c>
      <c r="O42" s="453" t="s">
        <v>231</v>
      </c>
      <c r="P42" s="461" t="s">
        <v>231</v>
      </c>
      <c r="Q42" s="382" t="str">
        <f t="shared" si="35"/>
        <v>Covered</v>
      </c>
      <c r="R42" s="462">
        <v>42369</v>
      </c>
      <c r="S42" s="453" t="s">
        <v>253</v>
      </c>
      <c r="T42" s="380" t="str">
        <f t="shared" si="36"/>
        <v>Documented</v>
      </c>
      <c r="U42" s="468">
        <v>0</v>
      </c>
      <c r="V42" s="452">
        <v>0</v>
      </c>
      <c r="W42" s="469" t="s">
        <v>19</v>
      </c>
      <c r="X42" s="468">
        <v>1</v>
      </c>
      <c r="Y42" s="474">
        <v>3</v>
      </c>
      <c r="Z42" s="475">
        <v>3000</v>
      </c>
      <c r="AA42" s="481">
        <v>0</v>
      </c>
      <c r="AB42" s="482">
        <v>1</v>
      </c>
      <c r="AC42" s="385">
        <f t="shared" si="38"/>
        <v>1</v>
      </c>
      <c r="AD42" s="364">
        <f t="shared" si="39"/>
        <v>468</v>
      </c>
      <c r="AE42" s="365">
        <f t="shared" si="40"/>
        <v>1</v>
      </c>
      <c r="AF42" s="366">
        <f t="shared" si="41"/>
        <v>468</v>
      </c>
      <c r="AG42" s="363">
        <f t="shared" si="42"/>
        <v>1</v>
      </c>
      <c r="AH42" s="366">
        <f t="shared" si="43"/>
        <v>468</v>
      </c>
      <c r="AI42" s="367" t="str">
        <f t="shared" si="44"/>
        <v>80-100%</v>
      </c>
      <c r="AJ42" s="363">
        <f t="shared" si="45"/>
        <v>0</v>
      </c>
      <c r="AK42" s="368">
        <f t="shared" si="46"/>
        <v>0</v>
      </c>
      <c r="AL42" s="366">
        <f t="shared" si="47"/>
        <v>0</v>
      </c>
      <c r="AM42" s="366">
        <f t="shared" si="48"/>
        <v>106</v>
      </c>
      <c r="AN42" s="366">
        <f t="shared" si="49"/>
        <v>0</v>
      </c>
      <c r="AO42" s="485">
        <v>1</v>
      </c>
      <c r="AP42" s="486">
        <f t="shared" si="50"/>
        <v>468</v>
      </c>
      <c r="AQ42" s="475"/>
      <c r="AR42" s="732">
        <v>27</v>
      </c>
      <c r="AS42" s="452">
        <v>0</v>
      </c>
      <c r="AT42" s="452">
        <v>20</v>
      </c>
      <c r="AU42" s="452" t="s">
        <v>290</v>
      </c>
      <c r="AV42" s="369">
        <f t="shared" si="51"/>
        <v>0.85470085470085466</v>
      </c>
      <c r="AW42" s="366">
        <f t="shared" si="52"/>
        <v>400</v>
      </c>
      <c r="AX42" s="369">
        <f t="shared" si="53"/>
        <v>0</v>
      </c>
      <c r="AY42" s="366">
        <f t="shared" si="54"/>
        <v>0</v>
      </c>
      <c r="AZ42" s="369">
        <f t="shared" si="55"/>
        <v>0.85470085470085466</v>
      </c>
      <c r="BA42" s="366">
        <f t="shared" si="56"/>
        <v>400</v>
      </c>
      <c r="BB42" s="474">
        <v>0</v>
      </c>
      <c r="BC42" s="490">
        <v>0.86</v>
      </c>
      <c r="BD42" s="370">
        <f t="shared" si="57"/>
        <v>402.48</v>
      </c>
      <c r="BE42" s="371">
        <f t="shared" si="58"/>
        <v>3.3999999999999986</v>
      </c>
      <c r="BF42" s="452">
        <v>1</v>
      </c>
      <c r="BG42" s="452" t="s">
        <v>89</v>
      </c>
      <c r="BH42" s="369">
        <f t="shared" si="59"/>
        <v>0.21367521367521367</v>
      </c>
      <c r="BI42" s="366">
        <f t="shared" si="60"/>
        <v>100</v>
      </c>
      <c r="BJ42" s="371">
        <f t="shared" si="61"/>
        <v>3.6799999999999997</v>
      </c>
      <c r="BK42" s="485">
        <v>0.21</v>
      </c>
      <c r="BL42" s="366">
        <f t="shared" si="62"/>
        <v>98.28</v>
      </c>
      <c r="BM42" s="474">
        <v>4</v>
      </c>
      <c r="BN42" s="369">
        <f t="shared" si="63"/>
        <v>0.85470085470085466</v>
      </c>
      <c r="BO42" s="371">
        <f t="shared" si="64"/>
        <v>0.67999999999999972</v>
      </c>
      <c r="BP42" s="478">
        <v>0.85</v>
      </c>
      <c r="BQ42" s="500" t="s">
        <v>848</v>
      </c>
      <c r="BR42" s="502">
        <v>41781</v>
      </c>
      <c r="BS42" s="372" t="str">
        <f t="shared" si="28"/>
        <v>To be realised</v>
      </c>
      <c r="BT42" s="452">
        <v>106</v>
      </c>
      <c r="BU42" s="452">
        <v>2</v>
      </c>
      <c r="BV42" s="373">
        <f t="shared" si="65"/>
        <v>106</v>
      </c>
      <c r="BW42" s="374">
        <f t="shared" si="66"/>
        <v>0</v>
      </c>
      <c r="BX42" s="366">
        <f t="shared" si="67"/>
        <v>0</v>
      </c>
      <c r="BY42" s="387">
        <f t="shared" si="32"/>
        <v>11</v>
      </c>
      <c r="BZ42" s="468"/>
      <c r="CA42" s="478">
        <v>1</v>
      </c>
      <c r="CB42" s="389">
        <f t="shared" si="68"/>
        <v>468</v>
      </c>
      <c r="CC42" s="468">
        <v>0</v>
      </c>
      <c r="CD42" s="375" t="str">
        <f t="shared" si="69"/>
        <v>No coverage</v>
      </c>
      <c r="CE42" s="474">
        <v>0</v>
      </c>
      <c r="CF42" s="469" t="s">
        <v>293</v>
      </c>
      <c r="CG42" s="509"/>
    </row>
    <row r="43" spans="2:85" s="40" customFormat="1" ht="30.75" customHeight="1" x14ac:dyDescent="0.2">
      <c r="B43" s="449" t="s">
        <v>132</v>
      </c>
      <c r="C43" s="450" t="s">
        <v>496</v>
      </c>
      <c r="D43" s="451" t="s">
        <v>258</v>
      </c>
      <c r="E43" s="450" t="s">
        <v>138</v>
      </c>
      <c r="F43" s="451">
        <v>97.405120999999994</v>
      </c>
      <c r="G43" s="451">
        <v>25.365891000000001</v>
      </c>
      <c r="H43" s="451" t="s">
        <v>449</v>
      </c>
      <c r="I43" s="451" t="s">
        <v>214</v>
      </c>
      <c r="J43" s="452">
        <v>44</v>
      </c>
      <c r="K43" s="452">
        <v>180</v>
      </c>
      <c r="L43" s="452">
        <v>180</v>
      </c>
      <c r="M43" s="362" t="str">
        <f t="shared" si="37"/>
        <v>1. Small</v>
      </c>
      <c r="N43" s="701" t="s">
        <v>833</v>
      </c>
      <c r="O43" s="453" t="s">
        <v>235</v>
      </c>
      <c r="P43" s="461" t="s">
        <v>235</v>
      </c>
      <c r="Q43" s="382" t="str">
        <f t="shared" si="35"/>
        <v>Covered</v>
      </c>
      <c r="R43" s="462">
        <v>42429</v>
      </c>
      <c r="S43" s="453" t="s">
        <v>253</v>
      </c>
      <c r="T43" s="380" t="str">
        <f t="shared" si="36"/>
        <v>Documented</v>
      </c>
      <c r="U43" s="468">
        <v>0</v>
      </c>
      <c r="V43" s="452">
        <v>0</v>
      </c>
      <c r="W43" s="469" t="s">
        <v>19</v>
      </c>
      <c r="X43" s="468">
        <v>1</v>
      </c>
      <c r="Y43" s="474">
        <v>1</v>
      </c>
      <c r="Z43" s="475">
        <v>0</v>
      </c>
      <c r="AA43" s="481">
        <v>0</v>
      </c>
      <c r="AB43" s="482">
        <v>1</v>
      </c>
      <c r="AC43" s="385">
        <f t="shared" si="38"/>
        <v>1</v>
      </c>
      <c r="AD43" s="364">
        <f t="shared" si="39"/>
        <v>180</v>
      </c>
      <c r="AE43" s="365">
        <f t="shared" si="40"/>
        <v>1</v>
      </c>
      <c r="AF43" s="366">
        <f t="shared" si="41"/>
        <v>180</v>
      </c>
      <c r="AG43" s="363">
        <f t="shared" si="42"/>
        <v>1</v>
      </c>
      <c r="AH43" s="366">
        <f t="shared" si="43"/>
        <v>180</v>
      </c>
      <c r="AI43" s="367" t="str">
        <f t="shared" si="44"/>
        <v>80-100%</v>
      </c>
      <c r="AJ43" s="363">
        <f t="shared" si="45"/>
        <v>0</v>
      </c>
      <c r="AK43" s="368">
        <f t="shared" si="46"/>
        <v>0</v>
      </c>
      <c r="AL43" s="366">
        <f t="shared" si="47"/>
        <v>0</v>
      </c>
      <c r="AM43" s="366">
        <f t="shared" si="48"/>
        <v>44</v>
      </c>
      <c r="AN43" s="366">
        <f t="shared" si="49"/>
        <v>0</v>
      </c>
      <c r="AO43" s="485">
        <v>1</v>
      </c>
      <c r="AP43" s="486">
        <f t="shared" si="50"/>
        <v>180</v>
      </c>
      <c r="AQ43" s="475"/>
      <c r="AR43" s="732">
        <v>0</v>
      </c>
      <c r="AS43" s="452">
        <v>0</v>
      </c>
      <c r="AT43" s="452">
        <v>8</v>
      </c>
      <c r="AU43" s="452" t="s">
        <v>290</v>
      </c>
      <c r="AV43" s="369">
        <f t="shared" si="51"/>
        <v>0.88888888888888884</v>
      </c>
      <c r="AW43" s="366">
        <f t="shared" si="52"/>
        <v>160</v>
      </c>
      <c r="AX43" s="369">
        <f t="shared" si="53"/>
        <v>0</v>
      </c>
      <c r="AY43" s="366">
        <f t="shared" si="54"/>
        <v>0</v>
      </c>
      <c r="AZ43" s="369">
        <f t="shared" si="55"/>
        <v>0.88888888888888884</v>
      </c>
      <c r="BA43" s="366">
        <f t="shared" si="56"/>
        <v>160</v>
      </c>
      <c r="BB43" s="474">
        <v>0</v>
      </c>
      <c r="BC43" s="490">
        <v>0.89</v>
      </c>
      <c r="BD43" s="370">
        <f t="shared" si="57"/>
        <v>160.19999999999999</v>
      </c>
      <c r="BE43" s="371">
        <f t="shared" si="58"/>
        <v>1</v>
      </c>
      <c r="BF43" s="452">
        <v>2</v>
      </c>
      <c r="BG43" s="452" t="s">
        <v>89</v>
      </c>
      <c r="BH43" s="369">
        <f t="shared" si="59"/>
        <v>1</v>
      </c>
      <c r="BI43" s="366">
        <f t="shared" si="60"/>
        <v>180</v>
      </c>
      <c r="BJ43" s="371">
        <f t="shared" si="61"/>
        <v>0</v>
      </c>
      <c r="BK43" s="485">
        <v>1</v>
      </c>
      <c r="BL43" s="366">
        <f t="shared" si="62"/>
        <v>180</v>
      </c>
      <c r="BM43" s="474">
        <v>3</v>
      </c>
      <c r="BN43" s="369">
        <f t="shared" si="63"/>
        <v>1</v>
      </c>
      <c r="BO43" s="371">
        <f t="shared" si="64"/>
        <v>0</v>
      </c>
      <c r="BP43" s="478">
        <v>1</v>
      </c>
      <c r="BQ43" s="500" t="s">
        <v>849</v>
      </c>
      <c r="BR43" s="502">
        <v>42053</v>
      </c>
      <c r="BS43" s="372">
        <f t="shared" si="28"/>
        <v>42418</v>
      </c>
      <c r="BT43" s="452">
        <v>44</v>
      </c>
      <c r="BU43" s="452">
        <v>4</v>
      </c>
      <c r="BV43" s="373">
        <f t="shared" si="65"/>
        <v>0</v>
      </c>
      <c r="BW43" s="374">
        <f t="shared" si="66"/>
        <v>1</v>
      </c>
      <c r="BX43" s="366">
        <f t="shared" si="67"/>
        <v>180</v>
      </c>
      <c r="BY43" s="387">
        <f t="shared" si="32"/>
        <v>0</v>
      </c>
      <c r="BZ43" s="468"/>
      <c r="CA43" s="478">
        <v>0.8</v>
      </c>
      <c r="CB43" s="389">
        <f t="shared" si="68"/>
        <v>144</v>
      </c>
      <c r="CC43" s="468">
        <v>1</v>
      </c>
      <c r="CD43" s="375" t="str">
        <f t="shared" si="69"/>
        <v>Excellent coverage</v>
      </c>
      <c r="CE43" s="474">
        <v>0</v>
      </c>
      <c r="CF43" s="469" t="s">
        <v>293</v>
      </c>
      <c r="CG43" s="509"/>
    </row>
    <row r="44" spans="2:85" s="40" customFormat="1" ht="30.75" customHeight="1" x14ac:dyDescent="0.2">
      <c r="B44" s="449" t="s">
        <v>132</v>
      </c>
      <c r="C44" s="450" t="s">
        <v>693</v>
      </c>
      <c r="D44" s="451" t="s">
        <v>258</v>
      </c>
      <c r="E44" s="450" t="s">
        <v>196</v>
      </c>
      <c r="F44" s="451"/>
      <c r="G44" s="451"/>
      <c r="H44" s="451" t="s">
        <v>449</v>
      </c>
      <c r="I44" s="451" t="s">
        <v>222</v>
      </c>
      <c r="J44" s="452">
        <v>19</v>
      </c>
      <c r="K44" s="452">
        <v>68</v>
      </c>
      <c r="L44" s="452">
        <v>68</v>
      </c>
      <c r="M44" s="362" t="str">
        <f t="shared" si="37"/>
        <v>1. Small</v>
      </c>
      <c r="N44" s="701" t="s">
        <v>834</v>
      </c>
      <c r="O44" s="453"/>
      <c r="P44" s="461" t="s">
        <v>231</v>
      </c>
      <c r="Q44" s="382" t="str">
        <f t="shared" si="35"/>
        <v>Covered</v>
      </c>
      <c r="R44" s="462">
        <v>42369</v>
      </c>
      <c r="S44" s="453" t="s">
        <v>253</v>
      </c>
      <c r="T44" s="380" t="str">
        <f t="shared" si="36"/>
        <v>Documented</v>
      </c>
      <c r="U44" s="468">
        <v>0</v>
      </c>
      <c r="V44" s="452">
        <v>0</v>
      </c>
      <c r="W44" s="469" t="s">
        <v>19</v>
      </c>
      <c r="X44" s="468">
        <v>0</v>
      </c>
      <c r="Y44" s="474">
        <v>0</v>
      </c>
      <c r="Z44" s="475">
        <v>1500</v>
      </c>
      <c r="AA44" s="481">
        <v>0</v>
      </c>
      <c r="AB44" s="482">
        <v>0</v>
      </c>
      <c r="AC44" s="385">
        <f t="shared" si="38"/>
        <v>1</v>
      </c>
      <c r="AD44" s="364">
        <f t="shared" si="39"/>
        <v>68</v>
      </c>
      <c r="AE44" s="365">
        <f t="shared" si="40"/>
        <v>1</v>
      </c>
      <c r="AF44" s="366">
        <f t="shared" si="41"/>
        <v>68</v>
      </c>
      <c r="AG44" s="363">
        <f t="shared" si="42"/>
        <v>1</v>
      </c>
      <c r="AH44" s="366">
        <f t="shared" si="43"/>
        <v>68</v>
      </c>
      <c r="AI44" s="367" t="str">
        <f t="shared" si="44"/>
        <v>80-100%</v>
      </c>
      <c r="AJ44" s="363">
        <f t="shared" si="45"/>
        <v>0</v>
      </c>
      <c r="AK44" s="368">
        <f t="shared" si="46"/>
        <v>0</v>
      </c>
      <c r="AL44" s="366">
        <f t="shared" si="47"/>
        <v>0.17</v>
      </c>
      <c r="AM44" s="366">
        <f t="shared" si="48"/>
        <v>0</v>
      </c>
      <c r="AN44" s="366">
        <f t="shared" si="49"/>
        <v>0</v>
      </c>
      <c r="AO44" s="485">
        <v>1</v>
      </c>
      <c r="AP44" s="486">
        <f t="shared" si="50"/>
        <v>68</v>
      </c>
      <c r="AQ44" s="475" t="s">
        <v>767</v>
      </c>
      <c r="AR44" s="732">
        <v>0</v>
      </c>
      <c r="AS44" s="452">
        <v>0</v>
      </c>
      <c r="AT44" s="452">
        <v>3</v>
      </c>
      <c r="AU44" s="452" t="s">
        <v>89</v>
      </c>
      <c r="AV44" s="369">
        <f t="shared" si="51"/>
        <v>0.88235294117647056</v>
      </c>
      <c r="AW44" s="366">
        <f t="shared" si="52"/>
        <v>60</v>
      </c>
      <c r="AX44" s="369">
        <f t="shared" si="53"/>
        <v>0</v>
      </c>
      <c r="AY44" s="366">
        <f t="shared" si="54"/>
        <v>0</v>
      </c>
      <c r="AZ44" s="369">
        <f t="shared" si="55"/>
        <v>0.88235294117647056</v>
      </c>
      <c r="BA44" s="366">
        <f t="shared" si="56"/>
        <v>60</v>
      </c>
      <c r="BB44" s="474">
        <v>0</v>
      </c>
      <c r="BC44" s="490">
        <v>0.89</v>
      </c>
      <c r="BD44" s="370">
        <f t="shared" si="57"/>
        <v>60.52</v>
      </c>
      <c r="BE44" s="371">
        <f t="shared" si="58"/>
        <v>0.39999999999999991</v>
      </c>
      <c r="BF44" s="452">
        <v>0</v>
      </c>
      <c r="BG44" s="452" t="s">
        <v>89</v>
      </c>
      <c r="BH44" s="369">
        <f t="shared" si="59"/>
        <v>0</v>
      </c>
      <c r="BI44" s="366">
        <f t="shared" si="60"/>
        <v>0</v>
      </c>
      <c r="BJ44" s="371">
        <f t="shared" si="61"/>
        <v>0.68</v>
      </c>
      <c r="BK44" s="485">
        <v>0</v>
      </c>
      <c r="BL44" s="366">
        <f t="shared" si="62"/>
        <v>0</v>
      </c>
      <c r="BM44" s="474">
        <v>0</v>
      </c>
      <c r="BN44" s="369">
        <f t="shared" si="63"/>
        <v>0</v>
      </c>
      <c r="BO44" s="371">
        <f t="shared" si="64"/>
        <v>0.68</v>
      </c>
      <c r="BP44" s="478">
        <v>0</v>
      </c>
      <c r="BQ44" s="500" t="s">
        <v>771</v>
      </c>
      <c r="BR44" s="502"/>
      <c r="BS44" s="372" t="str">
        <f t="shared" si="28"/>
        <v>To be realised</v>
      </c>
      <c r="BT44" s="452">
        <v>0</v>
      </c>
      <c r="BU44" s="452">
        <v>0</v>
      </c>
      <c r="BV44" s="373">
        <f t="shared" si="65"/>
        <v>19</v>
      </c>
      <c r="BW44" s="374">
        <f t="shared" si="66"/>
        <v>0</v>
      </c>
      <c r="BX44" s="366">
        <f t="shared" si="67"/>
        <v>0</v>
      </c>
      <c r="BY44" s="387" t="str">
        <f t="shared" si="32"/>
        <v>Column BN to be completed</v>
      </c>
      <c r="BZ44" s="468"/>
      <c r="CA44" s="478">
        <v>0</v>
      </c>
      <c r="CB44" s="389">
        <f t="shared" si="68"/>
        <v>0</v>
      </c>
      <c r="CC44" s="468">
        <v>0</v>
      </c>
      <c r="CD44" s="375" t="str">
        <f t="shared" si="69"/>
        <v>No coverage</v>
      </c>
      <c r="CE44" s="474">
        <v>0</v>
      </c>
      <c r="CF44" s="469" t="s">
        <v>294</v>
      </c>
      <c r="CG44" s="509"/>
    </row>
    <row r="45" spans="2:85" s="40" customFormat="1" ht="30.75" customHeight="1" x14ac:dyDescent="0.2">
      <c r="B45" s="449" t="s">
        <v>132</v>
      </c>
      <c r="C45" s="450" t="s">
        <v>498</v>
      </c>
      <c r="D45" s="451" t="s">
        <v>258</v>
      </c>
      <c r="E45" s="450" t="s">
        <v>139</v>
      </c>
      <c r="F45" s="451">
        <v>97.409317000000001</v>
      </c>
      <c r="G45" s="451">
        <v>25.362189999999998</v>
      </c>
      <c r="H45" s="451" t="s">
        <v>449</v>
      </c>
      <c r="I45" s="451" t="s">
        <v>214</v>
      </c>
      <c r="J45" s="452">
        <v>105</v>
      </c>
      <c r="K45" s="452">
        <v>563</v>
      </c>
      <c r="L45" s="452">
        <v>328</v>
      </c>
      <c r="M45" s="362" t="str">
        <f t="shared" si="37"/>
        <v>2. Medium</v>
      </c>
      <c r="N45" s="701" t="s">
        <v>833</v>
      </c>
      <c r="O45" s="453" t="s">
        <v>235</v>
      </c>
      <c r="P45" s="461" t="s">
        <v>235</v>
      </c>
      <c r="Q45" s="382" t="str">
        <f t="shared" si="35"/>
        <v>Covered</v>
      </c>
      <c r="R45" s="462">
        <v>42429</v>
      </c>
      <c r="S45" s="453" t="s">
        <v>253</v>
      </c>
      <c r="T45" s="380" t="str">
        <f t="shared" si="36"/>
        <v>Documented</v>
      </c>
      <c r="U45" s="468">
        <v>0</v>
      </c>
      <c r="V45" s="452">
        <v>0</v>
      </c>
      <c r="W45" s="469" t="s">
        <v>19</v>
      </c>
      <c r="X45" s="468">
        <v>1</v>
      </c>
      <c r="Y45" s="474">
        <v>0</v>
      </c>
      <c r="Z45" s="475">
        <v>0</v>
      </c>
      <c r="AA45" s="481">
        <v>0</v>
      </c>
      <c r="AB45" s="482">
        <v>1</v>
      </c>
      <c r="AC45" s="385">
        <f t="shared" si="38"/>
        <v>1</v>
      </c>
      <c r="AD45" s="364">
        <f t="shared" si="39"/>
        <v>328</v>
      </c>
      <c r="AE45" s="365">
        <f t="shared" si="40"/>
        <v>1</v>
      </c>
      <c r="AF45" s="366">
        <f t="shared" si="41"/>
        <v>328</v>
      </c>
      <c r="AG45" s="363">
        <f t="shared" si="42"/>
        <v>1</v>
      </c>
      <c r="AH45" s="366">
        <f t="shared" si="43"/>
        <v>328</v>
      </c>
      <c r="AI45" s="367" t="str">
        <f t="shared" si="44"/>
        <v>80-100%</v>
      </c>
      <c r="AJ45" s="363">
        <f t="shared" si="45"/>
        <v>0</v>
      </c>
      <c r="AK45" s="368">
        <f t="shared" si="46"/>
        <v>0</v>
      </c>
      <c r="AL45" s="366">
        <f t="shared" si="47"/>
        <v>0</v>
      </c>
      <c r="AM45" s="366">
        <f t="shared" si="48"/>
        <v>105</v>
      </c>
      <c r="AN45" s="366">
        <f t="shared" si="49"/>
        <v>0</v>
      </c>
      <c r="AO45" s="485">
        <v>1</v>
      </c>
      <c r="AP45" s="486">
        <f t="shared" si="50"/>
        <v>328</v>
      </c>
      <c r="AQ45" s="475"/>
      <c r="AR45" s="732">
        <v>0</v>
      </c>
      <c r="AS45" s="452">
        <v>0</v>
      </c>
      <c r="AT45" s="452">
        <v>10</v>
      </c>
      <c r="AU45" s="452" t="s">
        <v>290</v>
      </c>
      <c r="AV45" s="369">
        <f t="shared" si="51"/>
        <v>0.6097560975609756</v>
      </c>
      <c r="AW45" s="366">
        <f t="shared" si="52"/>
        <v>200</v>
      </c>
      <c r="AX45" s="369">
        <f t="shared" si="53"/>
        <v>0</v>
      </c>
      <c r="AY45" s="366">
        <f t="shared" si="54"/>
        <v>0</v>
      </c>
      <c r="AZ45" s="369">
        <f t="shared" si="55"/>
        <v>0.6097560975609756</v>
      </c>
      <c r="BA45" s="366">
        <f t="shared" si="56"/>
        <v>200</v>
      </c>
      <c r="BB45" s="474">
        <v>0</v>
      </c>
      <c r="BC45" s="490">
        <v>0.61</v>
      </c>
      <c r="BD45" s="370">
        <f t="shared" si="57"/>
        <v>200.07999999999998</v>
      </c>
      <c r="BE45" s="371">
        <f t="shared" si="58"/>
        <v>6.3999999999999986</v>
      </c>
      <c r="BF45" s="452">
        <v>1</v>
      </c>
      <c r="BG45" s="452" t="s">
        <v>89</v>
      </c>
      <c r="BH45" s="369">
        <f t="shared" si="59"/>
        <v>0.3048780487804878</v>
      </c>
      <c r="BI45" s="366">
        <f t="shared" si="60"/>
        <v>100</v>
      </c>
      <c r="BJ45" s="371">
        <f t="shared" si="61"/>
        <v>4.63</v>
      </c>
      <c r="BK45" s="485">
        <v>0.3</v>
      </c>
      <c r="BL45" s="366">
        <f t="shared" si="62"/>
        <v>98.399999999999991</v>
      </c>
      <c r="BM45" s="474">
        <v>3</v>
      </c>
      <c r="BN45" s="369">
        <f t="shared" si="63"/>
        <v>0.91463414634146345</v>
      </c>
      <c r="BO45" s="371">
        <f t="shared" si="64"/>
        <v>2.63</v>
      </c>
      <c r="BP45" s="478">
        <v>0.91</v>
      </c>
      <c r="BQ45" s="500" t="s">
        <v>850</v>
      </c>
      <c r="BR45" s="502">
        <v>42053</v>
      </c>
      <c r="BS45" s="372">
        <f t="shared" si="28"/>
        <v>42418</v>
      </c>
      <c r="BT45" s="452">
        <v>105</v>
      </c>
      <c r="BU45" s="452">
        <v>4</v>
      </c>
      <c r="BV45" s="373">
        <f t="shared" si="65"/>
        <v>0</v>
      </c>
      <c r="BW45" s="374">
        <f t="shared" si="66"/>
        <v>1</v>
      </c>
      <c r="BX45" s="366">
        <f t="shared" si="67"/>
        <v>328</v>
      </c>
      <c r="BY45" s="387">
        <f t="shared" si="32"/>
        <v>0</v>
      </c>
      <c r="BZ45" s="468"/>
      <c r="CA45" s="478">
        <v>0.8</v>
      </c>
      <c r="CB45" s="389">
        <f t="shared" si="68"/>
        <v>262.40000000000003</v>
      </c>
      <c r="CC45" s="468">
        <v>1</v>
      </c>
      <c r="CD45" s="375" t="str">
        <f t="shared" si="69"/>
        <v>Excellent coverage</v>
      </c>
      <c r="CE45" s="474">
        <v>3</v>
      </c>
      <c r="CF45" s="469" t="s">
        <v>293</v>
      </c>
      <c r="CG45" s="509"/>
    </row>
    <row r="46" spans="2:85" s="40" customFormat="1" ht="30.75" customHeight="1" x14ac:dyDescent="0.2">
      <c r="B46" s="449" t="s">
        <v>132</v>
      </c>
      <c r="C46" s="450" t="s">
        <v>497</v>
      </c>
      <c r="D46" s="451" t="s">
        <v>258</v>
      </c>
      <c r="E46" s="450" t="s">
        <v>140</v>
      </c>
      <c r="F46" s="451">
        <v>97.408919999999995</v>
      </c>
      <c r="G46" s="451">
        <v>25.355983999999999</v>
      </c>
      <c r="H46" s="451" t="s">
        <v>449</v>
      </c>
      <c r="I46" s="451" t="s">
        <v>214</v>
      </c>
      <c r="J46" s="452">
        <v>143</v>
      </c>
      <c r="K46" s="452">
        <v>717</v>
      </c>
      <c r="L46" s="452">
        <v>462</v>
      </c>
      <c r="M46" s="362" t="str">
        <f t="shared" si="37"/>
        <v>2. Medium</v>
      </c>
      <c r="N46" s="701" t="s">
        <v>833</v>
      </c>
      <c r="O46" s="453" t="s">
        <v>235</v>
      </c>
      <c r="P46" s="461" t="s">
        <v>235</v>
      </c>
      <c r="Q46" s="382" t="str">
        <f t="shared" si="35"/>
        <v>Covered</v>
      </c>
      <c r="R46" s="462">
        <v>42429</v>
      </c>
      <c r="S46" s="453" t="s">
        <v>253</v>
      </c>
      <c r="T46" s="380" t="str">
        <f t="shared" si="36"/>
        <v>Documented</v>
      </c>
      <c r="U46" s="468">
        <v>0</v>
      </c>
      <c r="V46" s="452">
        <v>0</v>
      </c>
      <c r="W46" s="469" t="s">
        <v>19</v>
      </c>
      <c r="X46" s="468">
        <v>0</v>
      </c>
      <c r="Y46" s="474">
        <v>3</v>
      </c>
      <c r="Z46" s="475">
        <v>5600</v>
      </c>
      <c r="AA46" s="481">
        <v>0</v>
      </c>
      <c r="AB46" s="482">
        <v>1</v>
      </c>
      <c r="AC46" s="385">
        <f t="shared" si="38"/>
        <v>1</v>
      </c>
      <c r="AD46" s="364">
        <f t="shared" si="39"/>
        <v>462</v>
      </c>
      <c r="AE46" s="365">
        <f t="shared" si="40"/>
        <v>1</v>
      </c>
      <c r="AF46" s="366">
        <f t="shared" si="41"/>
        <v>462</v>
      </c>
      <c r="AG46" s="363">
        <f t="shared" si="42"/>
        <v>1</v>
      </c>
      <c r="AH46" s="366">
        <f t="shared" si="43"/>
        <v>462</v>
      </c>
      <c r="AI46" s="367" t="str">
        <f t="shared" si="44"/>
        <v>80-100%</v>
      </c>
      <c r="AJ46" s="363">
        <f t="shared" si="45"/>
        <v>0</v>
      </c>
      <c r="AK46" s="368">
        <f t="shared" si="46"/>
        <v>0</v>
      </c>
      <c r="AL46" s="366">
        <f t="shared" si="47"/>
        <v>0</v>
      </c>
      <c r="AM46" s="366">
        <f t="shared" si="48"/>
        <v>143</v>
      </c>
      <c r="AN46" s="366">
        <f t="shared" si="49"/>
        <v>0</v>
      </c>
      <c r="AO46" s="485">
        <v>1</v>
      </c>
      <c r="AP46" s="486">
        <f t="shared" si="50"/>
        <v>462</v>
      </c>
      <c r="AQ46" s="475"/>
      <c r="AR46" s="732">
        <v>0</v>
      </c>
      <c r="AS46" s="452">
        <v>0</v>
      </c>
      <c r="AT46" s="452">
        <v>34</v>
      </c>
      <c r="AU46" s="452" t="s">
        <v>290</v>
      </c>
      <c r="AV46" s="369">
        <f t="shared" si="51"/>
        <v>1</v>
      </c>
      <c r="AW46" s="366">
        <f t="shared" si="52"/>
        <v>462</v>
      </c>
      <c r="AX46" s="369">
        <f t="shared" si="53"/>
        <v>0</v>
      </c>
      <c r="AY46" s="366">
        <f t="shared" si="54"/>
        <v>0</v>
      </c>
      <c r="AZ46" s="369">
        <f t="shared" si="55"/>
        <v>1</v>
      </c>
      <c r="BA46" s="366">
        <f t="shared" si="56"/>
        <v>462</v>
      </c>
      <c r="BB46" s="474">
        <v>0</v>
      </c>
      <c r="BC46" s="490">
        <v>1</v>
      </c>
      <c r="BD46" s="370">
        <f t="shared" si="57"/>
        <v>462</v>
      </c>
      <c r="BE46" s="371">
        <f t="shared" si="58"/>
        <v>0</v>
      </c>
      <c r="BF46" s="452">
        <v>3</v>
      </c>
      <c r="BG46" s="452" t="s">
        <v>291</v>
      </c>
      <c r="BH46" s="369">
        <f t="shared" si="59"/>
        <v>0.64935064935064934</v>
      </c>
      <c r="BI46" s="366">
        <f t="shared" si="60"/>
        <v>300</v>
      </c>
      <c r="BJ46" s="371">
        <f t="shared" si="61"/>
        <v>4.17</v>
      </c>
      <c r="BK46" s="485">
        <v>0.65</v>
      </c>
      <c r="BL46" s="366">
        <f t="shared" si="62"/>
        <v>300.3</v>
      </c>
      <c r="BM46" s="474">
        <v>9</v>
      </c>
      <c r="BN46" s="369">
        <f t="shared" si="63"/>
        <v>1</v>
      </c>
      <c r="BO46" s="371">
        <f t="shared" si="64"/>
        <v>0</v>
      </c>
      <c r="BP46" s="478">
        <v>1</v>
      </c>
      <c r="BQ46" s="500" t="s">
        <v>851</v>
      </c>
      <c r="BR46" s="502">
        <v>42053</v>
      </c>
      <c r="BS46" s="372">
        <f t="shared" si="28"/>
        <v>42418</v>
      </c>
      <c r="BT46" s="452">
        <v>143</v>
      </c>
      <c r="BU46" s="452">
        <v>4</v>
      </c>
      <c r="BV46" s="373">
        <f t="shared" si="65"/>
        <v>0</v>
      </c>
      <c r="BW46" s="374">
        <f t="shared" si="66"/>
        <v>1</v>
      </c>
      <c r="BX46" s="366">
        <f t="shared" si="67"/>
        <v>462</v>
      </c>
      <c r="BY46" s="387">
        <f t="shared" si="32"/>
        <v>0</v>
      </c>
      <c r="BZ46" s="468"/>
      <c r="CA46" s="478">
        <v>0.8</v>
      </c>
      <c r="CB46" s="389">
        <f t="shared" si="68"/>
        <v>369.6</v>
      </c>
      <c r="CC46" s="468">
        <v>2</v>
      </c>
      <c r="CD46" s="375" t="str">
        <f t="shared" si="69"/>
        <v>Excellent coverage</v>
      </c>
      <c r="CE46" s="474">
        <v>0</v>
      </c>
      <c r="CF46" s="469" t="s">
        <v>293</v>
      </c>
      <c r="CG46" s="509"/>
    </row>
    <row r="47" spans="2:85" s="40" customFormat="1" ht="30.75" customHeight="1" x14ac:dyDescent="0.2">
      <c r="B47" s="449" t="s">
        <v>132</v>
      </c>
      <c r="C47" s="450" t="s">
        <v>499</v>
      </c>
      <c r="D47" s="451" t="s">
        <v>258</v>
      </c>
      <c r="E47" s="450" t="s">
        <v>141</v>
      </c>
      <c r="F47" s="451">
        <v>97.411606000000006</v>
      </c>
      <c r="G47" s="451">
        <v>25.360475999999998</v>
      </c>
      <c r="H47" s="451" t="s">
        <v>449</v>
      </c>
      <c r="I47" s="451" t="s">
        <v>214</v>
      </c>
      <c r="J47" s="452">
        <v>71</v>
      </c>
      <c r="K47" s="452">
        <v>319</v>
      </c>
      <c r="L47" s="452">
        <v>319</v>
      </c>
      <c r="M47" s="362" t="str">
        <f t="shared" si="37"/>
        <v>2. Medium</v>
      </c>
      <c r="N47" s="701" t="s">
        <v>833</v>
      </c>
      <c r="O47" s="453" t="s">
        <v>235</v>
      </c>
      <c r="P47" s="461" t="s">
        <v>235</v>
      </c>
      <c r="Q47" s="382" t="str">
        <f t="shared" si="35"/>
        <v>Covered</v>
      </c>
      <c r="R47" s="462">
        <v>42429</v>
      </c>
      <c r="S47" s="453" t="s">
        <v>253</v>
      </c>
      <c r="T47" s="380" t="str">
        <f t="shared" si="36"/>
        <v>Documented</v>
      </c>
      <c r="U47" s="468">
        <v>0</v>
      </c>
      <c r="V47" s="452">
        <v>0</v>
      </c>
      <c r="W47" s="469" t="s">
        <v>19</v>
      </c>
      <c r="X47" s="468">
        <v>1</v>
      </c>
      <c r="Y47" s="474">
        <v>1</v>
      </c>
      <c r="Z47" s="475">
        <v>1600</v>
      </c>
      <c r="AA47" s="481">
        <v>0</v>
      </c>
      <c r="AB47" s="482">
        <v>1</v>
      </c>
      <c r="AC47" s="385">
        <f t="shared" si="38"/>
        <v>1</v>
      </c>
      <c r="AD47" s="364">
        <f t="shared" si="39"/>
        <v>319</v>
      </c>
      <c r="AE47" s="365">
        <f t="shared" si="40"/>
        <v>1</v>
      </c>
      <c r="AF47" s="366">
        <f t="shared" si="41"/>
        <v>319</v>
      </c>
      <c r="AG47" s="363">
        <f t="shared" si="42"/>
        <v>1</v>
      </c>
      <c r="AH47" s="366">
        <f t="shared" si="43"/>
        <v>319</v>
      </c>
      <c r="AI47" s="367" t="str">
        <f t="shared" si="44"/>
        <v>80-100%</v>
      </c>
      <c r="AJ47" s="363">
        <f t="shared" si="45"/>
        <v>0</v>
      </c>
      <c r="AK47" s="368">
        <f t="shared" si="46"/>
        <v>0</v>
      </c>
      <c r="AL47" s="366">
        <f t="shared" si="47"/>
        <v>0</v>
      </c>
      <c r="AM47" s="366">
        <f t="shared" si="48"/>
        <v>71</v>
      </c>
      <c r="AN47" s="366">
        <f t="shared" si="49"/>
        <v>0</v>
      </c>
      <c r="AO47" s="485">
        <v>1</v>
      </c>
      <c r="AP47" s="486">
        <f t="shared" si="50"/>
        <v>319</v>
      </c>
      <c r="AQ47" s="475"/>
      <c r="AR47" s="732">
        <v>0</v>
      </c>
      <c r="AS47" s="452">
        <v>0</v>
      </c>
      <c r="AT47" s="452">
        <v>12</v>
      </c>
      <c r="AU47" s="452" t="s">
        <v>290</v>
      </c>
      <c r="AV47" s="369">
        <f t="shared" si="51"/>
        <v>0.75235109717868343</v>
      </c>
      <c r="AW47" s="366">
        <f t="shared" si="52"/>
        <v>240</v>
      </c>
      <c r="AX47" s="369">
        <f t="shared" si="53"/>
        <v>0</v>
      </c>
      <c r="AY47" s="366">
        <f t="shared" si="54"/>
        <v>0</v>
      </c>
      <c r="AZ47" s="369">
        <f t="shared" si="55"/>
        <v>0.75235109717868343</v>
      </c>
      <c r="BA47" s="366">
        <f t="shared" si="56"/>
        <v>240</v>
      </c>
      <c r="BB47" s="474">
        <v>0</v>
      </c>
      <c r="BC47" s="490">
        <v>0.76</v>
      </c>
      <c r="BD47" s="370">
        <f t="shared" si="57"/>
        <v>242.44</v>
      </c>
      <c r="BE47" s="371">
        <f t="shared" si="58"/>
        <v>3.9499999999999993</v>
      </c>
      <c r="BF47" s="452">
        <v>2</v>
      </c>
      <c r="BG47" s="452" t="s">
        <v>89</v>
      </c>
      <c r="BH47" s="369">
        <f t="shared" si="59"/>
        <v>0.62695924764890287</v>
      </c>
      <c r="BI47" s="366">
        <f t="shared" si="60"/>
        <v>200.00000000000003</v>
      </c>
      <c r="BJ47" s="371">
        <f t="shared" si="61"/>
        <v>1.19</v>
      </c>
      <c r="BK47" s="485">
        <v>0.63</v>
      </c>
      <c r="BL47" s="366">
        <f t="shared" si="62"/>
        <v>200.97</v>
      </c>
      <c r="BM47" s="474">
        <v>3</v>
      </c>
      <c r="BN47" s="369">
        <f t="shared" si="63"/>
        <v>0.94043887147335425</v>
      </c>
      <c r="BO47" s="371">
        <f t="shared" si="64"/>
        <v>0.18999999999999995</v>
      </c>
      <c r="BP47" s="478">
        <v>0.94</v>
      </c>
      <c r="BQ47" s="500" t="s">
        <v>852</v>
      </c>
      <c r="BR47" s="502">
        <v>42053</v>
      </c>
      <c r="BS47" s="372">
        <f t="shared" si="28"/>
        <v>42418</v>
      </c>
      <c r="BT47" s="452">
        <v>71</v>
      </c>
      <c r="BU47" s="452">
        <v>4</v>
      </c>
      <c r="BV47" s="373">
        <f t="shared" si="65"/>
        <v>0</v>
      </c>
      <c r="BW47" s="374">
        <f t="shared" si="66"/>
        <v>1</v>
      </c>
      <c r="BX47" s="366">
        <f t="shared" si="67"/>
        <v>319</v>
      </c>
      <c r="BY47" s="387">
        <f t="shared" si="32"/>
        <v>0</v>
      </c>
      <c r="BZ47" s="468"/>
      <c r="CA47" s="478">
        <v>0.8</v>
      </c>
      <c r="CB47" s="389">
        <f t="shared" si="68"/>
        <v>255.20000000000002</v>
      </c>
      <c r="CC47" s="468">
        <v>1</v>
      </c>
      <c r="CD47" s="375" t="str">
        <f t="shared" si="69"/>
        <v>Excellent coverage</v>
      </c>
      <c r="CE47" s="474">
        <v>2</v>
      </c>
      <c r="CF47" s="469" t="s">
        <v>293</v>
      </c>
      <c r="CG47" s="509" t="s">
        <v>733</v>
      </c>
    </row>
    <row r="48" spans="2:85" s="40" customFormat="1" ht="30.75" customHeight="1" x14ac:dyDescent="0.2">
      <c r="B48" s="449" t="s">
        <v>132</v>
      </c>
      <c r="C48" s="450" t="s">
        <v>492</v>
      </c>
      <c r="D48" s="451" t="s">
        <v>258</v>
      </c>
      <c r="E48" s="450" t="s">
        <v>142</v>
      </c>
      <c r="F48" s="451">
        <v>97.418694000000002</v>
      </c>
      <c r="G48" s="451">
        <v>25.428910999999999</v>
      </c>
      <c r="H48" s="451" t="s">
        <v>449</v>
      </c>
      <c r="I48" s="451" t="s">
        <v>214</v>
      </c>
      <c r="J48" s="452">
        <v>87</v>
      </c>
      <c r="K48" s="452">
        <v>452</v>
      </c>
      <c r="L48" s="452">
        <v>452</v>
      </c>
      <c r="M48" s="362" t="str">
        <f t="shared" si="37"/>
        <v>2. Medium</v>
      </c>
      <c r="N48" s="701" t="s">
        <v>833</v>
      </c>
      <c r="O48" s="453" t="s">
        <v>235</v>
      </c>
      <c r="P48" s="461" t="s">
        <v>235</v>
      </c>
      <c r="Q48" s="382" t="str">
        <f t="shared" si="35"/>
        <v>Covered</v>
      </c>
      <c r="R48" s="462">
        <v>42429</v>
      </c>
      <c r="S48" s="453" t="s">
        <v>253</v>
      </c>
      <c r="T48" s="380" t="str">
        <f t="shared" si="36"/>
        <v>Documented</v>
      </c>
      <c r="U48" s="468">
        <v>0</v>
      </c>
      <c r="V48" s="452">
        <v>0</v>
      </c>
      <c r="W48" s="469" t="s">
        <v>19</v>
      </c>
      <c r="X48" s="468">
        <v>2</v>
      </c>
      <c r="Y48" s="474">
        <v>0</v>
      </c>
      <c r="Z48" s="475">
        <v>1000</v>
      </c>
      <c r="AA48" s="481">
        <v>0</v>
      </c>
      <c r="AB48" s="482">
        <v>1</v>
      </c>
      <c r="AC48" s="385">
        <f t="shared" si="38"/>
        <v>1</v>
      </c>
      <c r="AD48" s="364">
        <f t="shared" si="39"/>
        <v>452</v>
      </c>
      <c r="AE48" s="365">
        <f t="shared" si="40"/>
        <v>1</v>
      </c>
      <c r="AF48" s="366">
        <f t="shared" si="41"/>
        <v>452</v>
      </c>
      <c r="AG48" s="363">
        <f t="shared" si="42"/>
        <v>1</v>
      </c>
      <c r="AH48" s="366">
        <f t="shared" si="43"/>
        <v>452</v>
      </c>
      <c r="AI48" s="367" t="str">
        <f t="shared" si="44"/>
        <v>80-100%</v>
      </c>
      <c r="AJ48" s="363">
        <f t="shared" si="45"/>
        <v>0</v>
      </c>
      <c r="AK48" s="368">
        <f t="shared" si="46"/>
        <v>0</v>
      </c>
      <c r="AL48" s="366">
        <f t="shared" si="47"/>
        <v>0</v>
      </c>
      <c r="AM48" s="366">
        <f t="shared" si="48"/>
        <v>87</v>
      </c>
      <c r="AN48" s="366">
        <f t="shared" si="49"/>
        <v>0</v>
      </c>
      <c r="AO48" s="485">
        <v>1</v>
      </c>
      <c r="AP48" s="486">
        <f t="shared" si="50"/>
        <v>452</v>
      </c>
      <c r="AQ48" s="475"/>
      <c r="AR48" s="732">
        <v>0</v>
      </c>
      <c r="AS48" s="452">
        <v>0</v>
      </c>
      <c r="AT48" s="452">
        <v>24</v>
      </c>
      <c r="AU48" s="452" t="s">
        <v>290</v>
      </c>
      <c r="AV48" s="369">
        <f t="shared" si="51"/>
        <v>1</v>
      </c>
      <c r="AW48" s="366">
        <f t="shared" si="52"/>
        <v>452</v>
      </c>
      <c r="AX48" s="369">
        <f t="shared" si="53"/>
        <v>0</v>
      </c>
      <c r="AY48" s="366">
        <f t="shared" si="54"/>
        <v>0</v>
      </c>
      <c r="AZ48" s="369">
        <f t="shared" si="55"/>
        <v>1</v>
      </c>
      <c r="BA48" s="366">
        <f t="shared" si="56"/>
        <v>452</v>
      </c>
      <c r="BB48" s="474">
        <v>0</v>
      </c>
      <c r="BC48" s="490">
        <v>1</v>
      </c>
      <c r="BD48" s="370">
        <f t="shared" si="57"/>
        <v>452</v>
      </c>
      <c r="BE48" s="371">
        <f t="shared" si="58"/>
        <v>0</v>
      </c>
      <c r="BF48" s="452">
        <v>1</v>
      </c>
      <c r="BG48" s="452" t="s">
        <v>89</v>
      </c>
      <c r="BH48" s="369">
        <f t="shared" si="59"/>
        <v>0.22123893805309736</v>
      </c>
      <c r="BI48" s="366">
        <f t="shared" si="60"/>
        <v>100</v>
      </c>
      <c r="BJ48" s="371">
        <f t="shared" si="61"/>
        <v>3.5199999999999996</v>
      </c>
      <c r="BK48" s="485">
        <v>0.22</v>
      </c>
      <c r="BL48" s="366">
        <f t="shared" si="62"/>
        <v>99.44</v>
      </c>
      <c r="BM48" s="474">
        <v>12</v>
      </c>
      <c r="BN48" s="369">
        <f t="shared" si="63"/>
        <v>1</v>
      </c>
      <c r="BO48" s="371">
        <f t="shared" si="64"/>
        <v>0</v>
      </c>
      <c r="BP48" s="478">
        <v>1</v>
      </c>
      <c r="BQ48" s="500"/>
      <c r="BR48" s="502">
        <v>42053</v>
      </c>
      <c r="BS48" s="372">
        <f t="shared" si="28"/>
        <v>42418</v>
      </c>
      <c r="BT48" s="452">
        <v>87</v>
      </c>
      <c r="BU48" s="452">
        <v>4</v>
      </c>
      <c r="BV48" s="373">
        <f t="shared" si="65"/>
        <v>0</v>
      </c>
      <c r="BW48" s="374">
        <f t="shared" si="66"/>
        <v>1</v>
      </c>
      <c r="BX48" s="366">
        <f t="shared" si="67"/>
        <v>452</v>
      </c>
      <c r="BY48" s="387">
        <f t="shared" si="32"/>
        <v>0</v>
      </c>
      <c r="BZ48" s="468"/>
      <c r="CA48" s="478">
        <v>0.75</v>
      </c>
      <c r="CB48" s="389">
        <f t="shared" si="68"/>
        <v>339</v>
      </c>
      <c r="CC48" s="468">
        <v>1</v>
      </c>
      <c r="CD48" s="375" t="str">
        <f t="shared" si="69"/>
        <v>Excellent coverage</v>
      </c>
      <c r="CE48" s="474">
        <v>1</v>
      </c>
      <c r="CF48" s="469" t="s">
        <v>293</v>
      </c>
      <c r="CG48" s="509" t="s">
        <v>733</v>
      </c>
    </row>
    <row r="49" spans="2:85" s="40" customFormat="1" ht="30.75" customHeight="1" x14ac:dyDescent="0.2">
      <c r="B49" s="449" t="s">
        <v>132</v>
      </c>
      <c r="C49" s="450" t="s">
        <v>502</v>
      </c>
      <c r="D49" s="451" t="s">
        <v>258</v>
      </c>
      <c r="E49" s="450" t="s">
        <v>143</v>
      </c>
      <c r="F49" s="451">
        <v>97.284729999999996</v>
      </c>
      <c r="G49" s="451">
        <v>25.374020000000002</v>
      </c>
      <c r="H49" s="451" t="s">
        <v>449</v>
      </c>
      <c r="I49" s="451" t="s">
        <v>214</v>
      </c>
      <c r="J49" s="452">
        <v>22</v>
      </c>
      <c r="K49" s="452">
        <v>100</v>
      </c>
      <c r="L49" s="452">
        <v>100</v>
      </c>
      <c r="M49" s="362" t="str">
        <f t="shared" si="37"/>
        <v>1. Small</v>
      </c>
      <c r="N49" s="701" t="s">
        <v>832</v>
      </c>
      <c r="O49" s="453" t="s">
        <v>276</v>
      </c>
      <c r="P49" s="461" t="s">
        <v>276</v>
      </c>
      <c r="Q49" s="382" t="str">
        <f t="shared" si="35"/>
        <v>Covered</v>
      </c>
      <c r="R49" s="462">
        <v>42216</v>
      </c>
      <c r="S49" s="453" t="s">
        <v>253</v>
      </c>
      <c r="T49" s="380" t="str">
        <f t="shared" si="36"/>
        <v>Documented</v>
      </c>
      <c r="U49" s="468">
        <v>0</v>
      </c>
      <c r="V49" s="452">
        <v>0</v>
      </c>
      <c r="W49" s="469" t="s">
        <v>19</v>
      </c>
      <c r="X49" s="468">
        <v>1</v>
      </c>
      <c r="Y49" s="474">
        <v>1</v>
      </c>
      <c r="Z49" s="475">
        <v>3000</v>
      </c>
      <c r="AA49" s="481">
        <v>0</v>
      </c>
      <c r="AB49" s="482">
        <v>0</v>
      </c>
      <c r="AC49" s="385">
        <f t="shared" si="38"/>
        <v>1</v>
      </c>
      <c r="AD49" s="364">
        <f t="shared" si="39"/>
        <v>100</v>
      </c>
      <c r="AE49" s="365">
        <f t="shared" si="40"/>
        <v>1</v>
      </c>
      <c r="AF49" s="366">
        <f t="shared" si="41"/>
        <v>100</v>
      </c>
      <c r="AG49" s="363">
        <f t="shared" si="42"/>
        <v>1</v>
      </c>
      <c r="AH49" s="366">
        <f t="shared" si="43"/>
        <v>100</v>
      </c>
      <c r="AI49" s="367" t="str">
        <f t="shared" si="44"/>
        <v>80-100%</v>
      </c>
      <c r="AJ49" s="363">
        <f t="shared" si="45"/>
        <v>0</v>
      </c>
      <c r="AK49" s="368">
        <f t="shared" si="46"/>
        <v>0</v>
      </c>
      <c r="AL49" s="366">
        <f t="shared" si="47"/>
        <v>0</v>
      </c>
      <c r="AM49" s="366">
        <f t="shared" si="48"/>
        <v>0</v>
      </c>
      <c r="AN49" s="366">
        <f t="shared" si="49"/>
        <v>0</v>
      </c>
      <c r="AO49" s="485">
        <v>1</v>
      </c>
      <c r="AP49" s="486">
        <f t="shared" si="50"/>
        <v>100</v>
      </c>
      <c r="AQ49" s="475"/>
      <c r="AR49" s="732">
        <v>0</v>
      </c>
      <c r="AS49" s="452">
        <v>0</v>
      </c>
      <c r="AT49" s="452">
        <v>6</v>
      </c>
      <c r="AU49" s="452" t="s">
        <v>290</v>
      </c>
      <c r="AV49" s="369">
        <f t="shared" si="51"/>
        <v>1</v>
      </c>
      <c r="AW49" s="366">
        <f t="shared" si="52"/>
        <v>100</v>
      </c>
      <c r="AX49" s="369">
        <f t="shared" si="53"/>
        <v>0</v>
      </c>
      <c r="AY49" s="366">
        <f t="shared" si="54"/>
        <v>0</v>
      </c>
      <c r="AZ49" s="369">
        <f t="shared" si="55"/>
        <v>1</v>
      </c>
      <c r="BA49" s="366">
        <f t="shared" si="56"/>
        <v>100</v>
      </c>
      <c r="BB49" s="474">
        <v>0</v>
      </c>
      <c r="BC49" s="490">
        <v>1</v>
      </c>
      <c r="BD49" s="370">
        <f t="shared" si="57"/>
        <v>100</v>
      </c>
      <c r="BE49" s="371">
        <f t="shared" si="58"/>
        <v>0</v>
      </c>
      <c r="BF49" s="452">
        <v>2</v>
      </c>
      <c r="BG49" s="452" t="s">
        <v>290</v>
      </c>
      <c r="BH49" s="369">
        <f t="shared" si="59"/>
        <v>1</v>
      </c>
      <c r="BI49" s="366">
        <f t="shared" si="60"/>
        <v>100</v>
      </c>
      <c r="BJ49" s="371">
        <f t="shared" si="61"/>
        <v>0</v>
      </c>
      <c r="BK49" s="485">
        <v>1</v>
      </c>
      <c r="BL49" s="366">
        <f t="shared" si="62"/>
        <v>100</v>
      </c>
      <c r="BM49" s="474">
        <v>3</v>
      </c>
      <c r="BN49" s="369">
        <f t="shared" si="63"/>
        <v>1</v>
      </c>
      <c r="BO49" s="371">
        <f t="shared" si="64"/>
        <v>0</v>
      </c>
      <c r="BP49" s="478">
        <v>1</v>
      </c>
      <c r="BQ49" s="500"/>
      <c r="BR49" s="502">
        <v>42048</v>
      </c>
      <c r="BS49" s="372">
        <f t="shared" si="28"/>
        <v>42413</v>
      </c>
      <c r="BT49" s="452">
        <v>22</v>
      </c>
      <c r="BU49" s="452">
        <v>5</v>
      </c>
      <c r="BV49" s="373">
        <f t="shared" si="65"/>
        <v>0</v>
      </c>
      <c r="BW49" s="374">
        <f t="shared" si="66"/>
        <v>1</v>
      </c>
      <c r="BX49" s="366">
        <f t="shared" si="67"/>
        <v>100</v>
      </c>
      <c r="BY49" s="387">
        <f t="shared" si="32"/>
        <v>0</v>
      </c>
      <c r="BZ49" s="468"/>
      <c r="CA49" s="478">
        <v>1</v>
      </c>
      <c r="CB49" s="389">
        <f t="shared" si="68"/>
        <v>100</v>
      </c>
      <c r="CC49" s="468">
        <v>2</v>
      </c>
      <c r="CD49" s="375" t="str">
        <f t="shared" si="69"/>
        <v>Excellent coverage</v>
      </c>
      <c r="CE49" s="474">
        <v>1</v>
      </c>
      <c r="CF49" s="469" t="s">
        <v>65</v>
      </c>
      <c r="CG49" s="509" t="s">
        <v>734</v>
      </c>
    </row>
    <row r="50" spans="2:85" s="40" customFormat="1" ht="30.75" customHeight="1" x14ac:dyDescent="0.2">
      <c r="B50" s="449" t="s">
        <v>132</v>
      </c>
      <c r="C50" s="450" t="s">
        <v>503</v>
      </c>
      <c r="D50" s="451" t="s">
        <v>258</v>
      </c>
      <c r="E50" s="450" t="s">
        <v>144</v>
      </c>
      <c r="F50" s="451">
        <v>97.291079999999994</v>
      </c>
      <c r="G50" s="451">
        <v>25.371179999999999</v>
      </c>
      <c r="H50" s="451" t="s">
        <v>449</v>
      </c>
      <c r="I50" s="451" t="s">
        <v>214</v>
      </c>
      <c r="J50" s="452">
        <v>14</v>
      </c>
      <c r="K50" s="452">
        <v>73</v>
      </c>
      <c r="L50" s="452">
        <v>73</v>
      </c>
      <c r="M50" s="362" t="str">
        <f t="shared" si="37"/>
        <v>1. Small</v>
      </c>
      <c r="N50" s="701" t="s">
        <v>832</v>
      </c>
      <c r="O50" s="453" t="s">
        <v>276</v>
      </c>
      <c r="P50" s="461" t="s">
        <v>276</v>
      </c>
      <c r="Q50" s="382" t="str">
        <f t="shared" si="35"/>
        <v>Covered</v>
      </c>
      <c r="R50" s="462">
        <v>42216</v>
      </c>
      <c r="S50" s="453" t="s">
        <v>253</v>
      </c>
      <c r="T50" s="380" t="str">
        <f t="shared" si="36"/>
        <v>Documented</v>
      </c>
      <c r="U50" s="468">
        <v>0</v>
      </c>
      <c r="V50" s="452">
        <v>0</v>
      </c>
      <c r="W50" s="469" t="s">
        <v>19</v>
      </c>
      <c r="X50" s="468">
        <v>1</v>
      </c>
      <c r="Y50" s="474">
        <v>0</v>
      </c>
      <c r="Z50" s="475">
        <v>3000</v>
      </c>
      <c r="AA50" s="481">
        <v>0</v>
      </c>
      <c r="AB50" s="482">
        <v>0</v>
      </c>
      <c r="AC50" s="385">
        <f t="shared" si="38"/>
        <v>1</v>
      </c>
      <c r="AD50" s="364">
        <f t="shared" si="39"/>
        <v>73</v>
      </c>
      <c r="AE50" s="365">
        <f t="shared" si="40"/>
        <v>1</v>
      </c>
      <c r="AF50" s="366">
        <f t="shared" si="41"/>
        <v>73</v>
      </c>
      <c r="AG50" s="363">
        <f t="shared" si="42"/>
        <v>1</v>
      </c>
      <c r="AH50" s="366">
        <f t="shared" si="43"/>
        <v>73</v>
      </c>
      <c r="AI50" s="367" t="str">
        <f t="shared" si="44"/>
        <v>80-100%</v>
      </c>
      <c r="AJ50" s="363">
        <f t="shared" si="45"/>
        <v>0</v>
      </c>
      <c r="AK50" s="368">
        <f t="shared" si="46"/>
        <v>0</v>
      </c>
      <c r="AL50" s="366">
        <f t="shared" si="47"/>
        <v>0</v>
      </c>
      <c r="AM50" s="366">
        <f t="shared" si="48"/>
        <v>0</v>
      </c>
      <c r="AN50" s="366">
        <f t="shared" si="49"/>
        <v>0</v>
      </c>
      <c r="AO50" s="485">
        <v>1</v>
      </c>
      <c r="AP50" s="486">
        <f t="shared" si="50"/>
        <v>73</v>
      </c>
      <c r="AQ50" s="475"/>
      <c r="AR50" s="732">
        <v>2</v>
      </c>
      <c r="AS50" s="452">
        <v>2</v>
      </c>
      <c r="AT50" s="452">
        <v>3</v>
      </c>
      <c r="AU50" s="452" t="s">
        <v>290</v>
      </c>
      <c r="AV50" s="369">
        <f t="shared" si="51"/>
        <v>1</v>
      </c>
      <c r="AW50" s="366">
        <f t="shared" si="52"/>
        <v>73</v>
      </c>
      <c r="AX50" s="369">
        <f t="shared" si="53"/>
        <v>0.17808219178082196</v>
      </c>
      <c r="AY50" s="366">
        <f t="shared" si="54"/>
        <v>13.000000000000004</v>
      </c>
      <c r="AZ50" s="369">
        <f t="shared" si="55"/>
        <v>0.82191780821917804</v>
      </c>
      <c r="BA50" s="366">
        <f t="shared" si="56"/>
        <v>60</v>
      </c>
      <c r="BB50" s="474">
        <v>0</v>
      </c>
      <c r="BC50" s="490">
        <v>1</v>
      </c>
      <c r="BD50" s="370">
        <f t="shared" si="57"/>
        <v>73</v>
      </c>
      <c r="BE50" s="371">
        <f t="shared" si="58"/>
        <v>0.64999999999999991</v>
      </c>
      <c r="BF50" s="452">
        <v>2</v>
      </c>
      <c r="BG50" s="452" t="s">
        <v>291</v>
      </c>
      <c r="BH50" s="369">
        <f t="shared" si="59"/>
        <v>1</v>
      </c>
      <c r="BI50" s="366">
        <f t="shared" si="60"/>
        <v>73</v>
      </c>
      <c r="BJ50" s="371">
        <f t="shared" si="61"/>
        <v>0</v>
      </c>
      <c r="BK50" s="485">
        <v>1</v>
      </c>
      <c r="BL50" s="366">
        <f t="shared" si="62"/>
        <v>73</v>
      </c>
      <c r="BM50" s="474">
        <v>3</v>
      </c>
      <c r="BN50" s="369">
        <f t="shared" si="63"/>
        <v>1</v>
      </c>
      <c r="BO50" s="371">
        <f t="shared" si="64"/>
        <v>0</v>
      </c>
      <c r="BP50" s="478">
        <v>1</v>
      </c>
      <c r="BQ50" s="500"/>
      <c r="BR50" s="502">
        <v>42048</v>
      </c>
      <c r="BS50" s="372">
        <f t="shared" si="28"/>
        <v>42413</v>
      </c>
      <c r="BT50" s="452">
        <v>14</v>
      </c>
      <c r="BU50" s="452">
        <v>5</v>
      </c>
      <c r="BV50" s="373">
        <f t="shared" si="65"/>
        <v>0</v>
      </c>
      <c r="BW50" s="374">
        <f t="shared" si="66"/>
        <v>1</v>
      </c>
      <c r="BX50" s="366">
        <f t="shared" si="67"/>
        <v>73</v>
      </c>
      <c r="BY50" s="387">
        <f t="shared" si="32"/>
        <v>0</v>
      </c>
      <c r="BZ50" s="468"/>
      <c r="CA50" s="478">
        <v>1</v>
      </c>
      <c r="CB50" s="389">
        <f t="shared" si="68"/>
        <v>73</v>
      </c>
      <c r="CC50" s="468">
        <v>2</v>
      </c>
      <c r="CD50" s="375" t="str">
        <f t="shared" si="69"/>
        <v>Excellent coverage</v>
      </c>
      <c r="CE50" s="474">
        <v>0</v>
      </c>
      <c r="CF50" s="469" t="s">
        <v>65</v>
      </c>
      <c r="CG50" s="509"/>
    </row>
    <row r="51" spans="2:85" s="40" customFormat="1" ht="30.75" customHeight="1" x14ac:dyDescent="0.2">
      <c r="B51" s="449" t="s">
        <v>132</v>
      </c>
      <c r="C51" s="450" t="s">
        <v>506</v>
      </c>
      <c r="D51" s="451" t="s">
        <v>258</v>
      </c>
      <c r="E51" s="450" t="s">
        <v>216</v>
      </c>
      <c r="F51" s="451">
        <v>97.359380000000002</v>
      </c>
      <c r="G51" s="451">
        <v>25.411770000000001</v>
      </c>
      <c r="H51" s="451" t="s">
        <v>449</v>
      </c>
      <c r="I51" s="451" t="s">
        <v>214</v>
      </c>
      <c r="J51" s="452">
        <v>72</v>
      </c>
      <c r="K51" s="452">
        <v>308</v>
      </c>
      <c r="L51" s="452">
        <v>308</v>
      </c>
      <c r="M51" s="362" t="str">
        <f t="shared" si="37"/>
        <v>2. Medium</v>
      </c>
      <c r="N51" s="701" t="s">
        <v>834</v>
      </c>
      <c r="O51" s="453" t="s">
        <v>231</v>
      </c>
      <c r="P51" s="461" t="s">
        <v>231</v>
      </c>
      <c r="Q51" s="382" t="str">
        <f t="shared" si="35"/>
        <v>Covered</v>
      </c>
      <c r="R51" s="462">
        <v>42369</v>
      </c>
      <c r="S51" s="453" t="s">
        <v>253</v>
      </c>
      <c r="T51" s="380" t="str">
        <f t="shared" si="36"/>
        <v>Documented</v>
      </c>
      <c r="U51" s="468">
        <v>0</v>
      </c>
      <c r="V51" s="452">
        <v>0</v>
      </c>
      <c r="W51" s="469" t="s">
        <v>19</v>
      </c>
      <c r="X51" s="468">
        <v>0</v>
      </c>
      <c r="Y51" s="474">
        <v>4</v>
      </c>
      <c r="Z51" s="475">
        <v>8000</v>
      </c>
      <c r="AA51" s="481">
        <v>0</v>
      </c>
      <c r="AB51" s="482">
        <v>1</v>
      </c>
      <c r="AC51" s="385">
        <f t="shared" si="38"/>
        <v>1</v>
      </c>
      <c r="AD51" s="364">
        <f t="shared" si="39"/>
        <v>308</v>
      </c>
      <c r="AE51" s="365">
        <f t="shared" si="40"/>
        <v>1</v>
      </c>
      <c r="AF51" s="366">
        <f t="shared" si="41"/>
        <v>308</v>
      </c>
      <c r="AG51" s="363">
        <f t="shared" si="42"/>
        <v>1</v>
      </c>
      <c r="AH51" s="366">
        <f t="shared" si="43"/>
        <v>308</v>
      </c>
      <c r="AI51" s="367" t="str">
        <f t="shared" si="44"/>
        <v>80-100%</v>
      </c>
      <c r="AJ51" s="363">
        <f t="shared" si="45"/>
        <v>0</v>
      </c>
      <c r="AK51" s="368">
        <f t="shared" si="46"/>
        <v>0</v>
      </c>
      <c r="AL51" s="366">
        <f t="shared" si="47"/>
        <v>0</v>
      </c>
      <c r="AM51" s="366">
        <f t="shared" si="48"/>
        <v>72</v>
      </c>
      <c r="AN51" s="366">
        <f t="shared" si="49"/>
        <v>0</v>
      </c>
      <c r="AO51" s="485">
        <v>1</v>
      </c>
      <c r="AP51" s="486">
        <f t="shared" si="50"/>
        <v>308</v>
      </c>
      <c r="AQ51" s="475"/>
      <c r="AR51" s="732">
        <v>33</v>
      </c>
      <c r="AS51" s="452">
        <v>17</v>
      </c>
      <c r="AT51" s="452">
        <v>6</v>
      </c>
      <c r="AU51" s="452" t="s">
        <v>291</v>
      </c>
      <c r="AV51" s="369">
        <f t="shared" si="51"/>
        <v>1</v>
      </c>
      <c r="AW51" s="366">
        <f t="shared" si="52"/>
        <v>308</v>
      </c>
      <c r="AX51" s="369">
        <f t="shared" si="53"/>
        <v>0.61038961038961037</v>
      </c>
      <c r="AY51" s="366">
        <f t="shared" si="54"/>
        <v>188</v>
      </c>
      <c r="AZ51" s="369">
        <f t="shared" si="55"/>
        <v>0.38961038961038963</v>
      </c>
      <c r="BA51" s="366">
        <f t="shared" si="56"/>
        <v>120</v>
      </c>
      <c r="BB51" s="474">
        <v>0</v>
      </c>
      <c r="BC51" s="490">
        <v>1</v>
      </c>
      <c r="BD51" s="370">
        <f t="shared" si="57"/>
        <v>308</v>
      </c>
      <c r="BE51" s="371">
        <f t="shared" si="58"/>
        <v>9.4</v>
      </c>
      <c r="BF51" s="452">
        <v>3</v>
      </c>
      <c r="BG51" s="452" t="s">
        <v>291</v>
      </c>
      <c r="BH51" s="369">
        <f t="shared" si="59"/>
        <v>0.97402597402597402</v>
      </c>
      <c r="BI51" s="366">
        <f t="shared" si="60"/>
        <v>300</v>
      </c>
      <c r="BJ51" s="371">
        <f t="shared" si="61"/>
        <v>8.0000000000000071E-2</v>
      </c>
      <c r="BK51" s="485">
        <v>0.97</v>
      </c>
      <c r="BL51" s="366">
        <f t="shared" si="62"/>
        <v>298.76</v>
      </c>
      <c r="BM51" s="474">
        <v>4</v>
      </c>
      <c r="BN51" s="369">
        <f t="shared" si="63"/>
        <v>1</v>
      </c>
      <c r="BO51" s="371">
        <f t="shared" si="64"/>
        <v>0</v>
      </c>
      <c r="BP51" s="478">
        <v>1</v>
      </c>
      <c r="BQ51" s="500" t="s">
        <v>853</v>
      </c>
      <c r="BR51" s="502">
        <v>41781</v>
      </c>
      <c r="BS51" s="372" t="str">
        <f t="shared" si="28"/>
        <v>To be realised</v>
      </c>
      <c r="BT51" s="452">
        <v>72</v>
      </c>
      <c r="BU51" s="452">
        <v>2</v>
      </c>
      <c r="BV51" s="373">
        <f t="shared" si="65"/>
        <v>72</v>
      </c>
      <c r="BW51" s="374">
        <f t="shared" si="66"/>
        <v>0</v>
      </c>
      <c r="BX51" s="366">
        <f t="shared" si="67"/>
        <v>0</v>
      </c>
      <c r="BY51" s="387">
        <f t="shared" si="32"/>
        <v>11</v>
      </c>
      <c r="BZ51" s="468"/>
      <c r="CA51" s="478">
        <v>1</v>
      </c>
      <c r="CB51" s="389">
        <f t="shared" si="68"/>
        <v>308</v>
      </c>
      <c r="CC51" s="468">
        <v>0</v>
      </c>
      <c r="CD51" s="375" t="str">
        <f t="shared" si="69"/>
        <v>No coverage</v>
      </c>
      <c r="CE51" s="474">
        <v>0</v>
      </c>
      <c r="CF51" s="469" t="s">
        <v>293</v>
      </c>
      <c r="CG51" s="509"/>
    </row>
    <row r="52" spans="2:85" s="40" customFormat="1" ht="30.75" customHeight="1" x14ac:dyDescent="0.2">
      <c r="B52" s="449" t="s">
        <v>132</v>
      </c>
      <c r="C52" s="450" t="s">
        <v>485</v>
      </c>
      <c r="D52" s="451" t="s">
        <v>258</v>
      </c>
      <c r="E52" s="450" t="s">
        <v>215</v>
      </c>
      <c r="F52" s="451">
        <v>97.394547000000003</v>
      </c>
      <c r="G52" s="451">
        <v>25.422194000000001</v>
      </c>
      <c r="H52" s="451" t="s">
        <v>449</v>
      </c>
      <c r="I52" s="451" t="s">
        <v>214</v>
      </c>
      <c r="J52" s="452">
        <v>55</v>
      </c>
      <c r="K52" s="452">
        <v>229</v>
      </c>
      <c r="L52" s="452">
        <v>229</v>
      </c>
      <c r="M52" s="362" t="str">
        <f t="shared" si="37"/>
        <v>2. Medium</v>
      </c>
      <c r="N52" s="701" t="s">
        <v>833</v>
      </c>
      <c r="O52" s="453" t="s">
        <v>235</v>
      </c>
      <c r="P52" s="461" t="s">
        <v>235</v>
      </c>
      <c r="Q52" s="382" t="str">
        <f t="shared" si="35"/>
        <v>Covered</v>
      </c>
      <c r="R52" s="462">
        <v>42429</v>
      </c>
      <c r="S52" s="453" t="s">
        <v>253</v>
      </c>
      <c r="T52" s="380" t="str">
        <f t="shared" si="36"/>
        <v>Documented</v>
      </c>
      <c r="U52" s="468">
        <v>0</v>
      </c>
      <c r="V52" s="452">
        <v>0</v>
      </c>
      <c r="W52" s="469" t="s">
        <v>19</v>
      </c>
      <c r="X52" s="468">
        <v>2</v>
      </c>
      <c r="Y52" s="474">
        <v>2</v>
      </c>
      <c r="Z52" s="475">
        <v>0</v>
      </c>
      <c r="AA52" s="481">
        <v>0</v>
      </c>
      <c r="AB52" s="482">
        <v>1</v>
      </c>
      <c r="AC52" s="385">
        <f t="shared" si="38"/>
        <v>1</v>
      </c>
      <c r="AD52" s="364">
        <f t="shared" si="39"/>
        <v>229</v>
      </c>
      <c r="AE52" s="365">
        <f t="shared" si="40"/>
        <v>1</v>
      </c>
      <c r="AF52" s="366">
        <f t="shared" si="41"/>
        <v>229</v>
      </c>
      <c r="AG52" s="363">
        <f t="shared" si="42"/>
        <v>1</v>
      </c>
      <c r="AH52" s="366">
        <f t="shared" si="43"/>
        <v>229</v>
      </c>
      <c r="AI52" s="367" t="str">
        <f t="shared" si="44"/>
        <v>80-100%</v>
      </c>
      <c r="AJ52" s="363">
        <f t="shared" si="45"/>
        <v>0</v>
      </c>
      <c r="AK52" s="368">
        <f t="shared" si="46"/>
        <v>0</v>
      </c>
      <c r="AL52" s="366">
        <f t="shared" si="47"/>
        <v>0</v>
      </c>
      <c r="AM52" s="366">
        <f t="shared" si="48"/>
        <v>55</v>
      </c>
      <c r="AN52" s="366">
        <f t="shared" si="49"/>
        <v>0</v>
      </c>
      <c r="AO52" s="485">
        <v>1</v>
      </c>
      <c r="AP52" s="486">
        <f t="shared" si="50"/>
        <v>229</v>
      </c>
      <c r="AQ52" s="475"/>
      <c r="AR52" s="732">
        <v>0</v>
      </c>
      <c r="AS52" s="452">
        <v>0</v>
      </c>
      <c r="AT52" s="452">
        <v>8</v>
      </c>
      <c r="AU52" s="452" t="s">
        <v>290</v>
      </c>
      <c r="AV52" s="369">
        <f t="shared" si="51"/>
        <v>0.69868995633187769</v>
      </c>
      <c r="AW52" s="366">
        <f t="shared" si="52"/>
        <v>160</v>
      </c>
      <c r="AX52" s="369">
        <f t="shared" si="53"/>
        <v>0</v>
      </c>
      <c r="AY52" s="366">
        <f t="shared" si="54"/>
        <v>0</v>
      </c>
      <c r="AZ52" s="369">
        <f t="shared" si="55"/>
        <v>0.69868995633187769</v>
      </c>
      <c r="BA52" s="366">
        <f t="shared" si="56"/>
        <v>160</v>
      </c>
      <c r="BB52" s="474">
        <v>0</v>
      </c>
      <c r="BC52" s="490">
        <v>0.7</v>
      </c>
      <c r="BD52" s="370">
        <f t="shared" si="57"/>
        <v>160.29999999999998</v>
      </c>
      <c r="BE52" s="371">
        <f t="shared" si="58"/>
        <v>3.4499999999999993</v>
      </c>
      <c r="BF52" s="452">
        <v>2</v>
      </c>
      <c r="BG52" s="452" t="s">
        <v>291</v>
      </c>
      <c r="BH52" s="369">
        <f t="shared" si="59"/>
        <v>0.8733624454148472</v>
      </c>
      <c r="BI52" s="366">
        <f t="shared" si="60"/>
        <v>200</v>
      </c>
      <c r="BJ52" s="371">
        <f t="shared" si="61"/>
        <v>0.29000000000000004</v>
      </c>
      <c r="BK52" s="485">
        <v>0.87</v>
      </c>
      <c r="BL52" s="366">
        <f t="shared" si="62"/>
        <v>199.23</v>
      </c>
      <c r="BM52" s="474">
        <v>6</v>
      </c>
      <c r="BN52" s="369">
        <f t="shared" si="63"/>
        <v>1</v>
      </c>
      <c r="BO52" s="371">
        <f t="shared" si="64"/>
        <v>0</v>
      </c>
      <c r="BP52" s="478">
        <v>1</v>
      </c>
      <c r="BQ52" s="500" t="s">
        <v>854</v>
      </c>
      <c r="BR52" s="502">
        <v>42053</v>
      </c>
      <c r="BS52" s="372">
        <f t="shared" si="28"/>
        <v>42418</v>
      </c>
      <c r="BT52" s="452">
        <v>55</v>
      </c>
      <c r="BU52" s="452">
        <v>4</v>
      </c>
      <c r="BV52" s="373">
        <f t="shared" si="65"/>
        <v>0</v>
      </c>
      <c r="BW52" s="374">
        <f t="shared" si="66"/>
        <v>1</v>
      </c>
      <c r="BX52" s="366">
        <f t="shared" si="67"/>
        <v>229</v>
      </c>
      <c r="BY52" s="387">
        <f t="shared" si="32"/>
        <v>0</v>
      </c>
      <c r="BZ52" s="468"/>
      <c r="CA52" s="478">
        <v>0.8</v>
      </c>
      <c r="CB52" s="389">
        <f t="shared" si="68"/>
        <v>183.20000000000002</v>
      </c>
      <c r="CC52" s="468">
        <v>1</v>
      </c>
      <c r="CD52" s="375" t="str">
        <f t="shared" si="69"/>
        <v>Excellent coverage</v>
      </c>
      <c r="CE52" s="474">
        <v>0</v>
      </c>
      <c r="CF52" s="469" t="s">
        <v>293</v>
      </c>
      <c r="CG52" s="509"/>
    </row>
    <row r="53" spans="2:85" s="40" customFormat="1" ht="30.75" customHeight="1" x14ac:dyDescent="0.2">
      <c r="B53" s="449" t="s">
        <v>132</v>
      </c>
      <c r="C53" s="450" t="s">
        <v>507</v>
      </c>
      <c r="D53" s="451" t="s">
        <v>258</v>
      </c>
      <c r="E53" s="450" t="s">
        <v>145</v>
      </c>
      <c r="F53" s="451">
        <v>97.4345</v>
      </c>
      <c r="G53" s="451">
        <v>25.493819999999999</v>
      </c>
      <c r="H53" s="451" t="s">
        <v>449</v>
      </c>
      <c r="I53" s="451" t="s">
        <v>214</v>
      </c>
      <c r="J53" s="452">
        <v>28</v>
      </c>
      <c r="K53" s="452">
        <v>176</v>
      </c>
      <c r="L53" s="452">
        <v>176</v>
      </c>
      <c r="M53" s="362" t="str">
        <f t="shared" si="37"/>
        <v>1. Small</v>
      </c>
      <c r="N53" s="701" t="s">
        <v>834</v>
      </c>
      <c r="O53" s="453" t="s">
        <v>231</v>
      </c>
      <c r="P53" s="461" t="s">
        <v>231</v>
      </c>
      <c r="Q53" s="382" t="str">
        <f t="shared" si="35"/>
        <v>Covered</v>
      </c>
      <c r="R53" s="462">
        <v>42369</v>
      </c>
      <c r="S53" s="453" t="s">
        <v>253</v>
      </c>
      <c r="T53" s="380" t="str">
        <f t="shared" si="36"/>
        <v>Documented</v>
      </c>
      <c r="U53" s="468">
        <v>0</v>
      </c>
      <c r="V53" s="452">
        <v>0</v>
      </c>
      <c r="W53" s="469" t="s">
        <v>19</v>
      </c>
      <c r="X53" s="468">
        <v>1</v>
      </c>
      <c r="Y53" s="474">
        <v>1</v>
      </c>
      <c r="Z53" s="475">
        <v>3000</v>
      </c>
      <c r="AA53" s="481">
        <v>0</v>
      </c>
      <c r="AB53" s="482">
        <v>1</v>
      </c>
      <c r="AC53" s="385">
        <f t="shared" si="38"/>
        <v>1</v>
      </c>
      <c r="AD53" s="364">
        <f t="shared" si="39"/>
        <v>176</v>
      </c>
      <c r="AE53" s="365">
        <f t="shared" si="40"/>
        <v>1</v>
      </c>
      <c r="AF53" s="366">
        <f t="shared" si="41"/>
        <v>176</v>
      </c>
      <c r="AG53" s="363">
        <f t="shared" si="42"/>
        <v>1</v>
      </c>
      <c r="AH53" s="366">
        <f t="shared" si="43"/>
        <v>176</v>
      </c>
      <c r="AI53" s="367" t="str">
        <f t="shared" si="44"/>
        <v>80-100%</v>
      </c>
      <c r="AJ53" s="363">
        <f t="shared" si="45"/>
        <v>0</v>
      </c>
      <c r="AK53" s="368">
        <f t="shared" si="46"/>
        <v>0</v>
      </c>
      <c r="AL53" s="366">
        <f t="shared" si="47"/>
        <v>0</v>
      </c>
      <c r="AM53" s="366">
        <f t="shared" si="48"/>
        <v>28</v>
      </c>
      <c r="AN53" s="366">
        <f t="shared" si="49"/>
        <v>0</v>
      </c>
      <c r="AO53" s="485">
        <v>1</v>
      </c>
      <c r="AP53" s="486">
        <f t="shared" si="50"/>
        <v>176</v>
      </c>
      <c r="AQ53" s="475"/>
      <c r="AR53" s="732">
        <v>10</v>
      </c>
      <c r="AS53" s="452">
        <v>0</v>
      </c>
      <c r="AT53" s="452">
        <v>10</v>
      </c>
      <c r="AU53" s="452" t="s">
        <v>290</v>
      </c>
      <c r="AV53" s="369">
        <f t="shared" si="51"/>
        <v>1</v>
      </c>
      <c r="AW53" s="366">
        <f t="shared" si="52"/>
        <v>176</v>
      </c>
      <c r="AX53" s="369">
        <f t="shared" si="53"/>
        <v>0</v>
      </c>
      <c r="AY53" s="366">
        <f t="shared" si="54"/>
        <v>0</v>
      </c>
      <c r="AZ53" s="369">
        <f t="shared" si="55"/>
        <v>1</v>
      </c>
      <c r="BA53" s="366">
        <f t="shared" si="56"/>
        <v>176</v>
      </c>
      <c r="BB53" s="474">
        <v>0</v>
      </c>
      <c r="BC53" s="490">
        <v>1</v>
      </c>
      <c r="BD53" s="370">
        <f t="shared" si="57"/>
        <v>176</v>
      </c>
      <c r="BE53" s="371">
        <f t="shared" si="58"/>
        <v>0</v>
      </c>
      <c r="BF53" s="452">
        <v>2</v>
      </c>
      <c r="BG53" s="452" t="s">
        <v>291</v>
      </c>
      <c r="BH53" s="369">
        <f t="shared" si="59"/>
        <v>1</v>
      </c>
      <c r="BI53" s="366">
        <f t="shared" si="60"/>
        <v>176</v>
      </c>
      <c r="BJ53" s="371">
        <f t="shared" si="61"/>
        <v>0</v>
      </c>
      <c r="BK53" s="485">
        <v>1</v>
      </c>
      <c r="BL53" s="366">
        <f t="shared" si="62"/>
        <v>176</v>
      </c>
      <c r="BM53" s="474">
        <v>3</v>
      </c>
      <c r="BN53" s="369">
        <f t="shared" si="63"/>
        <v>1</v>
      </c>
      <c r="BO53" s="371">
        <f t="shared" si="64"/>
        <v>0</v>
      </c>
      <c r="BP53" s="478">
        <v>1</v>
      </c>
      <c r="BQ53" s="500"/>
      <c r="BR53" s="502">
        <v>41781</v>
      </c>
      <c r="BS53" s="372" t="str">
        <f t="shared" si="28"/>
        <v>To be realised</v>
      </c>
      <c r="BT53" s="452">
        <v>28</v>
      </c>
      <c r="BU53" s="452">
        <v>2</v>
      </c>
      <c r="BV53" s="373">
        <f t="shared" si="65"/>
        <v>28</v>
      </c>
      <c r="BW53" s="374">
        <f t="shared" si="66"/>
        <v>0</v>
      </c>
      <c r="BX53" s="366">
        <f t="shared" si="67"/>
        <v>0</v>
      </c>
      <c r="BY53" s="387">
        <f t="shared" si="32"/>
        <v>11</v>
      </c>
      <c r="BZ53" s="468"/>
      <c r="CA53" s="478">
        <v>1</v>
      </c>
      <c r="CB53" s="389">
        <f t="shared" si="68"/>
        <v>176</v>
      </c>
      <c r="CC53" s="468">
        <v>0</v>
      </c>
      <c r="CD53" s="375" t="str">
        <f t="shared" si="69"/>
        <v>No coverage</v>
      </c>
      <c r="CE53" s="474">
        <v>0</v>
      </c>
      <c r="CF53" s="469" t="s">
        <v>293</v>
      </c>
      <c r="CG53" s="509"/>
    </row>
    <row r="54" spans="2:85" s="40" customFormat="1" ht="30.75" customHeight="1" x14ac:dyDescent="0.2">
      <c r="B54" s="449" t="s">
        <v>132</v>
      </c>
      <c r="C54" s="450" t="s">
        <v>489</v>
      </c>
      <c r="D54" s="451" t="s">
        <v>258</v>
      </c>
      <c r="E54" s="450" t="s">
        <v>146</v>
      </c>
      <c r="F54" s="451">
        <v>97.399628000000007</v>
      </c>
      <c r="G54" s="451">
        <v>25.412313000000001</v>
      </c>
      <c r="H54" s="451" t="s">
        <v>449</v>
      </c>
      <c r="I54" s="451" t="s">
        <v>214</v>
      </c>
      <c r="J54" s="452">
        <v>100</v>
      </c>
      <c r="K54" s="452">
        <v>400</v>
      </c>
      <c r="L54" s="452">
        <v>400</v>
      </c>
      <c r="M54" s="362" t="str">
        <f t="shared" si="37"/>
        <v>2. Medium</v>
      </c>
      <c r="N54" s="701" t="s">
        <v>833</v>
      </c>
      <c r="O54" s="453" t="s">
        <v>235</v>
      </c>
      <c r="P54" s="461" t="s">
        <v>235</v>
      </c>
      <c r="Q54" s="382" t="str">
        <f t="shared" si="35"/>
        <v>Covered</v>
      </c>
      <c r="R54" s="462">
        <v>42429</v>
      </c>
      <c r="S54" s="453" t="s">
        <v>253</v>
      </c>
      <c r="T54" s="380" t="str">
        <f t="shared" si="36"/>
        <v>Documented</v>
      </c>
      <c r="U54" s="468">
        <v>0</v>
      </c>
      <c r="V54" s="452">
        <v>0</v>
      </c>
      <c r="W54" s="469" t="s">
        <v>19</v>
      </c>
      <c r="X54" s="468">
        <v>2</v>
      </c>
      <c r="Y54" s="474">
        <v>1</v>
      </c>
      <c r="Z54" s="475">
        <v>3000</v>
      </c>
      <c r="AA54" s="481">
        <v>0</v>
      </c>
      <c r="AB54" s="482">
        <v>1</v>
      </c>
      <c r="AC54" s="385">
        <f t="shared" si="38"/>
        <v>1</v>
      </c>
      <c r="AD54" s="364">
        <f t="shared" si="39"/>
        <v>400</v>
      </c>
      <c r="AE54" s="365">
        <f t="shared" si="40"/>
        <v>1</v>
      </c>
      <c r="AF54" s="366">
        <f t="shared" si="41"/>
        <v>400</v>
      </c>
      <c r="AG54" s="363">
        <f t="shared" si="42"/>
        <v>1</v>
      </c>
      <c r="AH54" s="366">
        <f t="shared" si="43"/>
        <v>400</v>
      </c>
      <c r="AI54" s="367" t="str">
        <f t="shared" si="44"/>
        <v>80-100%</v>
      </c>
      <c r="AJ54" s="363">
        <f t="shared" si="45"/>
        <v>0</v>
      </c>
      <c r="AK54" s="368">
        <f t="shared" si="46"/>
        <v>0</v>
      </c>
      <c r="AL54" s="366">
        <f t="shared" si="47"/>
        <v>0</v>
      </c>
      <c r="AM54" s="366">
        <f t="shared" si="48"/>
        <v>100</v>
      </c>
      <c r="AN54" s="366">
        <f t="shared" si="49"/>
        <v>0</v>
      </c>
      <c r="AO54" s="485">
        <v>1</v>
      </c>
      <c r="AP54" s="486">
        <f t="shared" si="50"/>
        <v>400</v>
      </c>
      <c r="AQ54" s="475"/>
      <c r="AR54" s="732">
        <v>0</v>
      </c>
      <c r="AS54" s="452">
        <v>0</v>
      </c>
      <c r="AT54" s="452">
        <v>15</v>
      </c>
      <c r="AU54" s="452" t="s">
        <v>290</v>
      </c>
      <c r="AV54" s="369">
        <f t="shared" si="51"/>
        <v>0.75</v>
      </c>
      <c r="AW54" s="366">
        <f t="shared" si="52"/>
        <v>300</v>
      </c>
      <c r="AX54" s="369">
        <f t="shared" si="53"/>
        <v>0</v>
      </c>
      <c r="AY54" s="366">
        <f t="shared" si="54"/>
        <v>0</v>
      </c>
      <c r="AZ54" s="369">
        <f t="shared" si="55"/>
        <v>0.75</v>
      </c>
      <c r="BA54" s="366">
        <f t="shared" si="56"/>
        <v>300</v>
      </c>
      <c r="BB54" s="474">
        <v>0</v>
      </c>
      <c r="BC54" s="490">
        <v>0.75</v>
      </c>
      <c r="BD54" s="370">
        <f t="shared" si="57"/>
        <v>300</v>
      </c>
      <c r="BE54" s="371">
        <f t="shared" si="58"/>
        <v>5</v>
      </c>
      <c r="BF54" s="452">
        <v>2</v>
      </c>
      <c r="BG54" s="452" t="s">
        <v>89</v>
      </c>
      <c r="BH54" s="369">
        <f t="shared" si="59"/>
        <v>0.5</v>
      </c>
      <c r="BI54" s="366">
        <f t="shared" si="60"/>
        <v>200</v>
      </c>
      <c r="BJ54" s="371">
        <f t="shared" si="61"/>
        <v>2</v>
      </c>
      <c r="BK54" s="485">
        <v>0.51</v>
      </c>
      <c r="BL54" s="366">
        <f t="shared" si="62"/>
        <v>204</v>
      </c>
      <c r="BM54" s="474">
        <v>12</v>
      </c>
      <c r="BN54" s="369">
        <f t="shared" si="63"/>
        <v>1</v>
      </c>
      <c r="BO54" s="371">
        <f t="shared" si="64"/>
        <v>0</v>
      </c>
      <c r="BP54" s="478">
        <v>1</v>
      </c>
      <c r="BQ54" s="500" t="s">
        <v>851</v>
      </c>
      <c r="BR54" s="502">
        <v>42053</v>
      </c>
      <c r="BS54" s="372">
        <f t="shared" si="28"/>
        <v>42418</v>
      </c>
      <c r="BT54" s="452">
        <v>100</v>
      </c>
      <c r="BU54" s="452">
        <v>4</v>
      </c>
      <c r="BV54" s="373">
        <f t="shared" si="65"/>
        <v>0</v>
      </c>
      <c r="BW54" s="374">
        <f t="shared" si="66"/>
        <v>1</v>
      </c>
      <c r="BX54" s="366">
        <f t="shared" si="67"/>
        <v>400</v>
      </c>
      <c r="BY54" s="387">
        <f t="shared" si="32"/>
        <v>0</v>
      </c>
      <c r="BZ54" s="468"/>
      <c r="CA54" s="478">
        <v>0.8</v>
      </c>
      <c r="CB54" s="389">
        <f t="shared" si="68"/>
        <v>320</v>
      </c>
      <c r="CC54" s="468">
        <v>2</v>
      </c>
      <c r="CD54" s="375" t="str">
        <f t="shared" si="69"/>
        <v>Excellent coverage</v>
      </c>
      <c r="CE54" s="474">
        <v>0</v>
      </c>
      <c r="CF54" s="469" t="s">
        <v>293</v>
      </c>
      <c r="CG54" s="509"/>
    </row>
    <row r="55" spans="2:85" s="40" customFormat="1" ht="30.75" customHeight="1" x14ac:dyDescent="0.2">
      <c r="B55" s="449" t="s">
        <v>132</v>
      </c>
      <c r="C55" s="450" t="s">
        <v>490</v>
      </c>
      <c r="D55" s="451" t="s">
        <v>258</v>
      </c>
      <c r="E55" s="450" t="s">
        <v>147</v>
      </c>
      <c r="F55" s="451">
        <v>97.418004999999994</v>
      </c>
      <c r="G55" s="451">
        <v>25.423817</v>
      </c>
      <c r="H55" s="451" t="s">
        <v>449</v>
      </c>
      <c r="I55" s="451" t="s">
        <v>214</v>
      </c>
      <c r="J55" s="452">
        <v>40</v>
      </c>
      <c r="K55" s="452">
        <v>282</v>
      </c>
      <c r="L55" s="452">
        <v>282</v>
      </c>
      <c r="M55" s="362" t="str">
        <f t="shared" si="37"/>
        <v>1. Small</v>
      </c>
      <c r="N55" s="701" t="s">
        <v>832</v>
      </c>
      <c r="O55" s="453" t="s">
        <v>276</v>
      </c>
      <c r="P55" s="461" t="s">
        <v>276</v>
      </c>
      <c r="Q55" s="382" t="str">
        <f t="shared" si="35"/>
        <v>Covered</v>
      </c>
      <c r="R55" s="462">
        <v>42216</v>
      </c>
      <c r="S55" s="453" t="s">
        <v>253</v>
      </c>
      <c r="T55" s="380" t="str">
        <f t="shared" si="36"/>
        <v>Documented</v>
      </c>
      <c r="U55" s="468">
        <v>0</v>
      </c>
      <c r="V55" s="452">
        <v>0</v>
      </c>
      <c r="W55" s="469" t="s">
        <v>19</v>
      </c>
      <c r="X55" s="468">
        <v>2</v>
      </c>
      <c r="Y55" s="474">
        <v>0</v>
      </c>
      <c r="Z55" s="475">
        <v>0</v>
      </c>
      <c r="AA55" s="481">
        <v>0</v>
      </c>
      <c r="AB55" s="482">
        <v>0</v>
      </c>
      <c r="AC55" s="385">
        <f t="shared" si="38"/>
        <v>1</v>
      </c>
      <c r="AD55" s="364">
        <f t="shared" si="39"/>
        <v>282</v>
      </c>
      <c r="AE55" s="365">
        <f t="shared" si="40"/>
        <v>1</v>
      </c>
      <c r="AF55" s="366">
        <f t="shared" si="41"/>
        <v>282</v>
      </c>
      <c r="AG55" s="363">
        <f t="shared" si="42"/>
        <v>1</v>
      </c>
      <c r="AH55" s="366">
        <f t="shared" si="43"/>
        <v>282</v>
      </c>
      <c r="AI55" s="367" t="str">
        <f t="shared" si="44"/>
        <v>80-100%</v>
      </c>
      <c r="AJ55" s="363">
        <f t="shared" si="45"/>
        <v>0</v>
      </c>
      <c r="AK55" s="368">
        <f t="shared" si="46"/>
        <v>0</v>
      </c>
      <c r="AL55" s="366">
        <f t="shared" si="47"/>
        <v>0</v>
      </c>
      <c r="AM55" s="366">
        <f t="shared" si="48"/>
        <v>0</v>
      </c>
      <c r="AN55" s="366">
        <f t="shared" si="49"/>
        <v>0</v>
      </c>
      <c r="AO55" s="485">
        <v>1</v>
      </c>
      <c r="AP55" s="486">
        <f t="shared" si="50"/>
        <v>282</v>
      </c>
      <c r="AQ55" s="475"/>
      <c r="AR55" s="732">
        <v>0</v>
      </c>
      <c r="AS55" s="452">
        <v>0</v>
      </c>
      <c r="AT55" s="452">
        <v>5</v>
      </c>
      <c r="AU55" s="452" t="s">
        <v>290</v>
      </c>
      <c r="AV55" s="369">
        <f t="shared" si="51"/>
        <v>0.3546099290780142</v>
      </c>
      <c r="AW55" s="366">
        <f t="shared" si="52"/>
        <v>100</v>
      </c>
      <c r="AX55" s="369">
        <f t="shared" si="53"/>
        <v>0</v>
      </c>
      <c r="AY55" s="366">
        <f t="shared" si="54"/>
        <v>0</v>
      </c>
      <c r="AZ55" s="369">
        <f t="shared" si="55"/>
        <v>0.3546099290780142</v>
      </c>
      <c r="BA55" s="366">
        <f t="shared" si="56"/>
        <v>100</v>
      </c>
      <c r="BB55" s="474">
        <v>0</v>
      </c>
      <c r="BC55" s="490">
        <v>1</v>
      </c>
      <c r="BD55" s="370">
        <f t="shared" si="57"/>
        <v>282</v>
      </c>
      <c r="BE55" s="371">
        <f t="shared" si="58"/>
        <v>9.1</v>
      </c>
      <c r="BF55" s="452">
        <v>2</v>
      </c>
      <c r="BG55" s="452" t="s">
        <v>291</v>
      </c>
      <c r="BH55" s="369">
        <f t="shared" si="59"/>
        <v>0.70921985815602839</v>
      </c>
      <c r="BI55" s="366">
        <f t="shared" si="60"/>
        <v>200</v>
      </c>
      <c r="BJ55" s="371">
        <f t="shared" si="61"/>
        <v>0.81999999999999984</v>
      </c>
      <c r="BK55" s="485">
        <v>1</v>
      </c>
      <c r="BL55" s="366">
        <f t="shared" si="62"/>
        <v>282</v>
      </c>
      <c r="BM55" s="474">
        <v>2</v>
      </c>
      <c r="BN55" s="369">
        <f t="shared" si="63"/>
        <v>0.70921985815602839</v>
      </c>
      <c r="BO55" s="371">
        <f t="shared" si="64"/>
        <v>0.81999999999999984</v>
      </c>
      <c r="BP55" s="478">
        <v>1</v>
      </c>
      <c r="BQ55" s="500"/>
      <c r="BR55" s="502">
        <v>42048</v>
      </c>
      <c r="BS55" s="372">
        <f t="shared" si="28"/>
        <v>42413</v>
      </c>
      <c r="BT55" s="452">
        <v>40</v>
      </c>
      <c r="BU55" s="452">
        <v>5</v>
      </c>
      <c r="BV55" s="373">
        <f t="shared" si="65"/>
        <v>0</v>
      </c>
      <c r="BW55" s="374">
        <f t="shared" si="66"/>
        <v>1</v>
      </c>
      <c r="BX55" s="366">
        <f t="shared" si="67"/>
        <v>282</v>
      </c>
      <c r="BY55" s="387">
        <f t="shared" si="32"/>
        <v>0</v>
      </c>
      <c r="BZ55" s="468"/>
      <c r="CA55" s="478">
        <v>1</v>
      </c>
      <c r="CB55" s="389">
        <f t="shared" si="68"/>
        <v>282</v>
      </c>
      <c r="CC55" s="468">
        <v>2</v>
      </c>
      <c r="CD55" s="375" t="str">
        <f t="shared" si="69"/>
        <v>Excellent coverage</v>
      </c>
      <c r="CE55" s="474">
        <v>0</v>
      </c>
      <c r="CF55" s="469" t="s">
        <v>65</v>
      </c>
      <c r="CG55" s="509"/>
    </row>
    <row r="56" spans="2:85" s="40" customFormat="1" ht="30.75" customHeight="1" x14ac:dyDescent="0.2">
      <c r="B56" s="449" t="s">
        <v>132</v>
      </c>
      <c r="C56" s="450" t="s">
        <v>491</v>
      </c>
      <c r="D56" s="451" t="s">
        <v>258</v>
      </c>
      <c r="E56" s="450" t="s">
        <v>148</v>
      </c>
      <c r="F56" s="451">
        <v>97.419403000000003</v>
      </c>
      <c r="G56" s="451">
        <v>25.440928</v>
      </c>
      <c r="H56" s="451" t="s">
        <v>449</v>
      </c>
      <c r="I56" s="451" t="s">
        <v>214</v>
      </c>
      <c r="J56" s="452">
        <v>83</v>
      </c>
      <c r="K56" s="452">
        <v>425</v>
      </c>
      <c r="L56" s="452">
        <v>425</v>
      </c>
      <c r="M56" s="362" t="str">
        <f t="shared" si="37"/>
        <v>2. Medium</v>
      </c>
      <c r="N56" s="701" t="s">
        <v>833</v>
      </c>
      <c r="O56" s="453" t="s">
        <v>235</v>
      </c>
      <c r="P56" s="461" t="s">
        <v>235</v>
      </c>
      <c r="Q56" s="382" t="str">
        <f t="shared" si="35"/>
        <v>Covered</v>
      </c>
      <c r="R56" s="462">
        <v>42429</v>
      </c>
      <c r="S56" s="453" t="s">
        <v>253</v>
      </c>
      <c r="T56" s="380" t="str">
        <f t="shared" si="36"/>
        <v>Documented</v>
      </c>
      <c r="U56" s="468">
        <v>0</v>
      </c>
      <c r="V56" s="452">
        <v>0</v>
      </c>
      <c r="W56" s="469" t="s">
        <v>19</v>
      </c>
      <c r="X56" s="468">
        <v>2</v>
      </c>
      <c r="Y56" s="474">
        <v>0</v>
      </c>
      <c r="Z56" s="475">
        <v>2000</v>
      </c>
      <c r="AA56" s="481">
        <v>0</v>
      </c>
      <c r="AB56" s="482">
        <v>1</v>
      </c>
      <c r="AC56" s="385">
        <f t="shared" si="38"/>
        <v>1</v>
      </c>
      <c r="AD56" s="364">
        <f t="shared" si="39"/>
        <v>425</v>
      </c>
      <c r="AE56" s="365">
        <f t="shared" si="40"/>
        <v>1</v>
      </c>
      <c r="AF56" s="366">
        <f t="shared" si="41"/>
        <v>425</v>
      </c>
      <c r="AG56" s="363">
        <f t="shared" si="42"/>
        <v>1</v>
      </c>
      <c r="AH56" s="366">
        <f t="shared" si="43"/>
        <v>425</v>
      </c>
      <c r="AI56" s="367" t="str">
        <f t="shared" si="44"/>
        <v>80-100%</v>
      </c>
      <c r="AJ56" s="363">
        <f t="shared" si="45"/>
        <v>0</v>
      </c>
      <c r="AK56" s="368">
        <f t="shared" si="46"/>
        <v>0</v>
      </c>
      <c r="AL56" s="366">
        <f t="shared" si="47"/>
        <v>0</v>
      </c>
      <c r="AM56" s="366">
        <f t="shared" si="48"/>
        <v>83</v>
      </c>
      <c r="AN56" s="366">
        <f t="shared" si="49"/>
        <v>0</v>
      </c>
      <c r="AO56" s="485">
        <v>1</v>
      </c>
      <c r="AP56" s="486">
        <f t="shared" si="50"/>
        <v>425</v>
      </c>
      <c r="AQ56" s="475"/>
      <c r="AR56" s="732">
        <v>0</v>
      </c>
      <c r="AS56" s="452">
        <v>0</v>
      </c>
      <c r="AT56" s="452">
        <v>16</v>
      </c>
      <c r="AU56" s="452" t="s">
        <v>290</v>
      </c>
      <c r="AV56" s="369">
        <f t="shared" si="51"/>
        <v>0.75294117647058822</v>
      </c>
      <c r="AW56" s="366">
        <f t="shared" si="52"/>
        <v>320</v>
      </c>
      <c r="AX56" s="369">
        <f t="shared" si="53"/>
        <v>0</v>
      </c>
      <c r="AY56" s="366">
        <f t="shared" si="54"/>
        <v>0</v>
      </c>
      <c r="AZ56" s="369">
        <f t="shared" si="55"/>
        <v>0.75294117647058822</v>
      </c>
      <c r="BA56" s="366">
        <f t="shared" si="56"/>
        <v>320</v>
      </c>
      <c r="BB56" s="474">
        <v>0</v>
      </c>
      <c r="BC56" s="490">
        <v>0.76</v>
      </c>
      <c r="BD56" s="370">
        <f t="shared" si="57"/>
        <v>323</v>
      </c>
      <c r="BE56" s="371">
        <f t="shared" si="58"/>
        <v>5.25</v>
      </c>
      <c r="BF56" s="452">
        <v>1</v>
      </c>
      <c r="BG56" s="452" t="s">
        <v>89</v>
      </c>
      <c r="BH56" s="369">
        <f t="shared" si="59"/>
        <v>0.23529411764705882</v>
      </c>
      <c r="BI56" s="366">
        <f t="shared" si="60"/>
        <v>100</v>
      </c>
      <c r="BJ56" s="371">
        <f t="shared" si="61"/>
        <v>3.25</v>
      </c>
      <c r="BK56" s="485">
        <v>0.24</v>
      </c>
      <c r="BL56" s="366">
        <f t="shared" si="62"/>
        <v>102</v>
      </c>
      <c r="BM56" s="474">
        <v>6</v>
      </c>
      <c r="BN56" s="369">
        <f t="shared" si="63"/>
        <v>1</v>
      </c>
      <c r="BO56" s="371">
        <f t="shared" si="64"/>
        <v>0</v>
      </c>
      <c r="BP56" s="478">
        <v>1</v>
      </c>
      <c r="BQ56" s="500" t="s">
        <v>855</v>
      </c>
      <c r="BR56" s="502">
        <v>42053</v>
      </c>
      <c r="BS56" s="372">
        <f t="shared" si="28"/>
        <v>42418</v>
      </c>
      <c r="BT56" s="452">
        <v>83</v>
      </c>
      <c r="BU56" s="452">
        <v>4</v>
      </c>
      <c r="BV56" s="373">
        <f t="shared" si="65"/>
        <v>0</v>
      </c>
      <c r="BW56" s="374">
        <f t="shared" si="66"/>
        <v>1</v>
      </c>
      <c r="BX56" s="366">
        <f t="shared" si="67"/>
        <v>425</v>
      </c>
      <c r="BY56" s="387">
        <f t="shared" si="32"/>
        <v>0</v>
      </c>
      <c r="BZ56" s="468"/>
      <c r="CA56" s="478">
        <v>0.8</v>
      </c>
      <c r="CB56" s="389">
        <f t="shared" si="68"/>
        <v>340</v>
      </c>
      <c r="CC56" s="468">
        <v>1</v>
      </c>
      <c r="CD56" s="375" t="str">
        <f t="shared" si="69"/>
        <v>Excellent coverage</v>
      </c>
      <c r="CE56" s="474">
        <v>0</v>
      </c>
      <c r="CF56" s="469" t="s">
        <v>293</v>
      </c>
      <c r="CG56" s="509"/>
    </row>
    <row r="57" spans="2:85" s="40" customFormat="1" ht="30.75" customHeight="1" x14ac:dyDescent="0.2">
      <c r="B57" s="449" t="s">
        <v>132</v>
      </c>
      <c r="C57" s="450" t="s">
        <v>484</v>
      </c>
      <c r="D57" s="451" t="s">
        <v>258</v>
      </c>
      <c r="E57" s="450" t="s">
        <v>149</v>
      </c>
      <c r="F57" s="451">
        <v>97.386718999999999</v>
      </c>
      <c r="G57" s="451">
        <v>25.415482000000001</v>
      </c>
      <c r="H57" s="451" t="s">
        <v>449</v>
      </c>
      <c r="I57" s="451" t="s">
        <v>214</v>
      </c>
      <c r="J57" s="452">
        <v>87</v>
      </c>
      <c r="K57" s="452">
        <v>258</v>
      </c>
      <c r="L57" s="452">
        <v>258</v>
      </c>
      <c r="M57" s="362" t="str">
        <f t="shared" si="37"/>
        <v>2. Medium</v>
      </c>
      <c r="N57" s="701" t="s">
        <v>833</v>
      </c>
      <c r="O57" s="453" t="s">
        <v>235</v>
      </c>
      <c r="P57" s="461" t="s">
        <v>235</v>
      </c>
      <c r="Q57" s="382" t="str">
        <f t="shared" si="35"/>
        <v>Covered</v>
      </c>
      <c r="R57" s="462">
        <v>42429</v>
      </c>
      <c r="S57" s="453" t="s">
        <v>253</v>
      </c>
      <c r="T57" s="380" t="str">
        <f t="shared" si="36"/>
        <v>Documented</v>
      </c>
      <c r="U57" s="468">
        <v>0</v>
      </c>
      <c r="V57" s="452">
        <v>0</v>
      </c>
      <c r="W57" s="469" t="s">
        <v>19</v>
      </c>
      <c r="X57" s="468">
        <v>0</v>
      </c>
      <c r="Y57" s="474">
        <v>3</v>
      </c>
      <c r="Z57" s="475">
        <v>1000</v>
      </c>
      <c r="AA57" s="481">
        <v>0</v>
      </c>
      <c r="AB57" s="482">
        <v>1</v>
      </c>
      <c r="AC57" s="385">
        <f t="shared" si="38"/>
        <v>1</v>
      </c>
      <c r="AD57" s="364">
        <f t="shared" si="39"/>
        <v>258</v>
      </c>
      <c r="AE57" s="365">
        <f t="shared" si="40"/>
        <v>1</v>
      </c>
      <c r="AF57" s="366">
        <f t="shared" si="41"/>
        <v>258</v>
      </c>
      <c r="AG57" s="363">
        <f t="shared" si="42"/>
        <v>1</v>
      </c>
      <c r="AH57" s="366">
        <f t="shared" si="43"/>
        <v>258</v>
      </c>
      <c r="AI57" s="367" t="str">
        <f t="shared" si="44"/>
        <v>80-100%</v>
      </c>
      <c r="AJ57" s="363">
        <f t="shared" si="45"/>
        <v>0</v>
      </c>
      <c r="AK57" s="368">
        <f t="shared" si="46"/>
        <v>0</v>
      </c>
      <c r="AL57" s="366">
        <f t="shared" si="47"/>
        <v>0</v>
      </c>
      <c r="AM57" s="366">
        <f t="shared" si="48"/>
        <v>87</v>
      </c>
      <c r="AN57" s="366">
        <f t="shared" si="49"/>
        <v>0</v>
      </c>
      <c r="AO57" s="485">
        <v>1</v>
      </c>
      <c r="AP57" s="486">
        <f t="shared" si="50"/>
        <v>258</v>
      </c>
      <c r="AQ57" s="475"/>
      <c r="AR57" s="732">
        <v>0</v>
      </c>
      <c r="AS57" s="452">
        <v>0</v>
      </c>
      <c r="AT57" s="452">
        <v>10</v>
      </c>
      <c r="AU57" s="452" t="s">
        <v>291</v>
      </c>
      <c r="AV57" s="369">
        <f t="shared" si="51"/>
        <v>0.77519379844961245</v>
      </c>
      <c r="AW57" s="366">
        <f t="shared" si="52"/>
        <v>200</v>
      </c>
      <c r="AX57" s="369">
        <f t="shared" si="53"/>
        <v>0</v>
      </c>
      <c r="AY57" s="366">
        <f t="shared" si="54"/>
        <v>0</v>
      </c>
      <c r="AZ57" s="369">
        <f t="shared" si="55"/>
        <v>0.77519379844961245</v>
      </c>
      <c r="BA57" s="366">
        <f t="shared" si="56"/>
        <v>200</v>
      </c>
      <c r="BB57" s="474">
        <v>0</v>
      </c>
      <c r="BC57" s="490">
        <v>0.78</v>
      </c>
      <c r="BD57" s="370">
        <f t="shared" si="57"/>
        <v>201.24</v>
      </c>
      <c r="BE57" s="371">
        <f t="shared" si="58"/>
        <v>2.9000000000000004</v>
      </c>
      <c r="BF57" s="452">
        <v>2</v>
      </c>
      <c r="BG57" s="452" t="s">
        <v>292</v>
      </c>
      <c r="BH57" s="369">
        <f t="shared" si="59"/>
        <v>0.77519379844961245</v>
      </c>
      <c r="BI57" s="366">
        <f t="shared" si="60"/>
        <v>200</v>
      </c>
      <c r="BJ57" s="371">
        <f t="shared" si="61"/>
        <v>0.58000000000000007</v>
      </c>
      <c r="BK57" s="485">
        <v>0.78</v>
      </c>
      <c r="BL57" s="366">
        <f t="shared" si="62"/>
        <v>201.24</v>
      </c>
      <c r="BM57" s="474">
        <v>1</v>
      </c>
      <c r="BN57" s="369">
        <f t="shared" si="63"/>
        <v>0.38759689922480622</v>
      </c>
      <c r="BO57" s="371">
        <f t="shared" si="64"/>
        <v>1.58</v>
      </c>
      <c r="BP57" s="478">
        <v>0.39</v>
      </c>
      <c r="BQ57" s="500" t="s">
        <v>856</v>
      </c>
      <c r="BR57" s="502">
        <v>42053</v>
      </c>
      <c r="BS57" s="372">
        <f t="shared" si="28"/>
        <v>42418</v>
      </c>
      <c r="BT57" s="452">
        <v>87</v>
      </c>
      <c r="BU57" s="452">
        <v>4</v>
      </c>
      <c r="BV57" s="373">
        <f t="shared" si="65"/>
        <v>0</v>
      </c>
      <c r="BW57" s="374">
        <f t="shared" si="66"/>
        <v>1</v>
      </c>
      <c r="BX57" s="366">
        <f t="shared" si="67"/>
        <v>258</v>
      </c>
      <c r="BY57" s="387">
        <f t="shared" si="32"/>
        <v>0</v>
      </c>
      <c r="BZ57" s="468"/>
      <c r="CA57" s="478">
        <v>0.8</v>
      </c>
      <c r="CB57" s="389">
        <f t="shared" si="68"/>
        <v>206.4</v>
      </c>
      <c r="CC57" s="468">
        <v>1</v>
      </c>
      <c r="CD57" s="375" t="str">
        <f t="shared" si="69"/>
        <v>Excellent coverage</v>
      </c>
      <c r="CE57" s="474">
        <v>0</v>
      </c>
      <c r="CF57" s="469" t="s">
        <v>293</v>
      </c>
      <c r="CG57" s="509"/>
    </row>
    <row r="58" spans="2:85" s="40" customFormat="1" ht="30.75" customHeight="1" x14ac:dyDescent="0.2">
      <c r="B58" s="449" t="s">
        <v>132</v>
      </c>
      <c r="C58" s="450" t="s">
        <v>505</v>
      </c>
      <c r="D58" s="451" t="s">
        <v>258</v>
      </c>
      <c r="E58" s="450" t="s">
        <v>613</v>
      </c>
      <c r="F58" s="451">
        <v>97.387370000000004</v>
      </c>
      <c r="G58" s="451">
        <v>25.42595</v>
      </c>
      <c r="H58" s="451" t="s">
        <v>449</v>
      </c>
      <c r="I58" s="451" t="s">
        <v>214</v>
      </c>
      <c r="J58" s="452">
        <v>34</v>
      </c>
      <c r="K58" s="452">
        <v>176</v>
      </c>
      <c r="L58" s="452">
        <v>176</v>
      </c>
      <c r="M58" s="362" t="str">
        <f t="shared" si="37"/>
        <v>1. Small</v>
      </c>
      <c r="N58" s="701" t="s">
        <v>832</v>
      </c>
      <c r="O58" s="453" t="s">
        <v>276</v>
      </c>
      <c r="P58" s="461" t="s">
        <v>276</v>
      </c>
      <c r="Q58" s="382" t="str">
        <f t="shared" si="35"/>
        <v>Covered</v>
      </c>
      <c r="R58" s="462">
        <v>42216</v>
      </c>
      <c r="S58" s="453" t="s">
        <v>253</v>
      </c>
      <c r="T58" s="380" t="str">
        <f t="shared" si="36"/>
        <v>Documented</v>
      </c>
      <c r="U58" s="468">
        <v>0</v>
      </c>
      <c r="V58" s="452">
        <v>15840</v>
      </c>
      <c r="W58" s="469" t="s">
        <v>18</v>
      </c>
      <c r="X58" s="468">
        <v>1</v>
      </c>
      <c r="Y58" s="474">
        <v>2</v>
      </c>
      <c r="Z58" s="475">
        <v>0</v>
      </c>
      <c r="AA58" s="481">
        <v>0</v>
      </c>
      <c r="AB58" s="482">
        <v>0</v>
      </c>
      <c r="AC58" s="385">
        <f t="shared" si="38"/>
        <v>1</v>
      </c>
      <c r="AD58" s="364">
        <f t="shared" si="39"/>
        <v>176</v>
      </c>
      <c r="AE58" s="365">
        <f t="shared" si="40"/>
        <v>1</v>
      </c>
      <c r="AF58" s="366">
        <f t="shared" si="41"/>
        <v>176</v>
      </c>
      <c r="AG58" s="363">
        <f t="shared" si="42"/>
        <v>1</v>
      </c>
      <c r="AH58" s="366">
        <f t="shared" si="43"/>
        <v>176</v>
      </c>
      <c r="AI58" s="367" t="str">
        <f t="shared" si="44"/>
        <v>80-100%</v>
      </c>
      <c r="AJ58" s="363">
        <f t="shared" si="45"/>
        <v>0</v>
      </c>
      <c r="AK58" s="368">
        <f t="shared" si="46"/>
        <v>0</v>
      </c>
      <c r="AL58" s="366">
        <f t="shared" si="47"/>
        <v>0</v>
      </c>
      <c r="AM58" s="366">
        <f t="shared" si="48"/>
        <v>0</v>
      </c>
      <c r="AN58" s="366">
        <f t="shared" si="49"/>
        <v>0</v>
      </c>
      <c r="AO58" s="485">
        <v>1</v>
      </c>
      <c r="AP58" s="486">
        <f t="shared" si="50"/>
        <v>176</v>
      </c>
      <c r="AQ58" s="475"/>
      <c r="AR58" s="732">
        <v>0</v>
      </c>
      <c r="AS58" s="452">
        <v>2</v>
      </c>
      <c r="AT58" s="452">
        <v>8</v>
      </c>
      <c r="AU58" s="452" t="s">
        <v>290</v>
      </c>
      <c r="AV58" s="369">
        <f t="shared" si="51"/>
        <v>1</v>
      </c>
      <c r="AW58" s="366">
        <f t="shared" si="52"/>
        <v>176</v>
      </c>
      <c r="AX58" s="369">
        <f t="shared" si="53"/>
        <v>9.0909090909090939E-2</v>
      </c>
      <c r="AY58" s="366">
        <f t="shared" si="54"/>
        <v>16.000000000000007</v>
      </c>
      <c r="AZ58" s="369">
        <f t="shared" si="55"/>
        <v>0.90909090909090906</v>
      </c>
      <c r="BA58" s="366">
        <f t="shared" si="56"/>
        <v>160</v>
      </c>
      <c r="BB58" s="474">
        <v>0</v>
      </c>
      <c r="BC58" s="490">
        <v>1</v>
      </c>
      <c r="BD58" s="370">
        <f t="shared" si="57"/>
        <v>176</v>
      </c>
      <c r="BE58" s="371">
        <f t="shared" si="58"/>
        <v>0.80000000000000071</v>
      </c>
      <c r="BF58" s="452">
        <v>2</v>
      </c>
      <c r="BG58" s="452" t="s">
        <v>89</v>
      </c>
      <c r="BH58" s="369">
        <f t="shared" si="59"/>
        <v>1</v>
      </c>
      <c r="BI58" s="366">
        <f t="shared" si="60"/>
        <v>176</v>
      </c>
      <c r="BJ58" s="371">
        <f t="shared" si="61"/>
        <v>0</v>
      </c>
      <c r="BK58" s="485">
        <v>1</v>
      </c>
      <c r="BL58" s="366">
        <f t="shared" si="62"/>
        <v>176</v>
      </c>
      <c r="BM58" s="474">
        <v>2</v>
      </c>
      <c r="BN58" s="369">
        <f t="shared" si="63"/>
        <v>1</v>
      </c>
      <c r="BO58" s="371">
        <f t="shared" si="64"/>
        <v>0</v>
      </c>
      <c r="BP58" s="478">
        <v>1</v>
      </c>
      <c r="BQ58" s="500"/>
      <c r="BR58" s="502">
        <v>42048</v>
      </c>
      <c r="BS58" s="372">
        <f t="shared" si="28"/>
        <v>42413</v>
      </c>
      <c r="BT58" s="452">
        <v>34</v>
      </c>
      <c r="BU58" s="452">
        <v>5</v>
      </c>
      <c r="BV58" s="373">
        <f t="shared" si="65"/>
        <v>0</v>
      </c>
      <c r="BW58" s="374">
        <f t="shared" si="66"/>
        <v>1</v>
      </c>
      <c r="BX58" s="366">
        <f t="shared" si="67"/>
        <v>176</v>
      </c>
      <c r="BY58" s="387">
        <f t="shared" si="32"/>
        <v>0</v>
      </c>
      <c r="BZ58" s="468"/>
      <c r="CA58" s="478">
        <v>1</v>
      </c>
      <c r="CB58" s="389">
        <f t="shared" si="68"/>
        <v>176</v>
      </c>
      <c r="CC58" s="468">
        <v>1</v>
      </c>
      <c r="CD58" s="375" t="str">
        <f t="shared" si="69"/>
        <v>Excellent coverage</v>
      </c>
      <c r="CE58" s="474">
        <v>0</v>
      </c>
      <c r="CF58" s="469" t="s">
        <v>65</v>
      </c>
      <c r="CG58" s="509"/>
    </row>
    <row r="59" spans="2:85" s="40" customFormat="1" ht="30.75" customHeight="1" x14ac:dyDescent="0.2">
      <c r="B59" s="449" t="s">
        <v>132</v>
      </c>
      <c r="C59" s="450" t="s">
        <v>505</v>
      </c>
      <c r="D59" s="451" t="s">
        <v>258</v>
      </c>
      <c r="E59" s="450" t="s">
        <v>150</v>
      </c>
      <c r="F59" s="451">
        <v>97.388400000000004</v>
      </c>
      <c r="G59" s="451">
        <v>25.40982</v>
      </c>
      <c r="H59" s="451" t="s">
        <v>449</v>
      </c>
      <c r="I59" s="451" t="s">
        <v>214</v>
      </c>
      <c r="J59" s="452">
        <v>35</v>
      </c>
      <c r="K59" s="452">
        <v>160</v>
      </c>
      <c r="L59" s="452">
        <v>160</v>
      </c>
      <c r="M59" s="362" t="str">
        <f t="shared" si="37"/>
        <v>1. Small</v>
      </c>
      <c r="N59" s="701" t="s">
        <v>832</v>
      </c>
      <c r="O59" s="453" t="s">
        <v>276</v>
      </c>
      <c r="P59" s="461" t="s">
        <v>276</v>
      </c>
      <c r="Q59" s="382" t="str">
        <f t="shared" si="35"/>
        <v>Covered</v>
      </c>
      <c r="R59" s="462">
        <v>42216</v>
      </c>
      <c r="S59" s="453" t="s">
        <v>253</v>
      </c>
      <c r="T59" s="380" t="str">
        <f t="shared" si="36"/>
        <v>Documented</v>
      </c>
      <c r="U59" s="468">
        <v>0</v>
      </c>
      <c r="V59" s="452">
        <v>14400</v>
      </c>
      <c r="W59" s="469" t="s">
        <v>18</v>
      </c>
      <c r="X59" s="468">
        <v>1</v>
      </c>
      <c r="Y59" s="474">
        <v>2</v>
      </c>
      <c r="Z59" s="475">
        <v>2000</v>
      </c>
      <c r="AA59" s="481">
        <v>0</v>
      </c>
      <c r="AB59" s="482">
        <v>0</v>
      </c>
      <c r="AC59" s="385">
        <f t="shared" si="38"/>
        <v>1</v>
      </c>
      <c r="AD59" s="364">
        <f t="shared" si="39"/>
        <v>160</v>
      </c>
      <c r="AE59" s="365">
        <f t="shared" si="40"/>
        <v>1</v>
      </c>
      <c r="AF59" s="366">
        <f t="shared" si="41"/>
        <v>160</v>
      </c>
      <c r="AG59" s="363">
        <f t="shared" si="42"/>
        <v>1</v>
      </c>
      <c r="AH59" s="366">
        <f t="shared" si="43"/>
        <v>160</v>
      </c>
      <c r="AI59" s="367" t="str">
        <f t="shared" si="44"/>
        <v>80-100%</v>
      </c>
      <c r="AJ59" s="363">
        <f t="shared" si="45"/>
        <v>0</v>
      </c>
      <c r="AK59" s="368">
        <f t="shared" si="46"/>
        <v>0</v>
      </c>
      <c r="AL59" s="366">
        <f t="shared" si="47"/>
        <v>0</v>
      </c>
      <c r="AM59" s="366">
        <f t="shared" si="48"/>
        <v>0</v>
      </c>
      <c r="AN59" s="366">
        <f t="shared" si="49"/>
        <v>0</v>
      </c>
      <c r="AO59" s="485">
        <v>1</v>
      </c>
      <c r="AP59" s="486">
        <f t="shared" si="50"/>
        <v>160</v>
      </c>
      <c r="AQ59" s="475"/>
      <c r="AR59" s="732">
        <v>16</v>
      </c>
      <c r="AS59" s="452">
        <v>3</v>
      </c>
      <c r="AT59" s="452">
        <v>6</v>
      </c>
      <c r="AU59" s="452" t="s">
        <v>290</v>
      </c>
      <c r="AV59" s="369">
        <f t="shared" si="51"/>
        <v>1</v>
      </c>
      <c r="AW59" s="366">
        <f t="shared" si="52"/>
        <v>160</v>
      </c>
      <c r="AX59" s="369">
        <f t="shared" si="53"/>
        <v>0.25</v>
      </c>
      <c r="AY59" s="366">
        <f t="shared" si="54"/>
        <v>40</v>
      </c>
      <c r="AZ59" s="369">
        <f t="shared" si="55"/>
        <v>0.75</v>
      </c>
      <c r="BA59" s="366">
        <f t="shared" si="56"/>
        <v>120</v>
      </c>
      <c r="BB59" s="474">
        <v>0</v>
      </c>
      <c r="BC59" s="490">
        <v>1</v>
      </c>
      <c r="BD59" s="370">
        <f t="shared" si="57"/>
        <v>160</v>
      </c>
      <c r="BE59" s="371">
        <f t="shared" si="58"/>
        <v>2</v>
      </c>
      <c r="BF59" s="452">
        <v>2</v>
      </c>
      <c r="BG59" s="452" t="s">
        <v>291</v>
      </c>
      <c r="BH59" s="369">
        <f t="shared" si="59"/>
        <v>1</v>
      </c>
      <c r="BI59" s="366">
        <f t="shared" si="60"/>
        <v>160</v>
      </c>
      <c r="BJ59" s="371">
        <f t="shared" si="61"/>
        <v>0</v>
      </c>
      <c r="BK59" s="485">
        <v>1</v>
      </c>
      <c r="BL59" s="366">
        <f t="shared" si="62"/>
        <v>160</v>
      </c>
      <c r="BM59" s="474">
        <v>6</v>
      </c>
      <c r="BN59" s="369">
        <f t="shared" si="63"/>
        <v>1</v>
      </c>
      <c r="BO59" s="371">
        <f t="shared" si="64"/>
        <v>0</v>
      </c>
      <c r="BP59" s="478">
        <v>1</v>
      </c>
      <c r="BQ59" s="500"/>
      <c r="BR59" s="502">
        <v>42048</v>
      </c>
      <c r="BS59" s="372">
        <f t="shared" si="28"/>
        <v>42413</v>
      </c>
      <c r="BT59" s="452">
        <v>35</v>
      </c>
      <c r="BU59" s="452">
        <v>5</v>
      </c>
      <c r="BV59" s="373">
        <f t="shared" si="65"/>
        <v>0</v>
      </c>
      <c r="BW59" s="374">
        <f t="shared" si="66"/>
        <v>1</v>
      </c>
      <c r="BX59" s="366">
        <f t="shared" si="67"/>
        <v>160</v>
      </c>
      <c r="BY59" s="387">
        <f t="shared" si="32"/>
        <v>0</v>
      </c>
      <c r="BZ59" s="468"/>
      <c r="CA59" s="478">
        <v>1</v>
      </c>
      <c r="CB59" s="389">
        <f t="shared" si="68"/>
        <v>160</v>
      </c>
      <c r="CC59" s="468">
        <v>1</v>
      </c>
      <c r="CD59" s="375" t="str">
        <f t="shared" si="69"/>
        <v>Excellent coverage</v>
      </c>
      <c r="CE59" s="474">
        <v>0</v>
      </c>
      <c r="CF59" s="469" t="s">
        <v>65</v>
      </c>
      <c r="CG59" s="509"/>
    </row>
    <row r="60" spans="2:85" s="40" customFormat="1" ht="30.75" customHeight="1" x14ac:dyDescent="0.2">
      <c r="B60" s="449" t="s">
        <v>132</v>
      </c>
      <c r="C60" s="450" t="s">
        <v>487</v>
      </c>
      <c r="D60" s="451" t="s">
        <v>258</v>
      </c>
      <c r="E60" s="450" t="s">
        <v>151</v>
      </c>
      <c r="F60" s="451">
        <v>97.379272</v>
      </c>
      <c r="G60" s="451">
        <v>25.401074999999999</v>
      </c>
      <c r="H60" s="451" t="s">
        <v>449</v>
      </c>
      <c r="I60" s="451" t="s">
        <v>214</v>
      </c>
      <c r="J60" s="452">
        <v>7</v>
      </c>
      <c r="K60" s="452">
        <v>40</v>
      </c>
      <c r="L60" s="452">
        <v>40</v>
      </c>
      <c r="M60" s="362" t="str">
        <f t="shared" si="37"/>
        <v>1. Small</v>
      </c>
      <c r="N60" s="701" t="s">
        <v>832</v>
      </c>
      <c r="O60" s="453" t="s">
        <v>276</v>
      </c>
      <c r="P60" s="461" t="s">
        <v>276</v>
      </c>
      <c r="Q60" s="382" t="str">
        <f t="shared" si="35"/>
        <v>Covered</v>
      </c>
      <c r="R60" s="462">
        <v>42216</v>
      </c>
      <c r="S60" s="453" t="s">
        <v>253</v>
      </c>
      <c r="T60" s="380" t="str">
        <f t="shared" si="36"/>
        <v>Documented</v>
      </c>
      <c r="U60" s="468">
        <v>0</v>
      </c>
      <c r="V60" s="452">
        <v>0</v>
      </c>
      <c r="W60" s="469" t="s">
        <v>19</v>
      </c>
      <c r="X60" s="468">
        <v>0</v>
      </c>
      <c r="Y60" s="474">
        <v>1</v>
      </c>
      <c r="Z60" s="475">
        <v>3600</v>
      </c>
      <c r="AA60" s="481">
        <v>0</v>
      </c>
      <c r="AB60" s="482">
        <v>0</v>
      </c>
      <c r="AC60" s="385">
        <f t="shared" si="38"/>
        <v>1</v>
      </c>
      <c r="AD60" s="364">
        <f t="shared" si="39"/>
        <v>40</v>
      </c>
      <c r="AE60" s="365">
        <f t="shared" si="40"/>
        <v>1</v>
      </c>
      <c r="AF60" s="366">
        <f t="shared" si="41"/>
        <v>40</v>
      </c>
      <c r="AG60" s="363">
        <f t="shared" si="42"/>
        <v>1</v>
      </c>
      <c r="AH60" s="366">
        <f t="shared" si="43"/>
        <v>40</v>
      </c>
      <c r="AI60" s="367" t="str">
        <f t="shared" si="44"/>
        <v>80-100%</v>
      </c>
      <c r="AJ60" s="363">
        <f t="shared" si="45"/>
        <v>0</v>
      </c>
      <c r="AK60" s="368">
        <f t="shared" si="46"/>
        <v>0</v>
      </c>
      <c r="AL60" s="366">
        <f t="shared" si="47"/>
        <v>0</v>
      </c>
      <c r="AM60" s="366">
        <f t="shared" si="48"/>
        <v>0</v>
      </c>
      <c r="AN60" s="366">
        <f t="shared" si="49"/>
        <v>0</v>
      </c>
      <c r="AO60" s="485">
        <v>1</v>
      </c>
      <c r="AP60" s="486">
        <f t="shared" si="50"/>
        <v>40</v>
      </c>
      <c r="AQ60" s="475"/>
      <c r="AR60" s="732">
        <v>0</v>
      </c>
      <c r="AS60" s="452">
        <v>0</v>
      </c>
      <c r="AT60" s="452">
        <v>2</v>
      </c>
      <c r="AU60" s="452" t="s">
        <v>290</v>
      </c>
      <c r="AV60" s="369">
        <f t="shared" si="51"/>
        <v>1</v>
      </c>
      <c r="AW60" s="366">
        <f t="shared" si="52"/>
        <v>40</v>
      </c>
      <c r="AX60" s="369">
        <f t="shared" si="53"/>
        <v>0</v>
      </c>
      <c r="AY60" s="366">
        <f t="shared" si="54"/>
        <v>0</v>
      </c>
      <c r="AZ60" s="369">
        <f t="shared" si="55"/>
        <v>1</v>
      </c>
      <c r="BA60" s="366">
        <f t="shared" si="56"/>
        <v>40</v>
      </c>
      <c r="BB60" s="474">
        <v>0</v>
      </c>
      <c r="BC60" s="490">
        <v>1</v>
      </c>
      <c r="BD60" s="370">
        <f t="shared" si="57"/>
        <v>40</v>
      </c>
      <c r="BE60" s="371">
        <f t="shared" si="58"/>
        <v>0</v>
      </c>
      <c r="BF60" s="452">
        <v>1</v>
      </c>
      <c r="BG60" s="452" t="s">
        <v>291</v>
      </c>
      <c r="BH60" s="369">
        <f t="shared" si="59"/>
        <v>1</v>
      </c>
      <c r="BI60" s="366">
        <f t="shared" si="60"/>
        <v>40</v>
      </c>
      <c r="BJ60" s="371">
        <f t="shared" si="61"/>
        <v>0</v>
      </c>
      <c r="BK60" s="485">
        <v>1</v>
      </c>
      <c r="BL60" s="366">
        <f t="shared" si="62"/>
        <v>40</v>
      </c>
      <c r="BM60" s="474">
        <v>3</v>
      </c>
      <c r="BN60" s="369">
        <f t="shared" si="63"/>
        <v>1</v>
      </c>
      <c r="BO60" s="371">
        <f t="shared" si="64"/>
        <v>0</v>
      </c>
      <c r="BP60" s="478">
        <v>1</v>
      </c>
      <c r="BQ60" s="500"/>
      <c r="BR60" s="502">
        <v>42048</v>
      </c>
      <c r="BS60" s="372">
        <f t="shared" si="28"/>
        <v>42413</v>
      </c>
      <c r="BT60" s="452">
        <v>7</v>
      </c>
      <c r="BU60" s="452">
        <v>5</v>
      </c>
      <c r="BV60" s="373">
        <f t="shared" si="65"/>
        <v>0</v>
      </c>
      <c r="BW60" s="374">
        <f t="shared" si="66"/>
        <v>1</v>
      </c>
      <c r="BX60" s="366">
        <f t="shared" si="67"/>
        <v>40</v>
      </c>
      <c r="BY60" s="387">
        <f t="shared" si="32"/>
        <v>0</v>
      </c>
      <c r="BZ60" s="468"/>
      <c r="CA60" s="478">
        <v>1</v>
      </c>
      <c r="CB60" s="389">
        <f t="shared" si="68"/>
        <v>40</v>
      </c>
      <c r="CC60" s="468">
        <v>2</v>
      </c>
      <c r="CD60" s="375" t="str">
        <f t="shared" si="69"/>
        <v>Excellent coverage</v>
      </c>
      <c r="CE60" s="474">
        <v>1</v>
      </c>
      <c r="CF60" s="469" t="s">
        <v>65</v>
      </c>
      <c r="CG60" s="509" t="s">
        <v>734</v>
      </c>
    </row>
    <row r="61" spans="2:85" s="40" customFormat="1" ht="30.75" customHeight="1" x14ac:dyDescent="0.2">
      <c r="B61" s="449" t="s">
        <v>132</v>
      </c>
      <c r="C61" s="450" t="s">
        <v>486</v>
      </c>
      <c r="D61" s="451" t="s">
        <v>258</v>
      </c>
      <c r="E61" s="450" t="s">
        <v>152</v>
      </c>
      <c r="F61" s="451">
        <v>97.377662999999998</v>
      </c>
      <c r="G61" s="451">
        <v>25.404752999999999</v>
      </c>
      <c r="H61" s="451" t="s">
        <v>449</v>
      </c>
      <c r="I61" s="451" t="s">
        <v>214</v>
      </c>
      <c r="J61" s="452">
        <v>31</v>
      </c>
      <c r="K61" s="452">
        <v>131</v>
      </c>
      <c r="L61" s="452">
        <v>131</v>
      </c>
      <c r="M61" s="362" t="str">
        <f t="shared" si="37"/>
        <v>1. Small</v>
      </c>
      <c r="N61" s="701" t="s">
        <v>833</v>
      </c>
      <c r="O61" s="453" t="s">
        <v>235</v>
      </c>
      <c r="P61" s="461" t="s">
        <v>235</v>
      </c>
      <c r="Q61" s="382" t="str">
        <f t="shared" si="35"/>
        <v>Covered</v>
      </c>
      <c r="R61" s="462">
        <v>42429</v>
      </c>
      <c r="S61" s="453" t="s">
        <v>253</v>
      </c>
      <c r="T61" s="380" t="str">
        <f t="shared" si="36"/>
        <v>Documented</v>
      </c>
      <c r="U61" s="468">
        <v>0</v>
      </c>
      <c r="V61" s="452">
        <v>0</v>
      </c>
      <c r="W61" s="469" t="s">
        <v>19</v>
      </c>
      <c r="X61" s="468">
        <v>0</v>
      </c>
      <c r="Y61" s="474">
        <v>2</v>
      </c>
      <c r="Z61" s="475">
        <v>2000</v>
      </c>
      <c r="AA61" s="481">
        <v>0</v>
      </c>
      <c r="AB61" s="482">
        <v>1</v>
      </c>
      <c r="AC61" s="385">
        <f t="shared" si="38"/>
        <v>1</v>
      </c>
      <c r="AD61" s="364">
        <f t="shared" si="39"/>
        <v>131</v>
      </c>
      <c r="AE61" s="365">
        <f t="shared" si="40"/>
        <v>1</v>
      </c>
      <c r="AF61" s="366">
        <f t="shared" si="41"/>
        <v>131</v>
      </c>
      <c r="AG61" s="363">
        <f t="shared" si="42"/>
        <v>1</v>
      </c>
      <c r="AH61" s="366">
        <f t="shared" si="43"/>
        <v>131</v>
      </c>
      <c r="AI61" s="367" t="str">
        <f t="shared" si="44"/>
        <v>80-100%</v>
      </c>
      <c r="AJ61" s="363">
        <f t="shared" si="45"/>
        <v>0</v>
      </c>
      <c r="AK61" s="368">
        <f t="shared" si="46"/>
        <v>0</v>
      </c>
      <c r="AL61" s="366">
        <f t="shared" si="47"/>
        <v>0</v>
      </c>
      <c r="AM61" s="366">
        <f t="shared" si="48"/>
        <v>31</v>
      </c>
      <c r="AN61" s="366">
        <f t="shared" si="49"/>
        <v>0</v>
      </c>
      <c r="AO61" s="485">
        <v>1</v>
      </c>
      <c r="AP61" s="486">
        <f t="shared" si="50"/>
        <v>131</v>
      </c>
      <c r="AQ61" s="475"/>
      <c r="AR61" s="732">
        <v>0</v>
      </c>
      <c r="AS61" s="452">
        <v>0</v>
      </c>
      <c r="AT61" s="452">
        <v>7</v>
      </c>
      <c r="AU61" s="452" t="s">
        <v>291</v>
      </c>
      <c r="AV61" s="369">
        <f t="shared" si="51"/>
        <v>1</v>
      </c>
      <c r="AW61" s="366">
        <f t="shared" si="52"/>
        <v>131</v>
      </c>
      <c r="AX61" s="369">
        <f t="shared" si="53"/>
        <v>0</v>
      </c>
      <c r="AY61" s="366">
        <f t="shared" si="54"/>
        <v>0</v>
      </c>
      <c r="AZ61" s="369">
        <f t="shared" si="55"/>
        <v>1</v>
      </c>
      <c r="BA61" s="366">
        <f t="shared" si="56"/>
        <v>131</v>
      </c>
      <c r="BB61" s="474">
        <v>0</v>
      </c>
      <c r="BC61" s="490">
        <v>1</v>
      </c>
      <c r="BD61" s="370">
        <f t="shared" si="57"/>
        <v>131</v>
      </c>
      <c r="BE61" s="371">
        <f t="shared" si="58"/>
        <v>0</v>
      </c>
      <c r="BF61" s="452">
        <v>2</v>
      </c>
      <c r="BG61" s="452" t="s">
        <v>89</v>
      </c>
      <c r="BH61" s="369">
        <f t="shared" si="59"/>
        <v>1</v>
      </c>
      <c r="BI61" s="366">
        <f t="shared" si="60"/>
        <v>131</v>
      </c>
      <c r="BJ61" s="371">
        <f t="shared" si="61"/>
        <v>0</v>
      </c>
      <c r="BK61" s="485">
        <v>1</v>
      </c>
      <c r="BL61" s="366">
        <f t="shared" si="62"/>
        <v>131</v>
      </c>
      <c r="BM61" s="474">
        <v>4</v>
      </c>
      <c r="BN61" s="369">
        <f t="shared" si="63"/>
        <v>1</v>
      </c>
      <c r="BO61" s="371">
        <f t="shared" si="64"/>
        <v>0</v>
      </c>
      <c r="BP61" s="478">
        <v>1</v>
      </c>
      <c r="BQ61" s="500"/>
      <c r="BR61" s="502">
        <v>42053</v>
      </c>
      <c r="BS61" s="372">
        <f t="shared" si="28"/>
        <v>42418</v>
      </c>
      <c r="BT61" s="452">
        <v>31</v>
      </c>
      <c r="BU61" s="452">
        <v>4</v>
      </c>
      <c r="BV61" s="373">
        <f t="shared" si="65"/>
        <v>0</v>
      </c>
      <c r="BW61" s="374">
        <f t="shared" si="66"/>
        <v>1</v>
      </c>
      <c r="BX61" s="366">
        <f t="shared" si="67"/>
        <v>131</v>
      </c>
      <c r="BY61" s="387">
        <f t="shared" si="32"/>
        <v>0</v>
      </c>
      <c r="BZ61" s="468"/>
      <c r="CA61" s="478">
        <v>0.8</v>
      </c>
      <c r="CB61" s="389">
        <f t="shared" si="68"/>
        <v>104.80000000000001</v>
      </c>
      <c r="CC61" s="468">
        <v>1</v>
      </c>
      <c r="CD61" s="375" t="str">
        <f t="shared" si="69"/>
        <v>Excellent coverage</v>
      </c>
      <c r="CE61" s="474">
        <v>1</v>
      </c>
      <c r="CF61" s="469" t="s">
        <v>293</v>
      </c>
      <c r="CG61" s="509" t="s">
        <v>733</v>
      </c>
    </row>
    <row r="62" spans="2:85" s="40" customFormat="1" ht="30.75" customHeight="1" x14ac:dyDescent="0.2">
      <c r="B62" s="449" t="s">
        <v>132</v>
      </c>
      <c r="C62" s="450" t="s">
        <v>488</v>
      </c>
      <c r="D62" s="451" t="s">
        <v>258</v>
      </c>
      <c r="E62" s="450" t="s">
        <v>153</v>
      </c>
      <c r="F62" s="451">
        <v>97.382192000000003</v>
      </c>
      <c r="G62" s="451">
        <v>25.404015000000001</v>
      </c>
      <c r="H62" s="451" t="s">
        <v>449</v>
      </c>
      <c r="I62" s="451" t="s">
        <v>214</v>
      </c>
      <c r="J62" s="452">
        <v>33</v>
      </c>
      <c r="K62" s="452">
        <v>120</v>
      </c>
      <c r="L62" s="452">
        <v>120</v>
      </c>
      <c r="M62" s="362" t="str">
        <f t="shared" si="37"/>
        <v>1. Small</v>
      </c>
      <c r="N62" s="701" t="s">
        <v>833</v>
      </c>
      <c r="O62" s="453" t="s">
        <v>235</v>
      </c>
      <c r="P62" s="461" t="s">
        <v>235</v>
      </c>
      <c r="Q62" s="382" t="str">
        <f t="shared" si="35"/>
        <v>Covered</v>
      </c>
      <c r="R62" s="462">
        <v>42429</v>
      </c>
      <c r="S62" s="453" t="s">
        <v>253</v>
      </c>
      <c r="T62" s="380" t="str">
        <f t="shared" si="36"/>
        <v>Documented</v>
      </c>
      <c r="U62" s="468">
        <v>0</v>
      </c>
      <c r="V62" s="452">
        <v>0</v>
      </c>
      <c r="W62" s="469" t="s">
        <v>19</v>
      </c>
      <c r="X62" s="468">
        <v>0</v>
      </c>
      <c r="Y62" s="474">
        <v>2</v>
      </c>
      <c r="Z62" s="475">
        <v>0</v>
      </c>
      <c r="AA62" s="481">
        <v>0</v>
      </c>
      <c r="AB62" s="482">
        <v>1</v>
      </c>
      <c r="AC62" s="385">
        <f t="shared" si="38"/>
        <v>1</v>
      </c>
      <c r="AD62" s="364">
        <f t="shared" si="39"/>
        <v>120</v>
      </c>
      <c r="AE62" s="365">
        <f t="shared" si="40"/>
        <v>1</v>
      </c>
      <c r="AF62" s="366">
        <f t="shared" si="41"/>
        <v>120</v>
      </c>
      <c r="AG62" s="363">
        <f t="shared" si="42"/>
        <v>1</v>
      </c>
      <c r="AH62" s="366">
        <f t="shared" si="43"/>
        <v>120</v>
      </c>
      <c r="AI62" s="367" t="str">
        <f t="shared" si="44"/>
        <v>80-100%</v>
      </c>
      <c r="AJ62" s="363">
        <f t="shared" si="45"/>
        <v>0</v>
      </c>
      <c r="AK62" s="368">
        <f t="shared" si="46"/>
        <v>0</v>
      </c>
      <c r="AL62" s="366">
        <f t="shared" si="47"/>
        <v>0</v>
      </c>
      <c r="AM62" s="366">
        <f t="shared" si="48"/>
        <v>33</v>
      </c>
      <c r="AN62" s="366">
        <f t="shared" si="49"/>
        <v>0</v>
      </c>
      <c r="AO62" s="485">
        <v>1</v>
      </c>
      <c r="AP62" s="486">
        <f t="shared" si="50"/>
        <v>120</v>
      </c>
      <c r="AQ62" s="475"/>
      <c r="AR62" s="732">
        <v>0</v>
      </c>
      <c r="AS62" s="452">
        <v>0</v>
      </c>
      <c r="AT62" s="452">
        <v>8</v>
      </c>
      <c r="AU62" s="452" t="s">
        <v>290</v>
      </c>
      <c r="AV62" s="369">
        <f t="shared" si="51"/>
        <v>1</v>
      </c>
      <c r="AW62" s="366">
        <f t="shared" si="52"/>
        <v>120</v>
      </c>
      <c r="AX62" s="369">
        <f t="shared" si="53"/>
        <v>0</v>
      </c>
      <c r="AY62" s="366">
        <f t="shared" si="54"/>
        <v>0</v>
      </c>
      <c r="AZ62" s="369">
        <f t="shared" si="55"/>
        <v>1</v>
      </c>
      <c r="BA62" s="366">
        <f t="shared" si="56"/>
        <v>120</v>
      </c>
      <c r="BB62" s="474">
        <v>0</v>
      </c>
      <c r="BC62" s="490">
        <v>1</v>
      </c>
      <c r="BD62" s="370">
        <f t="shared" si="57"/>
        <v>120</v>
      </c>
      <c r="BE62" s="371">
        <f t="shared" si="58"/>
        <v>0</v>
      </c>
      <c r="BF62" s="452">
        <v>1</v>
      </c>
      <c r="BG62" s="452" t="s">
        <v>89</v>
      </c>
      <c r="BH62" s="369">
        <f t="shared" si="59"/>
        <v>0.83333333333333337</v>
      </c>
      <c r="BI62" s="366">
        <f t="shared" si="60"/>
        <v>100</v>
      </c>
      <c r="BJ62" s="371">
        <f t="shared" si="61"/>
        <v>0.19999999999999996</v>
      </c>
      <c r="BK62" s="485">
        <v>0.83</v>
      </c>
      <c r="BL62" s="366">
        <f t="shared" si="62"/>
        <v>99.6</v>
      </c>
      <c r="BM62" s="474">
        <v>5</v>
      </c>
      <c r="BN62" s="369">
        <f t="shared" si="63"/>
        <v>1</v>
      </c>
      <c r="BO62" s="371">
        <f t="shared" si="64"/>
        <v>0</v>
      </c>
      <c r="BP62" s="478">
        <v>1</v>
      </c>
      <c r="BQ62" s="500" t="s">
        <v>857</v>
      </c>
      <c r="BR62" s="502">
        <v>42053</v>
      </c>
      <c r="BS62" s="372">
        <f t="shared" si="28"/>
        <v>42418</v>
      </c>
      <c r="BT62" s="452">
        <v>33</v>
      </c>
      <c r="BU62" s="452">
        <v>4</v>
      </c>
      <c r="BV62" s="373">
        <f t="shared" si="65"/>
        <v>0</v>
      </c>
      <c r="BW62" s="374">
        <f t="shared" si="66"/>
        <v>1</v>
      </c>
      <c r="BX62" s="366">
        <f t="shared" si="67"/>
        <v>120</v>
      </c>
      <c r="BY62" s="387">
        <f t="shared" si="32"/>
        <v>0</v>
      </c>
      <c r="BZ62" s="468"/>
      <c r="CA62" s="478">
        <v>0.8</v>
      </c>
      <c r="CB62" s="389">
        <f t="shared" si="68"/>
        <v>96</v>
      </c>
      <c r="CC62" s="468">
        <v>1</v>
      </c>
      <c r="CD62" s="375" t="str">
        <f t="shared" si="69"/>
        <v>Excellent coverage</v>
      </c>
      <c r="CE62" s="474">
        <v>0</v>
      </c>
      <c r="CF62" s="469" t="s">
        <v>293</v>
      </c>
      <c r="CG62" s="509"/>
    </row>
    <row r="63" spans="2:85" s="40" customFormat="1" ht="30.75" customHeight="1" x14ac:dyDescent="0.2">
      <c r="B63" s="449" t="s">
        <v>132</v>
      </c>
      <c r="C63" s="450" t="s">
        <v>504</v>
      </c>
      <c r="D63" s="451" t="s">
        <v>258</v>
      </c>
      <c r="E63" s="450" t="s">
        <v>154</v>
      </c>
      <c r="F63" s="451">
        <v>97.403407999999999</v>
      </c>
      <c r="G63" s="451">
        <v>25.377545999999999</v>
      </c>
      <c r="H63" s="451" t="s">
        <v>449</v>
      </c>
      <c r="I63" s="451" t="s">
        <v>214</v>
      </c>
      <c r="J63" s="452">
        <v>6</v>
      </c>
      <c r="K63" s="452">
        <v>36</v>
      </c>
      <c r="L63" s="452">
        <v>36</v>
      </c>
      <c r="M63" s="362" t="str">
        <f t="shared" si="37"/>
        <v>1. Small</v>
      </c>
      <c r="N63" s="701" t="s">
        <v>832</v>
      </c>
      <c r="O63" s="453" t="s">
        <v>276</v>
      </c>
      <c r="P63" s="461" t="s">
        <v>276</v>
      </c>
      <c r="Q63" s="382" t="str">
        <f t="shared" si="35"/>
        <v>Covered</v>
      </c>
      <c r="R63" s="462">
        <v>42216</v>
      </c>
      <c r="S63" s="453" t="s">
        <v>253</v>
      </c>
      <c r="T63" s="380" t="str">
        <f t="shared" si="36"/>
        <v>Documented</v>
      </c>
      <c r="U63" s="468">
        <v>0</v>
      </c>
      <c r="V63" s="452">
        <v>0</v>
      </c>
      <c r="W63" s="469" t="s">
        <v>19</v>
      </c>
      <c r="X63" s="468">
        <v>0</v>
      </c>
      <c r="Y63" s="474">
        <v>0</v>
      </c>
      <c r="Z63" s="475">
        <v>7200</v>
      </c>
      <c r="AA63" s="481">
        <v>0</v>
      </c>
      <c r="AB63" s="482">
        <v>0</v>
      </c>
      <c r="AC63" s="385">
        <f t="shared" si="38"/>
        <v>1</v>
      </c>
      <c r="AD63" s="364">
        <f t="shared" si="39"/>
        <v>36</v>
      </c>
      <c r="AE63" s="365">
        <f t="shared" si="40"/>
        <v>1</v>
      </c>
      <c r="AF63" s="366">
        <f t="shared" si="41"/>
        <v>36</v>
      </c>
      <c r="AG63" s="363">
        <f t="shared" si="42"/>
        <v>1</v>
      </c>
      <c r="AH63" s="366">
        <f t="shared" si="43"/>
        <v>36</v>
      </c>
      <c r="AI63" s="367" t="str">
        <f t="shared" si="44"/>
        <v>80-100%</v>
      </c>
      <c r="AJ63" s="363">
        <f t="shared" si="45"/>
        <v>0</v>
      </c>
      <c r="AK63" s="368">
        <f t="shared" si="46"/>
        <v>0</v>
      </c>
      <c r="AL63" s="366">
        <f t="shared" si="47"/>
        <v>0.09</v>
      </c>
      <c r="AM63" s="366">
        <f t="shared" si="48"/>
        <v>0</v>
      </c>
      <c r="AN63" s="366">
        <f t="shared" si="49"/>
        <v>0</v>
      </c>
      <c r="AO63" s="485">
        <v>1</v>
      </c>
      <c r="AP63" s="486">
        <f t="shared" si="50"/>
        <v>36</v>
      </c>
      <c r="AQ63" s="475"/>
      <c r="AR63" s="732">
        <v>0</v>
      </c>
      <c r="AS63" s="452">
        <v>0</v>
      </c>
      <c r="AT63" s="452">
        <v>6</v>
      </c>
      <c r="AU63" s="452" t="s">
        <v>290</v>
      </c>
      <c r="AV63" s="369">
        <f t="shared" si="51"/>
        <v>1</v>
      </c>
      <c r="AW63" s="366">
        <f t="shared" si="52"/>
        <v>36</v>
      </c>
      <c r="AX63" s="369">
        <f t="shared" si="53"/>
        <v>0</v>
      </c>
      <c r="AY63" s="366">
        <f t="shared" si="54"/>
        <v>0</v>
      </c>
      <c r="AZ63" s="369">
        <f t="shared" si="55"/>
        <v>1</v>
      </c>
      <c r="BA63" s="366">
        <f t="shared" si="56"/>
        <v>36</v>
      </c>
      <c r="BB63" s="474">
        <v>0</v>
      </c>
      <c r="BC63" s="490">
        <v>1</v>
      </c>
      <c r="BD63" s="370">
        <f t="shared" si="57"/>
        <v>36</v>
      </c>
      <c r="BE63" s="371">
        <f t="shared" si="58"/>
        <v>0</v>
      </c>
      <c r="BF63" s="452">
        <v>1</v>
      </c>
      <c r="BG63" s="452" t="s">
        <v>290</v>
      </c>
      <c r="BH63" s="369">
        <f t="shared" si="59"/>
        <v>1</v>
      </c>
      <c r="BI63" s="366">
        <f t="shared" si="60"/>
        <v>36</v>
      </c>
      <c r="BJ63" s="371">
        <f t="shared" si="61"/>
        <v>0</v>
      </c>
      <c r="BK63" s="485">
        <v>1</v>
      </c>
      <c r="BL63" s="366">
        <f t="shared" si="62"/>
        <v>36</v>
      </c>
      <c r="BM63" s="474">
        <v>2</v>
      </c>
      <c r="BN63" s="369">
        <f t="shared" si="63"/>
        <v>1</v>
      </c>
      <c r="BO63" s="371">
        <f t="shared" si="64"/>
        <v>0</v>
      </c>
      <c r="BP63" s="478">
        <v>1</v>
      </c>
      <c r="BQ63" s="500"/>
      <c r="BR63" s="502">
        <v>42048</v>
      </c>
      <c r="BS63" s="372">
        <f t="shared" si="28"/>
        <v>42413</v>
      </c>
      <c r="BT63" s="452">
        <v>6</v>
      </c>
      <c r="BU63" s="452">
        <v>5</v>
      </c>
      <c r="BV63" s="373">
        <f t="shared" si="65"/>
        <v>0</v>
      </c>
      <c r="BW63" s="374">
        <f t="shared" si="66"/>
        <v>1</v>
      </c>
      <c r="BX63" s="366">
        <f t="shared" si="67"/>
        <v>36</v>
      </c>
      <c r="BY63" s="387">
        <f t="shared" si="32"/>
        <v>0</v>
      </c>
      <c r="BZ63" s="468"/>
      <c r="CA63" s="478">
        <v>1</v>
      </c>
      <c r="CB63" s="389">
        <f t="shared" si="68"/>
        <v>36</v>
      </c>
      <c r="CC63" s="468">
        <v>2</v>
      </c>
      <c r="CD63" s="375" t="str">
        <f t="shared" si="69"/>
        <v>Excellent coverage</v>
      </c>
      <c r="CE63" s="474">
        <v>0</v>
      </c>
      <c r="CF63" s="469" t="s">
        <v>65</v>
      </c>
      <c r="CG63" s="509"/>
    </row>
    <row r="64" spans="2:85" s="40" customFormat="1" ht="30.75" customHeight="1" x14ac:dyDescent="0.2">
      <c r="B64" s="449" t="s">
        <v>220</v>
      </c>
      <c r="C64" s="450" t="s">
        <v>580</v>
      </c>
      <c r="D64" s="451" t="s">
        <v>314</v>
      </c>
      <c r="E64" s="450" t="s">
        <v>459</v>
      </c>
      <c r="F64" s="451">
        <v>97.418279999999996</v>
      </c>
      <c r="G64" s="451">
        <v>27.310880000000001</v>
      </c>
      <c r="H64" s="451" t="s">
        <v>460</v>
      </c>
      <c r="I64" s="451" t="s">
        <v>214</v>
      </c>
      <c r="J64" s="452">
        <v>14</v>
      </c>
      <c r="K64" s="452">
        <v>64</v>
      </c>
      <c r="L64" s="452">
        <v>64</v>
      </c>
      <c r="M64" s="362" t="str">
        <f t="shared" si="37"/>
        <v>1. Small</v>
      </c>
      <c r="N64" s="701"/>
      <c r="O64" s="453"/>
      <c r="P64" s="461" t="s">
        <v>300</v>
      </c>
      <c r="Q64" s="382" t="str">
        <f t="shared" si="35"/>
        <v>Not covered</v>
      </c>
      <c r="R64" s="462" t="s">
        <v>629</v>
      </c>
      <c r="S64" s="453" t="s">
        <v>766</v>
      </c>
      <c r="T64" s="380" t="str">
        <f t="shared" si="36"/>
        <v>Documented</v>
      </c>
      <c r="U64" s="468">
        <v>0</v>
      </c>
      <c r="V64" s="452">
        <v>0</v>
      </c>
      <c r="W64" s="469" t="s">
        <v>19</v>
      </c>
      <c r="X64" s="468">
        <v>1</v>
      </c>
      <c r="Y64" s="474">
        <v>0</v>
      </c>
      <c r="Z64" s="475">
        <v>0</v>
      </c>
      <c r="AA64" s="481">
        <v>0</v>
      </c>
      <c r="AB64" s="482">
        <v>0</v>
      </c>
      <c r="AC64" s="385">
        <f t="shared" si="38"/>
        <v>1</v>
      </c>
      <c r="AD64" s="364">
        <f t="shared" si="39"/>
        <v>64</v>
      </c>
      <c r="AE64" s="365">
        <f t="shared" si="40"/>
        <v>1</v>
      </c>
      <c r="AF64" s="366">
        <f t="shared" si="41"/>
        <v>64</v>
      </c>
      <c r="AG64" s="363">
        <f t="shared" si="42"/>
        <v>1</v>
      </c>
      <c r="AH64" s="366">
        <f t="shared" si="43"/>
        <v>64</v>
      </c>
      <c r="AI64" s="367" t="str">
        <f t="shared" si="44"/>
        <v>80-100%</v>
      </c>
      <c r="AJ64" s="363">
        <f t="shared" si="45"/>
        <v>0</v>
      </c>
      <c r="AK64" s="368">
        <f t="shared" si="46"/>
        <v>0</v>
      </c>
      <c r="AL64" s="366">
        <f t="shared" si="47"/>
        <v>0</v>
      </c>
      <c r="AM64" s="366">
        <f t="shared" si="48"/>
        <v>0</v>
      </c>
      <c r="AN64" s="366">
        <f t="shared" si="49"/>
        <v>0</v>
      </c>
      <c r="AO64" s="485">
        <v>1</v>
      </c>
      <c r="AP64" s="486">
        <f t="shared" si="50"/>
        <v>64</v>
      </c>
      <c r="AQ64" s="475"/>
      <c r="AR64" s="732">
        <v>14</v>
      </c>
      <c r="AS64" s="452">
        <v>14</v>
      </c>
      <c r="AT64" s="452">
        <v>0</v>
      </c>
      <c r="AU64" s="452" t="s">
        <v>89</v>
      </c>
      <c r="AV64" s="369">
        <f t="shared" si="51"/>
        <v>1</v>
      </c>
      <c r="AW64" s="366">
        <f t="shared" si="52"/>
        <v>64</v>
      </c>
      <c r="AX64" s="369">
        <f t="shared" si="53"/>
        <v>1</v>
      </c>
      <c r="AY64" s="366">
        <f t="shared" si="54"/>
        <v>64</v>
      </c>
      <c r="AZ64" s="369">
        <f t="shared" si="55"/>
        <v>0</v>
      </c>
      <c r="BA64" s="366">
        <f t="shared" si="56"/>
        <v>0</v>
      </c>
      <c r="BB64" s="474">
        <v>0</v>
      </c>
      <c r="BC64" s="490">
        <v>1</v>
      </c>
      <c r="BD64" s="370">
        <f t="shared" si="57"/>
        <v>64</v>
      </c>
      <c r="BE64" s="371">
        <f t="shared" si="58"/>
        <v>3.2</v>
      </c>
      <c r="BF64" s="452">
        <v>0</v>
      </c>
      <c r="BG64" s="452" t="s">
        <v>89</v>
      </c>
      <c r="BH64" s="369">
        <f t="shared" si="59"/>
        <v>0</v>
      </c>
      <c r="BI64" s="366">
        <f t="shared" si="60"/>
        <v>0</v>
      </c>
      <c r="BJ64" s="371">
        <f t="shared" si="61"/>
        <v>0.64</v>
      </c>
      <c r="BK64" s="485">
        <v>0</v>
      </c>
      <c r="BL64" s="366">
        <f t="shared" si="62"/>
        <v>0</v>
      </c>
      <c r="BM64" s="474">
        <v>0</v>
      </c>
      <c r="BN64" s="369">
        <f t="shared" si="63"/>
        <v>0</v>
      </c>
      <c r="BO64" s="371">
        <f t="shared" si="64"/>
        <v>0.64</v>
      </c>
      <c r="BP64" s="478">
        <v>0</v>
      </c>
      <c r="BQ64" s="500"/>
      <c r="BR64" s="502"/>
      <c r="BS64" s="372" t="str">
        <f t="shared" si="28"/>
        <v>To be realised</v>
      </c>
      <c r="BT64" s="452">
        <v>0</v>
      </c>
      <c r="BU64" s="452">
        <v>0</v>
      </c>
      <c r="BV64" s="373">
        <f t="shared" si="65"/>
        <v>14</v>
      </c>
      <c r="BW64" s="374">
        <f t="shared" si="66"/>
        <v>0</v>
      </c>
      <c r="BX64" s="366">
        <f t="shared" si="67"/>
        <v>0</v>
      </c>
      <c r="BY64" s="387" t="str">
        <f t="shared" si="32"/>
        <v>Column BN to be completed</v>
      </c>
      <c r="BZ64" s="468"/>
      <c r="CA64" s="478">
        <v>0</v>
      </c>
      <c r="CB64" s="389">
        <f t="shared" si="68"/>
        <v>0</v>
      </c>
      <c r="CC64" s="468">
        <v>0</v>
      </c>
      <c r="CD64" s="375" t="str">
        <f t="shared" si="69"/>
        <v>No coverage</v>
      </c>
      <c r="CE64" s="474">
        <v>0</v>
      </c>
      <c r="CF64" s="469" t="s">
        <v>66</v>
      </c>
      <c r="CG64" s="509"/>
    </row>
    <row r="65" spans="2:85" s="40" customFormat="1" ht="30.75" customHeight="1" x14ac:dyDescent="0.2">
      <c r="B65" s="449" t="s">
        <v>220</v>
      </c>
      <c r="C65" s="450" t="s">
        <v>822</v>
      </c>
      <c r="D65" s="451" t="s">
        <v>314</v>
      </c>
      <c r="E65" s="450" t="s">
        <v>823</v>
      </c>
      <c r="F65" s="451"/>
      <c r="G65" s="451"/>
      <c r="H65" s="451" t="s">
        <v>449</v>
      </c>
      <c r="I65" s="451" t="s">
        <v>214</v>
      </c>
      <c r="J65" s="452">
        <v>27</v>
      </c>
      <c r="K65" s="452">
        <v>82</v>
      </c>
      <c r="L65" s="452">
        <v>82</v>
      </c>
      <c r="M65" s="362" t="str">
        <f t="shared" si="37"/>
        <v>1. Small</v>
      </c>
      <c r="N65" s="701" t="s">
        <v>833</v>
      </c>
      <c r="O65" s="453" t="s">
        <v>235</v>
      </c>
      <c r="P65" s="461" t="s">
        <v>235</v>
      </c>
      <c r="Q65" s="382" t="str">
        <f t="shared" si="35"/>
        <v>Covered</v>
      </c>
      <c r="R65" s="462">
        <v>42429</v>
      </c>
      <c r="S65" s="453" t="s">
        <v>253</v>
      </c>
      <c r="T65" s="380" t="str">
        <f t="shared" si="36"/>
        <v>Documented</v>
      </c>
      <c r="U65" s="468">
        <v>0</v>
      </c>
      <c r="V65" s="452">
        <v>0</v>
      </c>
      <c r="W65" s="469" t="s">
        <v>19</v>
      </c>
      <c r="X65" s="468">
        <v>1</v>
      </c>
      <c r="Y65" s="474">
        <v>0</v>
      </c>
      <c r="Z65" s="475">
        <v>0</v>
      </c>
      <c r="AA65" s="481">
        <v>0</v>
      </c>
      <c r="AB65" s="482">
        <v>0</v>
      </c>
      <c r="AC65" s="385">
        <f t="shared" si="38"/>
        <v>1</v>
      </c>
      <c r="AD65" s="364">
        <f t="shared" si="39"/>
        <v>82</v>
      </c>
      <c r="AE65" s="365">
        <f t="shared" si="40"/>
        <v>1</v>
      </c>
      <c r="AF65" s="366">
        <f t="shared" si="41"/>
        <v>82</v>
      </c>
      <c r="AG65" s="363">
        <f t="shared" si="42"/>
        <v>1</v>
      </c>
      <c r="AH65" s="366">
        <f t="shared" si="43"/>
        <v>82</v>
      </c>
      <c r="AI65" s="367" t="str">
        <f t="shared" si="44"/>
        <v>80-100%</v>
      </c>
      <c r="AJ65" s="363">
        <f t="shared" si="45"/>
        <v>0</v>
      </c>
      <c r="AK65" s="368">
        <f t="shared" si="46"/>
        <v>0</v>
      </c>
      <c r="AL65" s="366">
        <f t="shared" si="47"/>
        <v>0</v>
      </c>
      <c r="AM65" s="366">
        <f t="shared" si="48"/>
        <v>0</v>
      </c>
      <c r="AN65" s="366">
        <f t="shared" si="49"/>
        <v>0</v>
      </c>
      <c r="AO65" s="485">
        <v>1</v>
      </c>
      <c r="AP65" s="486">
        <f t="shared" si="50"/>
        <v>82</v>
      </c>
      <c r="AQ65" s="475"/>
      <c r="AR65" s="732">
        <v>6</v>
      </c>
      <c r="AS65" s="452">
        <v>6</v>
      </c>
      <c r="AT65" s="452">
        <v>0</v>
      </c>
      <c r="AU65" s="452" t="s">
        <v>89</v>
      </c>
      <c r="AV65" s="369">
        <f t="shared" si="51"/>
        <v>1</v>
      </c>
      <c r="AW65" s="366">
        <f t="shared" si="52"/>
        <v>82</v>
      </c>
      <c r="AX65" s="369">
        <f t="shared" si="53"/>
        <v>1</v>
      </c>
      <c r="AY65" s="366">
        <f t="shared" si="54"/>
        <v>82</v>
      </c>
      <c r="AZ65" s="369">
        <f t="shared" si="55"/>
        <v>0</v>
      </c>
      <c r="BA65" s="366">
        <f t="shared" si="56"/>
        <v>0</v>
      </c>
      <c r="BB65" s="474">
        <v>0</v>
      </c>
      <c r="BC65" s="490">
        <v>1</v>
      </c>
      <c r="BD65" s="370">
        <f t="shared" si="57"/>
        <v>82</v>
      </c>
      <c r="BE65" s="371">
        <f t="shared" si="58"/>
        <v>4.0999999999999996</v>
      </c>
      <c r="BF65" s="452">
        <v>0</v>
      </c>
      <c r="BG65" s="452" t="s">
        <v>291</v>
      </c>
      <c r="BH65" s="369">
        <f t="shared" si="59"/>
        <v>0</v>
      </c>
      <c r="BI65" s="366">
        <f t="shared" si="60"/>
        <v>0</v>
      </c>
      <c r="BJ65" s="371">
        <f t="shared" si="61"/>
        <v>0.82</v>
      </c>
      <c r="BK65" s="485">
        <v>0</v>
      </c>
      <c r="BL65" s="366">
        <f t="shared" si="62"/>
        <v>0</v>
      </c>
      <c r="BM65" s="474">
        <v>0</v>
      </c>
      <c r="BN65" s="369">
        <f t="shared" si="63"/>
        <v>0</v>
      </c>
      <c r="BO65" s="371">
        <f t="shared" si="64"/>
        <v>0.82</v>
      </c>
      <c r="BP65" s="478">
        <v>0</v>
      </c>
      <c r="BQ65" s="500"/>
      <c r="BR65" s="502">
        <v>42129</v>
      </c>
      <c r="BS65" s="372">
        <f t="shared" si="28"/>
        <v>42494</v>
      </c>
      <c r="BT65" s="452">
        <v>27</v>
      </c>
      <c r="BU65" s="452">
        <v>4</v>
      </c>
      <c r="BV65" s="373">
        <f t="shared" si="65"/>
        <v>0</v>
      </c>
      <c r="BW65" s="374">
        <f t="shared" si="66"/>
        <v>1</v>
      </c>
      <c r="BX65" s="366">
        <f t="shared" si="67"/>
        <v>82</v>
      </c>
      <c r="BY65" s="387">
        <f t="shared" si="32"/>
        <v>0</v>
      </c>
      <c r="BZ65" s="468"/>
      <c r="CA65" s="478">
        <v>0</v>
      </c>
      <c r="CB65" s="389">
        <f t="shared" si="68"/>
        <v>0</v>
      </c>
      <c r="CC65" s="468">
        <v>0</v>
      </c>
      <c r="CD65" s="375" t="str">
        <f t="shared" si="69"/>
        <v>No coverage</v>
      </c>
      <c r="CE65" s="474">
        <v>0</v>
      </c>
      <c r="CF65" s="469" t="s">
        <v>66</v>
      </c>
      <c r="CG65" s="509"/>
    </row>
    <row r="66" spans="2:85" s="40" customFormat="1" ht="30.75" customHeight="1" x14ac:dyDescent="0.2">
      <c r="B66" s="449" t="s">
        <v>155</v>
      </c>
      <c r="C66" s="450" t="s">
        <v>584</v>
      </c>
      <c r="D66" s="451" t="s">
        <v>261</v>
      </c>
      <c r="E66" s="450" t="s">
        <v>223</v>
      </c>
      <c r="F66" s="451">
        <v>97.915833000000006</v>
      </c>
      <c r="G66" s="451">
        <v>25.220278</v>
      </c>
      <c r="H66" s="451" t="s">
        <v>449</v>
      </c>
      <c r="I66" s="451" t="s">
        <v>222</v>
      </c>
      <c r="J66" s="452">
        <v>133</v>
      </c>
      <c r="K66" s="452">
        <v>645</v>
      </c>
      <c r="L66" s="452">
        <v>645</v>
      </c>
      <c r="M66" s="362" t="str">
        <f t="shared" ref="M66:M96" si="70">IF(J66&gt;50,IF(J66&gt;250,IF(J66&gt;500,IF(J66&gt;1000,"5. Massive","4. Big"),"3. Large"),"2. Medium"),"1. Small")</f>
        <v>2. Medium</v>
      </c>
      <c r="N66" s="701" t="s">
        <v>834</v>
      </c>
      <c r="O66" s="453" t="s">
        <v>277</v>
      </c>
      <c r="P66" s="461" t="s">
        <v>231</v>
      </c>
      <c r="Q66" s="382" t="str">
        <f t="shared" ref="Q66:Q128" si="71">IF(P66="None","Not covered","Covered")</f>
        <v>Covered</v>
      </c>
      <c r="R66" s="462">
        <v>42369</v>
      </c>
      <c r="S66" s="453" t="s">
        <v>253</v>
      </c>
      <c r="T66" s="380" t="str">
        <f t="shared" ref="T66:T128" si="72">IF(S66="Not documented","Not documented","Documented")</f>
        <v>Documented</v>
      </c>
      <c r="U66" s="468">
        <v>0</v>
      </c>
      <c r="V66" s="452">
        <v>0</v>
      </c>
      <c r="W66" s="469" t="s">
        <v>19</v>
      </c>
      <c r="X66" s="468">
        <v>0</v>
      </c>
      <c r="Y66" s="474">
        <v>0</v>
      </c>
      <c r="Z66" s="475">
        <v>15000</v>
      </c>
      <c r="AA66" s="481">
        <v>0</v>
      </c>
      <c r="AB66" s="482">
        <v>1</v>
      </c>
      <c r="AC66" s="385">
        <f t="shared" si="38"/>
        <v>1</v>
      </c>
      <c r="AD66" s="364">
        <f t="shared" si="39"/>
        <v>645</v>
      </c>
      <c r="AE66" s="365">
        <f t="shared" si="40"/>
        <v>1</v>
      </c>
      <c r="AF66" s="366">
        <f t="shared" si="41"/>
        <v>645</v>
      </c>
      <c r="AG66" s="363">
        <f t="shared" ref="AG66:AG96" si="73">IF(AB66=0,AC66,IF(AB66&lt;AC66,AC66,AB66))</f>
        <v>1</v>
      </c>
      <c r="AH66" s="366">
        <f t="shared" si="43"/>
        <v>645</v>
      </c>
      <c r="AI66" s="367" t="str">
        <f t="shared" ref="AI66:AI96" si="74">IF(AC66&gt;0.15,IF(AC66&gt;0.3,IF(AC66&gt;0.45,IF(AC66&gt;0.6,IF(AC66&gt;0.8,"80-100%","60-80%"),"45-60%"),"30-45%"),"15-30%"),"0-10%")</f>
        <v>80-100%</v>
      </c>
      <c r="AJ66" s="363">
        <f t="shared" ref="AJ66:AJ96" si="75">IF((AC66-AE66)&lt; 0, 0, AC66-AE66)</f>
        <v>0</v>
      </c>
      <c r="AK66" s="368">
        <f t="shared" si="46"/>
        <v>0</v>
      </c>
      <c r="AL66" s="366">
        <f t="shared" si="47"/>
        <v>1.6125</v>
      </c>
      <c r="AM66" s="366">
        <f t="shared" si="48"/>
        <v>133</v>
      </c>
      <c r="AN66" s="366">
        <f t="shared" si="49"/>
        <v>0</v>
      </c>
      <c r="AO66" s="485">
        <v>1</v>
      </c>
      <c r="AP66" s="486">
        <f t="shared" si="50"/>
        <v>645</v>
      </c>
      <c r="AQ66" s="475"/>
      <c r="AR66" s="732">
        <v>115</v>
      </c>
      <c r="AS66" s="452">
        <v>95</v>
      </c>
      <c r="AT66" s="452">
        <v>8</v>
      </c>
      <c r="AU66" s="452" t="s">
        <v>290</v>
      </c>
      <c r="AV66" s="369">
        <f t="shared" si="51"/>
        <v>1</v>
      </c>
      <c r="AW66" s="366">
        <f t="shared" si="52"/>
        <v>645</v>
      </c>
      <c r="AX66" s="369">
        <f t="shared" ref="AX66:AX96" si="76">AV66-AZ66</f>
        <v>0.75193798449612403</v>
      </c>
      <c r="AY66" s="366">
        <f t="shared" si="54"/>
        <v>485</v>
      </c>
      <c r="AZ66" s="369">
        <f t="shared" si="55"/>
        <v>0.24806201550387597</v>
      </c>
      <c r="BA66" s="366">
        <f t="shared" si="56"/>
        <v>160</v>
      </c>
      <c r="BB66" s="474">
        <v>0</v>
      </c>
      <c r="BC66" s="490">
        <v>1</v>
      </c>
      <c r="BD66" s="370">
        <f t="shared" si="57"/>
        <v>645</v>
      </c>
      <c r="BE66" s="371">
        <f t="shared" si="58"/>
        <v>24.25</v>
      </c>
      <c r="BF66" s="452">
        <v>1</v>
      </c>
      <c r="BG66" s="452" t="s">
        <v>291</v>
      </c>
      <c r="BH66" s="369">
        <f t="shared" si="59"/>
        <v>0.15503875968992248</v>
      </c>
      <c r="BI66" s="366">
        <f t="shared" si="60"/>
        <v>100</v>
      </c>
      <c r="BJ66" s="371">
        <f t="shared" si="61"/>
        <v>5.45</v>
      </c>
      <c r="BK66" s="490">
        <v>0.16</v>
      </c>
      <c r="BL66" s="366">
        <f t="shared" si="62"/>
        <v>103.2</v>
      </c>
      <c r="BM66" s="452">
        <v>4</v>
      </c>
      <c r="BN66" s="369">
        <f t="shared" si="63"/>
        <v>0.62015503875968991</v>
      </c>
      <c r="BO66" s="371">
        <f t="shared" si="64"/>
        <v>2.4500000000000002</v>
      </c>
      <c r="BP66" s="478">
        <v>0.62</v>
      </c>
      <c r="BQ66" s="500" t="s">
        <v>745</v>
      </c>
      <c r="BR66" s="502">
        <v>42122</v>
      </c>
      <c r="BS66" s="372">
        <f t="shared" ref="BS66:BS85" si="77">IF(BR66="","To be realised",IF(BR66="n/a","n/a",IF(BR66+365&lt;$E$2,"To be realised",BR66+365)))</f>
        <v>42487</v>
      </c>
      <c r="BT66" s="452">
        <v>133</v>
      </c>
      <c r="BU66" s="452">
        <v>3</v>
      </c>
      <c r="BV66" s="373">
        <f t="shared" si="65"/>
        <v>0</v>
      </c>
      <c r="BW66" s="374">
        <f t="shared" si="66"/>
        <v>1</v>
      </c>
      <c r="BX66" s="366">
        <f t="shared" si="67"/>
        <v>645</v>
      </c>
      <c r="BY66" s="387">
        <f t="shared" ref="BY66:BY85" si="78">IF(BR66="","Column BN to be completed", IF(BR66="n/a",0,IF(($E$2-BR66-30)/30-BU66&lt;0,0,ROUND((($E$2-BR66-30)/30-BU66),0))))</f>
        <v>0</v>
      </c>
      <c r="BZ66" s="468"/>
      <c r="CA66" s="478">
        <v>0</v>
      </c>
      <c r="CB66" s="389">
        <f t="shared" si="68"/>
        <v>0</v>
      </c>
      <c r="CC66" s="468">
        <v>0</v>
      </c>
      <c r="CD66" s="375" t="str">
        <f t="shared" si="69"/>
        <v>No coverage</v>
      </c>
      <c r="CE66" s="474">
        <v>0</v>
      </c>
      <c r="CF66" s="469" t="s">
        <v>293</v>
      </c>
      <c r="CG66" s="509"/>
    </row>
    <row r="67" spans="2:85" s="40" customFormat="1" ht="30.75" customHeight="1" x14ac:dyDescent="0.2">
      <c r="B67" s="449" t="s">
        <v>155</v>
      </c>
      <c r="C67" s="450" t="s">
        <v>585</v>
      </c>
      <c r="D67" s="451" t="s">
        <v>258</v>
      </c>
      <c r="E67" s="450" t="s">
        <v>156</v>
      </c>
      <c r="F67" s="451">
        <v>97.408302000000006</v>
      </c>
      <c r="G67" s="451">
        <v>25.324567999999999</v>
      </c>
      <c r="H67" s="451" t="s">
        <v>449</v>
      </c>
      <c r="I67" s="451" t="s">
        <v>214</v>
      </c>
      <c r="J67" s="452">
        <v>110</v>
      </c>
      <c r="K67" s="452">
        <v>506</v>
      </c>
      <c r="L67" s="452">
        <v>506</v>
      </c>
      <c r="M67" s="362" t="str">
        <f t="shared" si="70"/>
        <v>2. Medium</v>
      </c>
      <c r="N67" s="701" t="s">
        <v>832</v>
      </c>
      <c r="O67" s="453" t="s">
        <v>276</v>
      </c>
      <c r="P67" s="461" t="s">
        <v>276</v>
      </c>
      <c r="Q67" s="382" t="str">
        <f t="shared" si="71"/>
        <v>Covered</v>
      </c>
      <c r="R67" s="462">
        <v>42216</v>
      </c>
      <c r="S67" s="453" t="s">
        <v>253</v>
      </c>
      <c r="T67" s="380" t="str">
        <f t="shared" si="72"/>
        <v>Documented</v>
      </c>
      <c r="U67" s="468">
        <v>0</v>
      </c>
      <c r="V67" s="452">
        <v>0</v>
      </c>
      <c r="W67" s="469" t="s">
        <v>19</v>
      </c>
      <c r="X67" s="468">
        <v>3</v>
      </c>
      <c r="Y67" s="474">
        <v>1</v>
      </c>
      <c r="Z67" s="475">
        <v>3600</v>
      </c>
      <c r="AA67" s="481">
        <v>0</v>
      </c>
      <c r="AB67" s="482">
        <v>0</v>
      </c>
      <c r="AC67" s="385">
        <f t="shared" ref="AC67:AC98" si="79">IF((((U67/15)+((V67/30)/15)+X67*400+Y67*500+(Z67/15))/L67)&gt;1,1,(((U67/15)+((V67/30)/15)+X67*400+Y67*500+(Z67/15))/L67))</f>
        <v>1</v>
      </c>
      <c r="AD67" s="364">
        <f t="shared" ref="AD67:AD98" si="80">AC67*L67</f>
        <v>506</v>
      </c>
      <c r="AE67" s="365">
        <f t="shared" ref="AE67:AE98" si="81">IF(((X67*400+Y67*500+(Z67/15))/L67)&gt;1,1,(X67*400+Y67*500+(Z67/15))/L67)</f>
        <v>1</v>
      </c>
      <c r="AF67" s="366">
        <f t="shared" ref="AF67:AF98" si="82">AE67*L67</f>
        <v>506</v>
      </c>
      <c r="AG67" s="363">
        <f t="shared" si="73"/>
        <v>1</v>
      </c>
      <c r="AH67" s="366">
        <f t="shared" ref="AH67:AH98" si="83">AG67*L67</f>
        <v>506</v>
      </c>
      <c r="AI67" s="367" t="str">
        <f t="shared" si="74"/>
        <v>80-100%</v>
      </c>
      <c r="AJ67" s="363">
        <f t="shared" si="75"/>
        <v>0</v>
      </c>
      <c r="AK67" s="368">
        <f t="shared" ref="AK67:AK98" si="84">AJ67*L67</f>
        <v>0</v>
      </c>
      <c r="AL67" s="366">
        <f t="shared" ref="AL67:AL98" si="85">IF(L67/400-(X67+Y67)&lt;0,0,L67/400-(X67+Y67))</f>
        <v>0</v>
      </c>
      <c r="AM67" s="366">
        <f t="shared" ref="AM67:AM98" si="86">AB67*J67</f>
        <v>0</v>
      </c>
      <c r="AN67" s="366">
        <f t="shared" ref="AN67:AN98" si="87">AA67*L67</f>
        <v>0</v>
      </c>
      <c r="AO67" s="485">
        <v>1</v>
      </c>
      <c r="AP67" s="486">
        <f t="shared" ref="AP67:AP98" si="88">AO67*L67</f>
        <v>506</v>
      </c>
      <c r="AQ67" s="475"/>
      <c r="AR67" s="732">
        <v>2</v>
      </c>
      <c r="AS67" s="452">
        <v>2</v>
      </c>
      <c r="AT67" s="452">
        <v>26</v>
      </c>
      <c r="AU67" s="452" t="s">
        <v>290</v>
      </c>
      <c r="AV67" s="369">
        <f t="shared" ref="AV67:AV98" si="89">IF((((AS67+AT67)*20)/L67)&gt;1,1,(((AS67+AT67)*20)/L67))</f>
        <v>1</v>
      </c>
      <c r="AW67" s="366">
        <f t="shared" ref="AW67:AW98" si="90">AV67*L67</f>
        <v>506</v>
      </c>
      <c r="AX67" s="369">
        <f t="shared" si="76"/>
        <v>0</v>
      </c>
      <c r="AY67" s="366">
        <f t="shared" ref="AY67:AY98" si="91">AX67*L67</f>
        <v>0</v>
      </c>
      <c r="AZ67" s="369">
        <f t="shared" ref="AZ67:AZ98" si="92">IF(((AT67*20)/L67)&gt;1,1,((AT67*20)/L67))</f>
        <v>1</v>
      </c>
      <c r="BA67" s="366">
        <f t="shared" ref="BA67:BA98" si="93">AZ67*L67</f>
        <v>506</v>
      </c>
      <c r="BB67" s="474">
        <v>0</v>
      </c>
      <c r="BC67" s="490">
        <v>1</v>
      </c>
      <c r="BD67" s="370">
        <f t="shared" ref="BD67:BD98" si="94">BC67*L67</f>
        <v>506</v>
      </c>
      <c r="BE67" s="371">
        <f t="shared" ref="BE67:BE98" si="95">IF((L67/20-AT67+BB67)&lt;0,0,(L67/20-AT67+BB67))</f>
        <v>0</v>
      </c>
      <c r="BF67" s="452">
        <v>4</v>
      </c>
      <c r="BG67" s="452" t="s">
        <v>291</v>
      </c>
      <c r="BH67" s="369">
        <f t="shared" ref="BH67:BH98" si="96">IF((BF67*100/L67)&gt;1,1,(BF67*100/L67))</f>
        <v>0.79051383399209485</v>
      </c>
      <c r="BI67" s="366">
        <f t="shared" ref="BI67:BI98" si="97">BH67*L67</f>
        <v>400</v>
      </c>
      <c r="BJ67" s="371">
        <f t="shared" ref="BJ67:BJ98" si="98">IF(K67/100-BF67&lt;0,0,K67/100-BF67)</f>
        <v>1.0599999999999996</v>
      </c>
      <c r="BK67" s="490">
        <v>0.79</v>
      </c>
      <c r="BL67" s="366">
        <f t="shared" ref="BL67:BL98" si="99">BK67*L67</f>
        <v>399.74</v>
      </c>
      <c r="BM67" s="452">
        <v>15</v>
      </c>
      <c r="BN67" s="369">
        <f t="shared" ref="BN67:BN98" si="100">IF((BM67*100/L67)&gt;1,1,(BM67*100/L67))</f>
        <v>1</v>
      </c>
      <c r="BO67" s="371">
        <f t="shared" ref="BO67:BO98" si="101">IF(K67/100-BM67&lt;0,0,K67/100-BM67)</f>
        <v>0</v>
      </c>
      <c r="BP67" s="478">
        <v>1</v>
      </c>
      <c r="BQ67" s="500"/>
      <c r="BR67" s="502">
        <v>42048</v>
      </c>
      <c r="BS67" s="372">
        <f t="shared" si="77"/>
        <v>42413</v>
      </c>
      <c r="BT67" s="452">
        <v>110</v>
      </c>
      <c r="BU67" s="452">
        <v>5</v>
      </c>
      <c r="BV67" s="373">
        <f t="shared" ref="BV67:BV98" si="102">IF(BS67="n/a",0,IF(BS67="To be realised",J67,IF((J67-BT67)&lt;0,0,(J67-BT67))))</f>
        <v>0</v>
      </c>
      <c r="BW67" s="374">
        <f t="shared" ref="BW67:BW98" si="103">IF(BV67=0,1,(J67-BV67)/J67)</f>
        <v>1</v>
      </c>
      <c r="BX67" s="366">
        <f t="shared" ref="BX67:BX98" si="104">BW67*L67</f>
        <v>506</v>
      </c>
      <c r="BY67" s="387">
        <f t="shared" si="78"/>
        <v>0</v>
      </c>
      <c r="BZ67" s="468"/>
      <c r="CA67" s="478">
        <v>1</v>
      </c>
      <c r="CB67" s="389">
        <f t="shared" ref="CB67:CB98" si="105">CA67*L67</f>
        <v>506</v>
      </c>
      <c r="CC67" s="468">
        <v>2</v>
      </c>
      <c r="CD67" s="375" t="str">
        <f t="shared" ref="CD67:CD98" si="106">IF(CC67=0,"No coverage",IF(L67/CC67&gt;1000,"Low coverage",IF(L67/CC67&gt;750,"Average coverage",IF(L67/CC67&gt;500,"Good coverage","Excellent coverage"))))</f>
        <v>Excellent coverage</v>
      </c>
      <c r="CE67" s="474">
        <v>0</v>
      </c>
      <c r="CF67" s="469" t="s">
        <v>65</v>
      </c>
      <c r="CG67" s="509"/>
    </row>
    <row r="68" spans="2:85" s="40" customFormat="1" ht="30.75" customHeight="1" x14ac:dyDescent="0.2">
      <c r="B68" s="449" t="s">
        <v>155</v>
      </c>
      <c r="C68" s="450" t="s">
        <v>586</v>
      </c>
      <c r="D68" s="451" t="s">
        <v>261</v>
      </c>
      <c r="E68" s="450" t="s">
        <v>157</v>
      </c>
      <c r="F68" s="451">
        <v>97.807182999999995</v>
      </c>
      <c r="G68" s="451">
        <v>25.200333000000001</v>
      </c>
      <c r="H68" s="451" t="s">
        <v>449</v>
      </c>
      <c r="I68" s="451" t="s">
        <v>222</v>
      </c>
      <c r="J68" s="452">
        <v>170</v>
      </c>
      <c r="K68" s="452">
        <v>1156</v>
      </c>
      <c r="L68" s="452">
        <v>1156</v>
      </c>
      <c r="M68" s="362" t="str">
        <f t="shared" si="70"/>
        <v>2. Medium</v>
      </c>
      <c r="N68" s="701" t="s">
        <v>833</v>
      </c>
      <c r="O68" s="453" t="s">
        <v>235</v>
      </c>
      <c r="P68" s="461" t="s">
        <v>235</v>
      </c>
      <c r="Q68" s="382" t="str">
        <f t="shared" si="71"/>
        <v>Covered</v>
      </c>
      <c r="R68" s="462">
        <v>42429</v>
      </c>
      <c r="S68" s="453" t="s">
        <v>253</v>
      </c>
      <c r="T68" s="380" t="str">
        <f t="shared" si="72"/>
        <v>Documented</v>
      </c>
      <c r="U68" s="468">
        <v>0</v>
      </c>
      <c r="V68" s="452">
        <v>0</v>
      </c>
      <c r="W68" s="469" t="s">
        <v>19</v>
      </c>
      <c r="X68" s="468">
        <v>0</v>
      </c>
      <c r="Y68" s="474">
        <v>0</v>
      </c>
      <c r="Z68" s="475">
        <v>30000</v>
      </c>
      <c r="AA68" s="481">
        <v>0</v>
      </c>
      <c r="AB68" s="482">
        <v>0</v>
      </c>
      <c r="AC68" s="385">
        <f t="shared" si="79"/>
        <v>1</v>
      </c>
      <c r="AD68" s="364">
        <f t="shared" si="80"/>
        <v>1156</v>
      </c>
      <c r="AE68" s="365">
        <f t="shared" si="81"/>
        <v>1</v>
      </c>
      <c r="AF68" s="366">
        <f t="shared" si="82"/>
        <v>1156</v>
      </c>
      <c r="AG68" s="363">
        <f t="shared" si="73"/>
        <v>1</v>
      </c>
      <c r="AH68" s="366">
        <f t="shared" si="83"/>
        <v>1156</v>
      </c>
      <c r="AI68" s="367" t="str">
        <f t="shared" si="74"/>
        <v>80-100%</v>
      </c>
      <c r="AJ68" s="363">
        <f t="shared" si="75"/>
        <v>0</v>
      </c>
      <c r="AK68" s="368">
        <f t="shared" si="84"/>
        <v>0</v>
      </c>
      <c r="AL68" s="366">
        <f t="shared" si="85"/>
        <v>2.89</v>
      </c>
      <c r="AM68" s="366">
        <f t="shared" si="86"/>
        <v>0</v>
      </c>
      <c r="AN68" s="366">
        <f t="shared" si="87"/>
        <v>0</v>
      </c>
      <c r="AO68" s="485">
        <v>1</v>
      </c>
      <c r="AP68" s="486">
        <f t="shared" si="88"/>
        <v>1156</v>
      </c>
      <c r="AQ68" s="475"/>
      <c r="AR68" s="732">
        <v>70</v>
      </c>
      <c r="AS68" s="452">
        <v>70</v>
      </c>
      <c r="AT68" s="452">
        <v>0</v>
      </c>
      <c r="AU68" s="452" t="s">
        <v>290</v>
      </c>
      <c r="AV68" s="369">
        <f t="shared" si="89"/>
        <v>1</v>
      </c>
      <c r="AW68" s="366">
        <f t="shared" si="90"/>
        <v>1156</v>
      </c>
      <c r="AX68" s="369">
        <f t="shared" si="76"/>
        <v>1</v>
      </c>
      <c r="AY68" s="366">
        <f t="shared" si="91"/>
        <v>1156</v>
      </c>
      <c r="AZ68" s="369">
        <f t="shared" si="92"/>
        <v>0</v>
      </c>
      <c r="BA68" s="366">
        <f t="shared" si="93"/>
        <v>0</v>
      </c>
      <c r="BB68" s="474">
        <v>0</v>
      </c>
      <c r="BC68" s="490">
        <v>1</v>
      </c>
      <c r="BD68" s="370">
        <f t="shared" si="94"/>
        <v>1156</v>
      </c>
      <c r="BE68" s="371">
        <f t="shared" si="95"/>
        <v>57.8</v>
      </c>
      <c r="BF68" s="452">
        <v>3</v>
      </c>
      <c r="BG68" s="452" t="s">
        <v>291</v>
      </c>
      <c r="BH68" s="369">
        <f t="shared" si="96"/>
        <v>0.25951557093425603</v>
      </c>
      <c r="BI68" s="366">
        <f t="shared" si="97"/>
        <v>300</v>
      </c>
      <c r="BJ68" s="371">
        <f t="shared" si="98"/>
        <v>8.56</v>
      </c>
      <c r="BK68" s="490">
        <v>0.26</v>
      </c>
      <c r="BL68" s="366">
        <f t="shared" si="99"/>
        <v>300.56</v>
      </c>
      <c r="BM68" s="452">
        <v>24</v>
      </c>
      <c r="BN68" s="369">
        <f t="shared" si="100"/>
        <v>1</v>
      </c>
      <c r="BO68" s="371">
        <f t="shared" si="101"/>
        <v>0</v>
      </c>
      <c r="BP68" s="478">
        <v>1</v>
      </c>
      <c r="BQ68" s="500" t="s">
        <v>770</v>
      </c>
      <c r="BR68" s="502">
        <v>42053</v>
      </c>
      <c r="BS68" s="372">
        <f t="shared" si="77"/>
        <v>42418</v>
      </c>
      <c r="BT68" s="452">
        <v>170</v>
      </c>
      <c r="BU68" s="452">
        <v>4</v>
      </c>
      <c r="BV68" s="373">
        <f t="shared" si="102"/>
        <v>0</v>
      </c>
      <c r="BW68" s="374">
        <f t="shared" si="103"/>
        <v>1</v>
      </c>
      <c r="BX68" s="366">
        <f t="shared" si="104"/>
        <v>1156</v>
      </c>
      <c r="BY68" s="387">
        <f t="shared" si="78"/>
        <v>0</v>
      </c>
      <c r="BZ68" s="468"/>
      <c r="CA68" s="478">
        <v>0.8</v>
      </c>
      <c r="CB68" s="389">
        <f t="shared" si="105"/>
        <v>924.80000000000007</v>
      </c>
      <c r="CC68" s="468">
        <v>3</v>
      </c>
      <c r="CD68" s="375" t="str">
        <f t="shared" si="106"/>
        <v>Excellent coverage</v>
      </c>
      <c r="CE68" s="474">
        <v>0</v>
      </c>
      <c r="CF68" s="469" t="s">
        <v>293</v>
      </c>
      <c r="CG68" s="509"/>
    </row>
    <row r="69" spans="2:85" s="40" customFormat="1" ht="30.75" customHeight="1" x14ac:dyDescent="0.2">
      <c r="B69" s="449" t="s">
        <v>155</v>
      </c>
      <c r="C69" s="450" t="s">
        <v>588</v>
      </c>
      <c r="D69" s="451" t="s">
        <v>258</v>
      </c>
      <c r="E69" s="450" t="s">
        <v>158</v>
      </c>
      <c r="F69" s="451">
        <v>97.451965000000001</v>
      </c>
      <c r="G69" s="451">
        <v>25.356632000000001</v>
      </c>
      <c r="H69" s="451" t="s">
        <v>449</v>
      </c>
      <c r="I69" s="451" t="s">
        <v>214</v>
      </c>
      <c r="J69" s="452">
        <v>21</v>
      </c>
      <c r="K69" s="452">
        <v>109</v>
      </c>
      <c r="L69" s="452">
        <v>109</v>
      </c>
      <c r="M69" s="362" t="str">
        <f t="shared" si="70"/>
        <v>1. Small</v>
      </c>
      <c r="N69" s="701" t="s">
        <v>833</v>
      </c>
      <c r="O69" s="453" t="s">
        <v>276</v>
      </c>
      <c r="P69" s="461" t="s">
        <v>235</v>
      </c>
      <c r="Q69" s="382" t="str">
        <f t="shared" si="71"/>
        <v>Covered</v>
      </c>
      <c r="R69" s="462">
        <v>42429</v>
      </c>
      <c r="S69" s="453" t="s">
        <v>253</v>
      </c>
      <c r="T69" s="380" t="str">
        <f t="shared" si="72"/>
        <v>Documented</v>
      </c>
      <c r="U69" s="468">
        <v>0</v>
      </c>
      <c r="V69" s="452">
        <v>0</v>
      </c>
      <c r="W69" s="469" t="s">
        <v>19</v>
      </c>
      <c r="X69" s="468">
        <v>1</v>
      </c>
      <c r="Y69" s="474">
        <v>0</v>
      </c>
      <c r="Z69" s="475">
        <v>2000</v>
      </c>
      <c r="AA69" s="481">
        <v>0</v>
      </c>
      <c r="AB69" s="482">
        <v>1</v>
      </c>
      <c r="AC69" s="385">
        <f t="shared" si="79"/>
        <v>1</v>
      </c>
      <c r="AD69" s="364">
        <f t="shared" si="80"/>
        <v>109</v>
      </c>
      <c r="AE69" s="365">
        <f t="shared" si="81"/>
        <v>1</v>
      </c>
      <c r="AF69" s="366">
        <f t="shared" si="82"/>
        <v>109</v>
      </c>
      <c r="AG69" s="363">
        <f t="shared" si="73"/>
        <v>1</v>
      </c>
      <c r="AH69" s="366">
        <f t="shared" si="83"/>
        <v>109</v>
      </c>
      <c r="AI69" s="367" t="str">
        <f t="shared" si="74"/>
        <v>80-100%</v>
      </c>
      <c r="AJ69" s="363">
        <f t="shared" si="75"/>
        <v>0</v>
      </c>
      <c r="AK69" s="368">
        <f t="shared" si="84"/>
        <v>0</v>
      </c>
      <c r="AL69" s="366">
        <f t="shared" si="85"/>
        <v>0</v>
      </c>
      <c r="AM69" s="366">
        <f t="shared" si="86"/>
        <v>21</v>
      </c>
      <c r="AN69" s="366">
        <f t="shared" si="87"/>
        <v>0</v>
      </c>
      <c r="AO69" s="485">
        <v>1</v>
      </c>
      <c r="AP69" s="486">
        <f t="shared" si="88"/>
        <v>109</v>
      </c>
      <c r="AQ69" s="475"/>
      <c r="AR69" s="732">
        <v>0</v>
      </c>
      <c r="AS69" s="452">
        <v>0</v>
      </c>
      <c r="AT69" s="452">
        <v>6</v>
      </c>
      <c r="AU69" s="452" t="s">
        <v>290</v>
      </c>
      <c r="AV69" s="369">
        <f t="shared" si="89"/>
        <v>1</v>
      </c>
      <c r="AW69" s="366">
        <f t="shared" si="90"/>
        <v>109</v>
      </c>
      <c r="AX69" s="369">
        <f t="shared" si="76"/>
        <v>0</v>
      </c>
      <c r="AY69" s="366">
        <f t="shared" si="91"/>
        <v>0</v>
      </c>
      <c r="AZ69" s="369">
        <f t="shared" si="92"/>
        <v>1</v>
      </c>
      <c r="BA69" s="366">
        <f t="shared" si="93"/>
        <v>109</v>
      </c>
      <c r="BB69" s="474">
        <v>0</v>
      </c>
      <c r="BC69" s="490">
        <v>1</v>
      </c>
      <c r="BD69" s="370">
        <f t="shared" si="94"/>
        <v>109</v>
      </c>
      <c r="BE69" s="371">
        <f t="shared" si="95"/>
        <v>0</v>
      </c>
      <c r="BF69" s="452">
        <v>1</v>
      </c>
      <c r="BG69" s="452" t="s">
        <v>89</v>
      </c>
      <c r="BH69" s="369">
        <f t="shared" si="96"/>
        <v>0.91743119266055051</v>
      </c>
      <c r="BI69" s="366">
        <f t="shared" si="97"/>
        <v>100</v>
      </c>
      <c r="BJ69" s="371">
        <f t="shared" si="98"/>
        <v>9.000000000000008E-2</v>
      </c>
      <c r="BK69" s="490">
        <v>0.92</v>
      </c>
      <c r="BL69" s="366">
        <f t="shared" si="99"/>
        <v>100.28</v>
      </c>
      <c r="BM69" s="452">
        <v>3</v>
      </c>
      <c r="BN69" s="369">
        <f t="shared" si="100"/>
        <v>1</v>
      </c>
      <c r="BO69" s="371">
        <f t="shared" si="101"/>
        <v>0</v>
      </c>
      <c r="BP69" s="478">
        <v>1</v>
      </c>
      <c r="BQ69" s="500"/>
      <c r="BR69" s="502">
        <v>42053</v>
      </c>
      <c r="BS69" s="372">
        <f t="shared" si="77"/>
        <v>42418</v>
      </c>
      <c r="BT69" s="452">
        <v>21</v>
      </c>
      <c r="BU69" s="452">
        <v>4</v>
      </c>
      <c r="BV69" s="373">
        <f t="shared" si="102"/>
        <v>0</v>
      </c>
      <c r="BW69" s="374">
        <f t="shared" si="103"/>
        <v>1</v>
      </c>
      <c r="BX69" s="366">
        <f t="shared" si="104"/>
        <v>109</v>
      </c>
      <c r="BY69" s="387">
        <f t="shared" si="78"/>
        <v>0</v>
      </c>
      <c r="BZ69" s="468"/>
      <c r="CA69" s="478">
        <v>1</v>
      </c>
      <c r="CB69" s="389">
        <f t="shared" si="105"/>
        <v>109</v>
      </c>
      <c r="CC69" s="468">
        <v>1</v>
      </c>
      <c r="CD69" s="375" t="str">
        <f t="shared" si="106"/>
        <v>Excellent coverage</v>
      </c>
      <c r="CE69" s="474">
        <v>1</v>
      </c>
      <c r="CF69" s="469" t="s">
        <v>293</v>
      </c>
      <c r="CG69" s="509" t="s">
        <v>733</v>
      </c>
    </row>
    <row r="70" spans="2:85" s="40" customFormat="1" ht="30.75" customHeight="1" x14ac:dyDescent="0.2">
      <c r="B70" s="449" t="s">
        <v>155</v>
      </c>
      <c r="C70" s="450" t="s">
        <v>589</v>
      </c>
      <c r="D70" s="451" t="s">
        <v>261</v>
      </c>
      <c r="E70" s="450" t="s">
        <v>159</v>
      </c>
      <c r="F70" s="451">
        <v>97.715230000000005</v>
      </c>
      <c r="G70" s="451">
        <v>24.980250000000002</v>
      </c>
      <c r="H70" s="451" t="s">
        <v>449</v>
      </c>
      <c r="I70" s="451" t="s">
        <v>222</v>
      </c>
      <c r="J70" s="452">
        <v>645</v>
      </c>
      <c r="K70" s="452">
        <v>2810</v>
      </c>
      <c r="L70" s="452">
        <v>2810</v>
      </c>
      <c r="M70" s="362" t="str">
        <f t="shared" si="70"/>
        <v>4. Big</v>
      </c>
      <c r="N70" s="701" t="s">
        <v>833</v>
      </c>
      <c r="O70" s="453" t="s">
        <v>277</v>
      </c>
      <c r="P70" s="461" t="s">
        <v>235</v>
      </c>
      <c r="Q70" s="382" t="str">
        <f t="shared" si="71"/>
        <v>Covered</v>
      </c>
      <c r="R70" s="462">
        <v>42429</v>
      </c>
      <c r="S70" s="453" t="s">
        <v>253</v>
      </c>
      <c r="T70" s="380" t="str">
        <f t="shared" si="72"/>
        <v>Documented</v>
      </c>
      <c r="U70" s="468">
        <v>0</v>
      </c>
      <c r="V70" s="452">
        <v>0</v>
      </c>
      <c r="W70" s="469" t="s">
        <v>19</v>
      </c>
      <c r="X70" s="468">
        <v>0</v>
      </c>
      <c r="Y70" s="474">
        <v>0</v>
      </c>
      <c r="Z70" s="475">
        <v>45000</v>
      </c>
      <c r="AA70" s="481">
        <v>0</v>
      </c>
      <c r="AB70" s="482">
        <v>0</v>
      </c>
      <c r="AC70" s="385">
        <f t="shared" si="79"/>
        <v>1</v>
      </c>
      <c r="AD70" s="364">
        <f t="shared" si="80"/>
        <v>2810</v>
      </c>
      <c r="AE70" s="365">
        <f t="shared" si="81"/>
        <v>1</v>
      </c>
      <c r="AF70" s="366">
        <f t="shared" si="82"/>
        <v>2810</v>
      </c>
      <c r="AG70" s="363">
        <f t="shared" si="73"/>
        <v>1</v>
      </c>
      <c r="AH70" s="366">
        <f t="shared" si="83"/>
        <v>2810</v>
      </c>
      <c r="AI70" s="367" t="str">
        <f t="shared" si="74"/>
        <v>80-100%</v>
      </c>
      <c r="AJ70" s="363">
        <f t="shared" si="75"/>
        <v>0</v>
      </c>
      <c r="AK70" s="368">
        <f t="shared" si="84"/>
        <v>0</v>
      </c>
      <c r="AL70" s="366">
        <f t="shared" si="85"/>
        <v>7.0250000000000004</v>
      </c>
      <c r="AM70" s="366">
        <f t="shared" si="86"/>
        <v>0</v>
      </c>
      <c r="AN70" s="366">
        <f t="shared" si="87"/>
        <v>0</v>
      </c>
      <c r="AO70" s="485">
        <v>1</v>
      </c>
      <c r="AP70" s="486">
        <f t="shared" si="88"/>
        <v>2810</v>
      </c>
      <c r="AQ70" s="475"/>
      <c r="AR70" s="732">
        <v>190</v>
      </c>
      <c r="AS70" s="452">
        <v>229</v>
      </c>
      <c r="AT70" s="452">
        <v>0</v>
      </c>
      <c r="AU70" s="452" t="s">
        <v>290</v>
      </c>
      <c r="AV70" s="369">
        <f t="shared" si="89"/>
        <v>1</v>
      </c>
      <c r="AW70" s="366">
        <f t="shared" si="90"/>
        <v>2810</v>
      </c>
      <c r="AX70" s="369">
        <f t="shared" si="76"/>
        <v>1</v>
      </c>
      <c r="AY70" s="366">
        <f t="shared" si="91"/>
        <v>2810</v>
      </c>
      <c r="AZ70" s="369">
        <f t="shared" si="92"/>
        <v>0</v>
      </c>
      <c r="BA70" s="366">
        <f t="shared" si="93"/>
        <v>0</v>
      </c>
      <c r="BB70" s="474">
        <v>0</v>
      </c>
      <c r="BC70" s="490">
        <v>1</v>
      </c>
      <c r="BD70" s="370">
        <f t="shared" si="94"/>
        <v>2810</v>
      </c>
      <c r="BE70" s="371">
        <f t="shared" si="95"/>
        <v>140.5</v>
      </c>
      <c r="BF70" s="452">
        <v>26</v>
      </c>
      <c r="BG70" s="452" t="s">
        <v>291</v>
      </c>
      <c r="BH70" s="369">
        <f t="shared" si="96"/>
        <v>0.92526690391459077</v>
      </c>
      <c r="BI70" s="366">
        <f t="shared" si="97"/>
        <v>2600</v>
      </c>
      <c r="BJ70" s="371">
        <f t="shared" si="98"/>
        <v>2.1000000000000014</v>
      </c>
      <c r="BK70" s="490">
        <v>0.93</v>
      </c>
      <c r="BL70" s="366">
        <f t="shared" si="99"/>
        <v>2613.3000000000002</v>
      </c>
      <c r="BM70" s="452">
        <v>51</v>
      </c>
      <c r="BN70" s="369">
        <f t="shared" si="100"/>
        <v>1</v>
      </c>
      <c r="BO70" s="371">
        <f t="shared" si="101"/>
        <v>0</v>
      </c>
      <c r="BP70" s="478">
        <v>1</v>
      </c>
      <c r="BQ70" s="500" t="s">
        <v>770</v>
      </c>
      <c r="BR70" s="502">
        <v>42053</v>
      </c>
      <c r="BS70" s="372">
        <f t="shared" si="77"/>
        <v>42418</v>
      </c>
      <c r="BT70" s="452">
        <v>645</v>
      </c>
      <c r="BU70" s="452">
        <v>4</v>
      </c>
      <c r="BV70" s="373">
        <f t="shared" si="102"/>
        <v>0</v>
      </c>
      <c r="BW70" s="374">
        <f t="shared" si="103"/>
        <v>1</v>
      </c>
      <c r="BX70" s="366">
        <f t="shared" si="104"/>
        <v>2810</v>
      </c>
      <c r="BY70" s="387">
        <f t="shared" si="78"/>
        <v>0</v>
      </c>
      <c r="BZ70" s="468"/>
      <c r="CA70" s="478">
        <v>1</v>
      </c>
      <c r="CB70" s="389">
        <f t="shared" si="105"/>
        <v>2810</v>
      </c>
      <c r="CC70" s="468">
        <v>5</v>
      </c>
      <c r="CD70" s="375" t="str">
        <f t="shared" si="106"/>
        <v>Good coverage</v>
      </c>
      <c r="CE70" s="474">
        <v>0</v>
      </c>
      <c r="CF70" s="469" t="s">
        <v>293</v>
      </c>
      <c r="CG70" s="509"/>
    </row>
    <row r="71" spans="2:85" s="40" customFormat="1" ht="30.75" customHeight="1" x14ac:dyDescent="0.2">
      <c r="B71" s="449" t="s">
        <v>155</v>
      </c>
      <c r="C71" s="450" t="s">
        <v>590</v>
      </c>
      <c r="D71" s="451" t="s">
        <v>258</v>
      </c>
      <c r="E71" s="450" t="s">
        <v>160</v>
      </c>
      <c r="F71" s="451">
        <v>97.435233999999994</v>
      </c>
      <c r="G71" s="451">
        <v>25.425276</v>
      </c>
      <c r="H71" s="451" t="s">
        <v>449</v>
      </c>
      <c r="I71" s="451" t="s">
        <v>214</v>
      </c>
      <c r="J71" s="452">
        <v>128</v>
      </c>
      <c r="K71" s="452">
        <v>725</v>
      </c>
      <c r="L71" s="452">
        <v>492</v>
      </c>
      <c r="M71" s="362" t="str">
        <f t="shared" si="70"/>
        <v>2. Medium</v>
      </c>
      <c r="N71" s="701" t="s">
        <v>832</v>
      </c>
      <c r="O71" s="453" t="s">
        <v>276</v>
      </c>
      <c r="P71" s="461" t="s">
        <v>276</v>
      </c>
      <c r="Q71" s="382" t="str">
        <f t="shared" si="71"/>
        <v>Covered</v>
      </c>
      <c r="R71" s="462">
        <v>42216</v>
      </c>
      <c r="S71" s="453" t="s">
        <v>253</v>
      </c>
      <c r="T71" s="380" t="str">
        <f t="shared" si="72"/>
        <v>Documented</v>
      </c>
      <c r="U71" s="468">
        <v>0</v>
      </c>
      <c r="V71" s="452">
        <v>0</v>
      </c>
      <c r="W71" s="469" t="s">
        <v>19</v>
      </c>
      <c r="X71" s="468">
        <v>4</v>
      </c>
      <c r="Y71" s="474">
        <v>0</v>
      </c>
      <c r="Z71" s="475">
        <v>2500</v>
      </c>
      <c r="AA71" s="481">
        <v>0</v>
      </c>
      <c r="AB71" s="482">
        <v>0</v>
      </c>
      <c r="AC71" s="385">
        <f t="shared" si="79"/>
        <v>1</v>
      </c>
      <c r="AD71" s="364">
        <f t="shared" si="80"/>
        <v>492</v>
      </c>
      <c r="AE71" s="365">
        <f t="shared" si="81"/>
        <v>1</v>
      </c>
      <c r="AF71" s="366">
        <f t="shared" si="82"/>
        <v>492</v>
      </c>
      <c r="AG71" s="363">
        <f t="shared" si="73"/>
        <v>1</v>
      </c>
      <c r="AH71" s="366">
        <f t="shared" si="83"/>
        <v>492</v>
      </c>
      <c r="AI71" s="367" t="str">
        <f t="shared" si="74"/>
        <v>80-100%</v>
      </c>
      <c r="AJ71" s="363">
        <f t="shared" si="75"/>
        <v>0</v>
      </c>
      <c r="AK71" s="368">
        <f t="shared" si="84"/>
        <v>0</v>
      </c>
      <c r="AL71" s="366">
        <f t="shared" si="85"/>
        <v>0</v>
      </c>
      <c r="AM71" s="366">
        <f t="shared" si="86"/>
        <v>0</v>
      </c>
      <c r="AN71" s="366">
        <f t="shared" si="87"/>
        <v>0</v>
      </c>
      <c r="AO71" s="485">
        <v>1</v>
      </c>
      <c r="AP71" s="486">
        <f t="shared" si="88"/>
        <v>492</v>
      </c>
      <c r="AQ71" s="475"/>
      <c r="AR71" s="732">
        <v>4</v>
      </c>
      <c r="AS71" s="452">
        <v>4</v>
      </c>
      <c r="AT71" s="452">
        <v>20</v>
      </c>
      <c r="AU71" s="452" t="s">
        <v>290</v>
      </c>
      <c r="AV71" s="369">
        <f t="shared" si="89"/>
        <v>0.97560975609756095</v>
      </c>
      <c r="AW71" s="366">
        <f t="shared" si="90"/>
        <v>480</v>
      </c>
      <c r="AX71" s="369">
        <f t="shared" si="76"/>
        <v>0.16260162601626016</v>
      </c>
      <c r="AY71" s="366">
        <f t="shared" si="91"/>
        <v>80</v>
      </c>
      <c r="AZ71" s="369">
        <f t="shared" si="92"/>
        <v>0.81300813008130079</v>
      </c>
      <c r="BA71" s="366">
        <f t="shared" si="93"/>
        <v>400</v>
      </c>
      <c r="BB71" s="474">
        <v>0</v>
      </c>
      <c r="BC71" s="490">
        <v>0.98</v>
      </c>
      <c r="BD71" s="370">
        <f t="shared" si="94"/>
        <v>482.15999999999997</v>
      </c>
      <c r="BE71" s="371">
        <f t="shared" si="95"/>
        <v>4.6000000000000014</v>
      </c>
      <c r="BF71" s="452">
        <v>6</v>
      </c>
      <c r="BG71" s="452" t="s">
        <v>291</v>
      </c>
      <c r="BH71" s="369">
        <f t="shared" si="96"/>
        <v>1</v>
      </c>
      <c r="BI71" s="366">
        <f t="shared" si="97"/>
        <v>492</v>
      </c>
      <c r="BJ71" s="371">
        <f t="shared" si="98"/>
        <v>1.25</v>
      </c>
      <c r="BK71" s="490">
        <v>1</v>
      </c>
      <c r="BL71" s="366">
        <f t="shared" si="99"/>
        <v>492</v>
      </c>
      <c r="BM71" s="452">
        <v>15</v>
      </c>
      <c r="BN71" s="369">
        <f t="shared" si="100"/>
        <v>1</v>
      </c>
      <c r="BO71" s="371">
        <f t="shared" si="101"/>
        <v>0</v>
      </c>
      <c r="BP71" s="478">
        <v>1</v>
      </c>
      <c r="BQ71" s="500"/>
      <c r="BR71" s="502">
        <v>42048</v>
      </c>
      <c r="BS71" s="372">
        <f t="shared" si="77"/>
        <v>42413</v>
      </c>
      <c r="BT71" s="452">
        <v>128</v>
      </c>
      <c r="BU71" s="452">
        <v>5</v>
      </c>
      <c r="BV71" s="373">
        <f t="shared" si="102"/>
        <v>0</v>
      </c>
      <c r="BW71" s="374">
        <f t="shared" si="103"/>
        <v>1</v>
      </c>
      <c r="BX71" s="366">
        <f t="shared" si="104"/>
        <v>492</v>
      </c>
      <c r="BY71" s="387">
        <f t="shared" si="78"/>
        <v>0</v>
      </c>
      <c r="BZ71" s="468"/>
      <c r="CA71" s="478">
        <v>1</v>
      </c>
      <c r="CB71" s="389">
        <f t="shared" si="105"/>
        <v>492</v>
      </c>
      <c r="CC71" s="468">
        <v>2</v>
      </c>
      <c r="CD71" s="375" t="str">
        <f t="shared" si="106"/>
        <v>Excellent coverage</v>
      </c>
      <c r="CE71" s="474">
        <v>0</v>
      </c>
      <c r="CF71" s="469" t="s">
        <v>65</v>
      </c>
      <c r="CG71" s="509"/>
    </row>
    <row r="72" spans="2:85" s="40" customFormat="1" ht="30.75" customHeight="1" x14ac:dyDescent="0.2">
      <c r="B72" s="449" t="s">
        <v>155</v>
      </c>
      <c r="C72" s="450" t="s">
        <v>591</v>
      </c>
      <c r="D72" s="451" t="s">
        <v>258</v>
      </c>
      <c r="E72" s="450" t="s">
        <v>161</v>
      </c>
      <c r="F72" s="451">
        <v>97.438450000000003</v>
      </c>
      <c r="G72" s="451">
        <v>25.415900000000001</v>
      </c>
      <c r="H72" s="451" t="s">
        <v>449</v>
      </c>
      <c r="I72" s="451" t="s">
        <v>214</v>
      </c>
      <c r="J72" s="452">
        <v>238</v>
      </c>
      <c r="K72" s="452">
        <v>1234</v>
      </c>
      <c r="L72" s="452">
        <v>1234</v>
      </c>
      <c r="M72" s="362" t="str">
        <f t="shared" si="70"/>
        <v>2. Medium</v>
      </c>
      <c r="N72" s="701" t="s">
        <v>834</v>
      </c>
      <c r="O72" s="453" t="s">
        <v>231</v>
      </c>
      <c r="P72" s="461" t="s">
        <v>231</v>
      </c>
      <c r="Q72" s="382" t="str">
        <f t="shared" si="71"/>
        <v>Covered</v>
      </c>
      <c r="R72" s="462">
        <v>42369</v>
      </c>
      <c r="S72" s="453" t="s">
        <v>253</v>
      </c>
      <c r="T72" s="380" t="str">
        <f t="shared" si="72"/>
        <v>Documented</v>
      </c>
      <c r="U72" s="468">
        <v>0</v>
      </c>
      <c r="V72" s="452">
        <v>0</v>
      </c>
      <c r="W72" s="469" t="s">
        <v>19</v>
      </c>
      <c r="X72" s="468">
        <v>10</v>
      </c>
      <c r="Y72" s="474">
        <v>1</v>
      </c>
      <c r="Z72" s="475">
        <v>15000</v>
      </c>
      <c r="AA72" s="481">
        <v>0</v>
      </c>
      <c r="AB72" s="482">
        <v>1</v>
      </c>
      <c r="AC72" s="385">
        <f t="shared" si="79"/>
        <v>1</v>
      </c>
      <c r="AD72" s="364">
        <f t="shared" si="80"/>
        <v>1234</v>
      </c>
      <c r="AE72" s="365">
        <f t="shared" si="81"/>
        <v>1</v>
      </c>
      <c r="AF72" s="366">
        <f t="shared" si="82"/>
        <v>1234</v>
      </c>
      <c r="AG72" s="363">
        <f t="shared" si="73"/>
        <v>1</v>
      </c>
      <c r="AH72" s="366">
        <f t="shared" si="83"/>
        <v>1234</v>
      </c>
      <c r="AI72" s="367" t="str">
        <f t="shared" si="74"/>
        <v>80-100%</v>
      </c>
      <c r="AJ72" s="363">
        <f t="shared" si="75"/>
        <v>0</v>
      </c>
      <c r="AK72" s="368">
        <f t="shared" si="84"/>
        <v>0</v>
      </c>
      <c r="AL72" s="366">
        <f t="shared" si="85"/>
        <v>0</v>
      </c>
      <c r="AM72" s="366">
        <f t="shared" si="86"/>
        <v>238</v>
      </c>
      <c r="AN72" s="366">
        <f t="shared" si="87"/>
        <v>0</v>
      </c>
      <c r="AO72" s="485">
        <v>1</v>
      </c>
      <c r="AP72" s="486">
        <f t="shared" si="88"/>
        <v>1234</v>
      </c>
      <c r="AQ72" s="475"/>
      <c r="AR72" s="732">
        <v>78</v>
      </c>
      <c r="AS72" s="452">
        <v>32</v>
      </c>
      <c r="AT72" s="452">
        <v>16</v>
      </c>
      <c r="AU72" s="452" t="s">
        <v>290</v>
      </c>
      <c r="AV72" s="369">
        <f t="shared" si="89"/>
        <v>0.77795786061588335</v>
      </c>
      <c r="AW72" s="366">
        <f t="shared" si="90"/>
        <v>960</v>
      </c>
      <c r="AX72" s="369">
        <f t="shared" si="76"/>
        <v>0.5186385737439223</v>
      </c>
      <c r="AY72" s="366">
        <f t="shared" si="91"/>
        <v>640.00000000000011</v>
      </c>
      <c r="AZ72" s="369">
        <f t="shared" si="92"/>
        <v>0.2593192868719611</v>
      </c>
      <c r="BA72" s="366">
        <f t="shared" si="93"/>
        <v>320</v>
      </c>
      <c r="BB72" s="474">
        <v>0</v>
      </c>
      <c r="BC72" s="490">
        <v>0.78</v>
      </c>
      <c r="BD72" s="370">
        <f t="shared" si="94"/>
        <v>962.52</v>
      </c>
      <c r="BE72" s="371">
        <f t="shared" si="95"/>
        <v>45.7</v>
      </c>
      <c r="BF72" s="452">
        <v>4</v>
      </c>
      <c r="BG72" s="452" t="s">
        <v>291</v>
      </c>
      <c r="BH72" s="369">
        <f t="shared" si="96"/>
        <v>0.32414910858995138</v>
      </c>
      <c r="BI72" s="366">
        <f t="shared" si="97"/>
        <v>400</v>
      </c>
      <c r="BJ72" s="371">
        <f t="shared" si="98"/>
        <v>8.34</v>
      </c>
      <c r="BK72" s="490">
        <v>0.32</v>
      </c>
      <c r="BL72" s="366">
        <f t="shared" si="99"/>
        <v>394.88</v>
      </c>
      <c r="BM72" s="452">
        <v>0</v>
      </c>
      <c r="BN72" s="369">
        <f t="shared" si="100"/>
        <v>0</v>
      </c>
      <c r="BO72" s="371">
        <f t="shared" si="101"/>
        <v>12.34</v>
      </c>
      <c r="BP72" s="478">
        <v>0</v>
      </c>
      <c r="BQ72" s="500" t="s">
        <v>746</v>
      </c>
      <c r="BR72" s="502">
        <v>41781</v>
      </c>
      <c r="BS72" s="372" t="str">
        <f t="shared" si="77"/>
        <v>To be realised</v>
      </c>
      <c r="BT72" s="452">
        <v>238</v>
      </c>
      <c r="BU72" s="452">
        <v>2</v>
      </c>
      <c r="BV72" s="373">
        <f t="shared" si="102"/>
        <v>238</v>
      </c>
      <c r="BW72" s="374">
        <f t="shared" si="103"/>
        <v>0</v>
      </c>
      <c r="BX72" s="366">
        <f t="shared" si="104"/>
        <v>0</v>
      </c>
      <c r="BY72" s="387">
        <f t="shared" si="78"/>
        <v>11</v>
      </c>
      <c r="BZ72" s="468"/>
      <c r="CA72" s="478">
        <v>1</v>
      </c>
      <c r="CB72" s="389">
        <f t="shared" si="105"/>
        <v>1234</v>
      </c>
      <c r="CC72" s="468">
        <v>0</v>
      </c>
      <c r="CD72" s="375" t="str">
        <f t="shared" si="106"/>
        <v>No coverage</v>
      </c>
      <c r="CE72" s="474">
        <v>0</v>
      </c>
      <c r="CF72" s="469" t="s">
        <v>293</v>
      </c>
      <c r="CG72" s="509"/>
    </row>
    <row r="73" spans="2:85" s="40" customFormat="1" ht="30.75" customHeight="1" x14ac:dyDescent="0.2">
      <c r="B73" s="449" t="s">
        <v>155</v>
      </c>
      <c r="C73" s="450" t="s">
        <v>592</v>
      </c>
      <c r="D73" s="451" t="s">
        <v>258</v>
      </c>
      <c r="E73" s="450" t="s">
        <v>162</v>
      </c>
      <c r="F73" s="451">
        <v>97.437434999999994</v>
      </c>
      <c r="G73" s="451">
        <v>25.411413</v>
      </c>
      <c r="H73" s="451" t="s">
        <v>449</v>
      </c>
      <c r="I73" s="451" t="s">
        <v>214</v>
      </c>
      <c r="J73" s="452">
        <v>415</v>
      </c>
      <c r="K73" s="452">
        <v>2077</v>
      </c>
      <c r="L73" s="452">
        <v>2077</v>
      </c>
      <c r="M73" s="362" t="str">
        <f t="shared" si="70"/>
        <v>3. Large</v>
      </c>
      <c r="N73" s="701" t="s">
        <v>833</v>
      </c>
      <c r="O73" s="453" t="s">
        <v>235</v>
      </c>
      <c r="P73" s="461" t="s">
        <v>235</v>
      </c>
      <c r="Q73" s="382" t="str">
        <f t="shared" si="71"/>
        <v>Covered</v>
      </c>
      <c r="R73" s="462">
        <v>42429</v>
      </c>
      <c r="S73" s="453" t="s">
        <v>253</v>
      </c>
      <c r="T73" s="380" t="str">
        <f t="shared" si="72"/>
        <v>Documented</v>
      </c>
      <c r="U73" s="468">
        <v>0</v>
      </c>
      <c r="V73" s="452">
        <v>0</v>
      </c>
      <c r="W73" s="469" t="s">
        <v>19</v>
      </c>
      <c r="X73" s="468">
        <v>8</v>
      </c>
      <c r="Y73" s="474">
        <v>0</v>
      </c>
      <c r="Z73" s="475">
        <v>16800</v>
      </c>
      <c r="AA73" s="481">
        <v>0</v>
      </c>
      <c r="AB73" s="482">
        <v>1</v>
      </c>
      <c r="AC73" s="385">
        <f t="shared" si="79"/>
        <v>1</v>
      </c>
      <c r="AD73" s="364">
        <f t="shared" si="80"/>
        <v>2077</v>
      </c>
      <c r="AE73" s="365">
        <f t="shared" si="81"/>
        <v>1</v>
      </c>
      <c r="AF73" s="366">
        <f t="shared" si="82"/>
        <v>2077</v>
      </c>
      <c r="AG73" s="363">
        <f t="shared" si="73"/>
        <v>1</v>
      </c>
      <c r="AH73" s="366">
        <f t="shared" si="83"/>
        <v>2077</v>
      </c>
      <c r="AI73" s="367" t="str">
        <f t="shared" si="74"/>
        <v>80-100%</v>
      </c>
      <c r="AJ73" s="363">
        <f t="shared" si="75"/>
        <v>0</v>
      </c>
      <c r="AK73" s="368">
        <f t="shared" si="84"/>
        <v>0</v>
      </c>
      <c r="AL73" s="366">
        <f t="shared" si="85"/>
        <v>0</v>
      </c>
      <c r="AM73" s="366">
        <f t="shared" si="86"/>
        <v>415</v>
      </c>
      <c r="AN73" s="366">
        <f t="shared" si="87"/>
        <v>0</v>
      </c>
      <c r="AO73" s="485">
        <v>1</v>
      </c>
      <c r="AP73" s="486">
        <f t="shared" si="88"/>
        <v>2077</v>
      </c>
      <c r="AQ73" s="475"/>
      <c r="AR73" s="732">
        <v>0</v>
      </c>
      <c r="AS73" s="452">
        <v>0</v>
      </c>
      <c r="AT73" s="452">
        <v>132</v>
      </c>
      <c r="AU73" s="452" t="s">
        <v>290</v>
      </c>
      <c r="AV73" s="369">
        <f t="shared" si="89"/>
        <v>1</v>
      </c>
      <c r="AW73" s="366">
        <f t="shared" si="90"/>
        <v>2077</v>
      </c>
      <c r="AX73" s="369">
        <f t="shared" si="76"/>
        <v>0</v>
      </c>
      <c r="AY73" s="366">
        <f t="shared" si="91"/>
        <v>0</v>
      </c>
      <c r="AZ73" s="369">
        <f t="shared" si="92"/>
        <v>1</v>
      </c>
      <c r="BA73" s="366">
        <f t="shared" si="93"/>
        <v>2077</v>
      </c>
      <c r="BB73" s="474">
        <v>4</v>
      </c>
      <c r="BC73" s="490">
        <v>1</v>
      </c>
      <c r="BD73" s="370">
        <f t="shared" si="94"/>
        <v>2077</v>
      </c>
      <c r="BE73" s="371">
        <f t="shared" si="95"/>
        <v>0</v>
      </c>
      <c r="BF73" s="452">
        <v>6</v>
      </c>
      <c r="BG73" s="452" t="s">
        <v>291</v>
      </c>
      <c r="BH73" s="369">
        <f t="shared" si="96"/>
        <v>0.28887818969667789</v>
      </c>
      <c r="BI73" s="366">
        <f t="shared" si="97"/>
        <v>600</v>
      </c>
      <c r="BJ73" s="371">
        <f t="shared" si="98"/>
        <v>14.77</v>
      </c>
      <c r="BK73" s="490">
        <v>0.28999999999999998</v>
      </c>
      <c r="BL73" s="366">
        <f t="shared" si="99"/>
        <v>602.32999999999993</v>
      </c>
      <c r="BM73" s="452">
        <v>45</v>
      </c>
      <c r="BN73" s="369">
        <f t="shared" si="100"/>
        <v>1</v>
      </c>
      <c r="BO73" s="371">
        <f t="shared" si="101"/>
        <v>0</v>
      </c>
      <c r="BP73" s="478">
        <v>1</v>
      </c>
      <c r="BQ73" s="500" t="s">
        <v>852</v>
      </c>
      <c r="BR73" s="502">
        <v>42053</v>
      </c>
      <c r="BS73" s="372">
        <f t="shared" si="77"/>
        <v>42418</v>
      </c>
      <c r="BT73" s="452">
        <v>415</v>
      </c>
      <c r="BU73" s="452">
        <v>4</v>
      </c>
      <c r="BV73" s="373">
        <f t="shared" si="102"/>
        <v>0</v>
      </c>
      <c r="BW73" s="374">
        <f t="shared" si="103"/>
        <v>1</v>
      </c>
      <c r="BX73" s="366">
        <f t="shared" si="104"/>
        <v>2077</v>
      </c>
      <c r="BY73" s="387">
        <f t="shared" si="78"/>
        <v>0</v>
      </c>
      <c r="BZ73" s="468"/>
      <c r="CA73" s="478">
        <v>0.8</v>
      </c>
      <c r="CB73" s="389">
        <f t="shared" si="105"/>
        <v>1661.6000000000001</v>
      </c>
      <c r="CC73" s="468">
        <v>4</v>
      </c>
      <c r="CD73" s="375" t="str">
        <f t="shared" si="106"/>
        <v>Good coverage</v>
      </c>
      <c r="CE73" s="474">
        <v>6</v>
      </c>
      <c r="CF73" s="469" t="s">
        <v>293</v>
      </c>
      <c r="CG73" s="509" t="s">
        <v>735</v>
      </c>
    </row>
    <row r="74" spans="2:85" s="40" customFormat="1" ht="30.75" customHeight="1" x14ac:dyDescent="0.2">
      <c r="B74" s="449" t="s">
        <v>155</v>
      </c>
      <c r="C74" s="450" t="s">
        <v>593</v>
      </c>
      <c r="D74" s="451" t="s">
        <v>258</v>
      </c>
      <c r="E74" s="450" t="s">
        <v>163</v>
      </c>
      <c r="F74" s="451">
        <v>97.426297000000005</v>
      </c>
      <c r="G74" s="451">
        <v>25.409566000000002</v>
      </c>
      <c r="H74" s="451" t="s">
        <v>449</v>
      </c>
      <c r="I74" s="451" t="s">
        <v>214</v>
      </c>
      <c r="J74" s="452">
        <v>44</v>
      </c>
      <c r="K74" s="452">
        <v>187</v>
      </c>
      <c r="L74" s="452">
        <v>187</v>
      </c>
      <c r="M74" s="362" t="str">
        <f t="shared" si="70"/>
        <v>1. Small</v>
      </c>
      <c r="N74" s="701" t="s">
        <v>833</v>
      </c>
      <c r="O74" s="453" t="s">
        <v>235</v>
      </c>
      <c r="P74" s="461" t="s">
        <v>235</v>
      </c>
      <c r="Q74" s="382" t="str">
        <f t="shared" si="71"/>
        <v>Covered</v>
      </c>
      <c r="R74" s="462">
        <v>42429</v>
      </c>
      <c r="S74" s="453" t="s">
        <v>253</v>
      </c>
      <c r="T74" s="380" t="str">
        <f t="shared" si="72"/>
        <v>Documented</v>
      </c>
      <c r="U74" s="468">
        <v>0</v>
      </c>
      <c r="V74" s="452">
        <v>0</v>
      </c>
      <c r="W74" s="469" t="s">
        <v>19</v>
      </c>
      <c r="X74" s="468">
        <v>2</v>
      </c>
      <c r="Y74" s="474">
        <v>0</v>
      </c>
      <c r="Z74" s="475">
        <v>3000</v>
      </c>
      <c r="AA74" s="481">
        <v>0</v>
      </c>
      <c r="AB74" s="482">
        <v>1</v>
      </c>
      <c r="AC74" s="385">
        <f t="shared" si="79"/>
        <v>1</v>
      </c>
      <c r="AD74" s="364">
        <f t="shared" si="80"/>
        <v>187</v>
      </c>
      <c r="AE74" s="365">
        <f t="shared" si="81"/>
        <v>1</v>
      </c>
      <c r="AF74" s="366">
        <f t="shared" si="82"/>
        <v>187</v>
      </c>
      <c r="AG74" s="363">
        <f t="shared" si="73"/>
        <v>1</v>
      </c>
      <c r="AH74" s="366">
        <f t="shared" si="83"/>
        <v>187</v>
      </c>
      <c r="AI74" s="367" t="str">
        <f t="shared" si="74"/>
        <v>80-100%</v>
      </c>
      <c r="AJ74" s="363">
        <f t="shared" si="75"/>
        <v>0</v>
      </c>
      <c r="AK74" s="368">
        <f t="shared" si="84"/>
        <v>0</v>
      </c>
      <c r="AL74" s="366">
        <f t="shared" si="85"/>
        <v>0</v>
      </c>
      <c r="AM74" s="366">
        <f t="shared" si="86"/>
        <v>44</v>
      </c>
      <c r="AN74" s="366">
        <f t="shared" si="87"/>
        <v>0</v>
      </c>
      <c r="AO74" s="485">
        <v>1</v>
      </c>
      <c r="AP74" s="486">
        <f t="shared" si="88"/>
        <v>187</v>
      </c>
      <c r="AQ74" s="475"/>
      <c r="AR74" s="732">
        <v>0</v>
      </c>
      <c r="AS74" s="452">
        <v>0</v>
      </c>
      <c r="AT74" s="452">
        <v>14</v>
      </c>
      <c r="AU74" s="452" t="s">
        <v>290</v>
      </c>
      <c r="AV74" s="369">
        <f t="shared" si="89"/>
        <v>1</v>
      </c>
      <c r="AW74" s="366">
        <f t="shared" si="90"/>
        <v>187</v>
      </c>
      <c r="AX74" s="369">
        <f t="shared" si="76"/>
        <v>0</v>
      </c>
      <c r="AY74" s="366">
        <f t="shared" si="91"/>
        <v>0</v>
      </c>
      <c r="AZ74" s="369">
        <f t="shared" si="92"/>
        <v>1</v>
      </c>
      <c r="BA74" s="366">
        <f t="shared" si="93"/>
        <v>187</v>
      </c>
      <c r="BB74" s="474">
        <v>0</v>
      </c>
      <c r="BC74" s="490">
        <v>1</v>
      </c>
      <c r="BD74" s="370">
        <f t="shared" si="94"/>
        <v>187</v>
      </c>
      <c r="BE74" s="371">
        <f t="shared" si="95"/>
        <v>0</v>
      </c>
      <c r="BF74" s="452">
        <v>2</v>
      </c>
      <c r="BG74" s="452" t="s">
        <v>292</v>
      </c>
      <c r="BH74" s="369">
        <f t="shared" si="96"/>
        <v>1</v>
      </c>
      <c r="BI74" s="366">
        <f t="shared" si="97"/>
        <v>187</v>
      </c>
      <c r="BJ74" s="371">
        <f t="shared" si="98"/>
        <v>0</v>
      </c>
      <c r="BK74" s="490">
        <v>1</v>
      </c>
      <c r="BL74" s="366">
        <f t="shared" si="99"/>
        <v>187</v>
      </c>
      <c r="BM74" s="452">
        <v>3</v>
      </c>
      <c r="BN74" s="369">
        <f t="shared" si="100"/>
        <v>1</v>
      </c>
      <c r="BO74" s="371">
        <f t="shared" si="101"/>
        <v>0</v>
      </c>
      <c r="BP74" s="478">
        <v>1</v>
      </c>
      <c r="BQ74" s="500"/>
      <c r="BR74" s="502">
        <v>42053</v>
      </c>
      <c r="BS74" s="372">
        <f t="shared" si="77"/>
        <v>42418</v>
      </c>
      <c r="BT74" s="452">
        <v>44</v>
      </c>
      <c r="BU74" s="452">
        <v>4</v>
      </c>
      <c r="BV74" s="373">
        <f t="shared" si="102"/>
        <v>0</v>
      </c>
      <c r="BW74" s="374">
        <f t="shared" si="103"/>
        <v>1</v>
      </c>
      <c r="BX74" s="366">
        <f t="shared" si="104"/>
        <v>187</v>
      </c>
      <c r="BY74" s="387">
        <f t="shared" si="78"/>
        <v>0</v>
      </c>
      <c r="BZ74" s="468"/>
      <c r="CA74" s="478">
        <v>0.8</v>
      </c>
      <c r="CB74" s="389">
        <f t="shared" si="105"/>
        <v>149.6</v>
      </c>
      <c r="CC74" s="468">
        <v>1</v>
      </c>
      <c r="CD74" s="375" t="str">
        <f t="shared" si="106"/>
        <v>Excellent coverage</v>
      </c>
      <c r="CE74" s="474">
        <v>0</v>
      </c>
      <c r="CF74" s="469" t="s">
        <v>293</v>
      </c>
      <c r="CG74" s="509"/>
    </row>
    <row r="75" spans="2:85" s="40" customFormat="1" ht="30.75" customHeight="1" x14ac:dyDescent="0.2">
      <c r="B75" s="449" t="s">
        <v>155</v>
      </c>
      <c r="C75" s="450" t="s">
        <v>595</v>
      </c>
      <c r="D75" s="451" t="s">
        <v>261</v>
      </c>
      <c r="E75" s="450" t="s">
        <v>200</v>
      </c>
      <c r="F75" s="451">
        <v>97.751389000000003</v>
      </c>
      <c r="G75" s="451">
        <v>24.831944</v>
      </c>
      <c r="H75" s="451" t="s">
        <v>449</v>
      </c>
      <c r="I75" s="451" t="s">
        <v>222</v>
      </c>
      <c r="J75" s="452">
        <v>191</v>
      </c>
      <c r="K75" s="452">
        <v>770</v>
      </c>
      <c r="L75" s="452">
        <v>770</v>
      </c>
      <c r="M75" s="362" t="str">
        <f t="shared" si="70"/>
        <v>2. Medium</v>
      </c>
      <c r="N75" s="701" t="s">
        <v>833</v>
      </c>
      <c r="O75" s="453" t="s">
        <v>235</v>
      </c>
      <c r="P75" s="461" t="s">
        <v>235</v>
      </c>
      <c r="Q75" s="382" t="str">
        <f t="shared" si="71"/>
        <v>Covered</v>
      </c>
      <c r="R75" s="462">
        <v>42429</v>
      </c>
      <c r="S75" s="453" t="s">
        <v>253</v>
      </c>
      <c r="T75" s="380" t="str">
        <f t="shared" si="72"/>
        <v>Documented</v>
      </c>
      <c r="U75" s="468">
        <v>0</v>
      </c>
      <c r="V75" s="452">
        <v>0</v>
      </c>
      <c r="W75" s="469" t="s">
        <v>19</v>
      </c>
      <c r="X75" s="468">
        <v>0</v>
      </c>
      <c r="Y75" s="474">
        <v>0</v>
      </c>
      <c r="Z75" s="475">
        <v>12000</v>
      </c>
      <c r="AA75" s="481">
        <v>0</v>
      </c>
      <c r="AB75" s="482">
        <v>0</v>
      </c>
      <c r="AC75" s="385">
        <f t="shared" si="79"/>
        <v>1</v>
      </c>
      <c r="AD75" s="364">
        <f t="shared" si="80"/>
        <v>770</v>
      </c>
      <c r="AE75" s="365">
        <f t="shared" si="81"/>
        <v>1</v>
      </c>
      <c r="AF75" s="366">
        <f t="shared" si="82"/>
        <v>770</v>
      </c>
      <c r="AG75" s="363">
        <f t="shared" si="73"/>
        <v>1</v>
      </c>
      <c r="AH75" s="366">
        <f t="shared" si="83"/>
        <v>770</v>
      </c>
      <c r="AI75" s="367" t="str">
        <f t="shared" si="74"/>
        <v>80-100%</v>
      </c>
      <c r="AJ75" s="363">
        <f t="shared" si="75"/>
        <v>0</v>
      </c>
      <c r="AK75" s="368">
        <f t="shared" si="84"/>
        <v>0</v>
      </c>
      <c r="AL75" s="366">
        <f t="shared" si="85"/>
        <v>1.925</v>
      </c>
      <c r="AM75" s="366">
        <f t="shared" si="86"/>
        <v>0</v>
      </c>
      <c r="AN75" s="366">
        <f t="shared" si="87"/>
        <v>0</v>
      </c>
      <c r="AO75" s="485">
        <v>1</v>
      </c>
      <c r="AP75" s="486">
        <f t="shared" si="88"/>
        <v>770</v>
      </c>
      <c r="AQ75" s="475"/>
      <c r="AR75" s="732">
        <v>11</v>
      </c>
      <c r="AS75" s="452">
        <v>50</v>
      </c>
      <c r="AT75" s="452">
        <v>0</v>
      </c>
      <c r="AU75" s="452" t="s">
        <v>290</v>
      </c>
      <c r="AV75" s="369">
        <f t="shared" si="89"/>
        <v>1</v>
      </c>
      <c r="AW75" s="366">
        <f t="shared" si="90"/>
        <v>770</v>
      </c>
      <c r="AX75" s="369">
        <f t="shared" si="76"/>
        <v>1</v>
      </c>
      <c r="AY75" s="366">
        <f t="shared" si="91"/>
        <v>770</v>
      </c>
      <c r="AZ75" s="369">
        <f t="shared" si="92"/>
        <v>0</v>
      </c>
      <c r="BA75" s="366">
        <f t="shared" si="93"/>
        <v>0</v>
      </c>
      <c r="BB75" s="474">
        <v>0</v>
      </c>
      <c r="BC75" s="490">
        <v>1</v>
      </c>
      <c r="BD75" s="370">
        <f t="shared" si="94"/>
        <v>770</v>
      </c>
      <c r="BE75" s="371">
        <f t="shared" si="95"/>
        <v>38.5</v>
      </c>
      <c r="BF75" s="452">
        <v>6</v>
      </c>
      <c r="BG75" s="452" t="s">
        <v>291</v>
      </c>
      <c r="BH75" s="369">
        <f t="shared" si="96"/>
        <v>0.77922077922077926</v>
      </c>
      <c r="BI75" s="366">
        <f t="shared" si="97"/>
        <v>600</v>
      </c>
      <c r="BJ75" s="371">
        <f t="shared" si="98"/>
        <v>1.7000000000000002</v>
      </c>
      <c r="BK75" s="490">
        <v>0.78</v>
      </c>
      <c r="BL75" s="366">
        <f t="shared" si="99"/>
        <v>600.6</v>
      </c>
      <c r="BM75" s="452">
        <v>12</v>
      </c>
      <c r="BN75" s="369">
        <f t="shared" si="100"/>
        <v>1</v>
      </c>
      <c r="BO75" s="371">
        <f t="shared" si="101"/>
        <v>0</v>
      </c>
      <c r="BP75" s="478">
        <v>1</v>
      </c>
      <c r="BQ75" s="500" t="s">
        <v>770</v>
      </c>
      <c r="BR75" s="502">
        <v>42053</v>
      </c>
      <c r="BS75" s="372">
        <f t="shared" si="77"/>
        <v>42418</v>
      </c>
      <c r="BT75" s="452">
        <v>191</v>
      </c>
      <c r="BU75" s="452">
        <v>4</v>
      </c>
      <c r="BV75" s="373">
        <f t="shared" si="102"/>
        <v>0</v>
      </c>
      <c r="BW75" s="374">
        <f t="shared" si="103"/>
        <v>1</v>
      </c>
      <c r="BX75" s="366">
        <f t="shared" si="104"/>
        <v>770</v>
      </c>
      <c r="BY75" s="387">
        <f t="shared" si="78"/>
        <v>0</v>
      </c>
      <c r="BZ75" s="468"/>
      <c r="CA75" s="478">
        <v>0.8</v>
      </c>
      <c r="CB75" s="389">
        <f t="shared" si="105"/>
        <v>616</v>
      </c>
      <c r="CC75" s="468">
        <v>3</v>
      </c>
      <c r="CD75" s="375" t="str">
        <f t="shared" si="106"/>
        <v>Excellent coverage</v>
      </c>
      <c r="CE75" s="474">
        <v>0</v>
      </c>
      <c r="CF75" s="469" t="s">
        <v>293</v>
      </c>
      <c r="CG75" s="509"/>
    </row>
    <row r="76" spans="2:85" s="40" customFormat="1" ht="30.75" customHeight="1" x14ac:dyDescent="0.2">
      <c r="B76" s="449" t="s">
        <v>155</v>
      </c>
      <c r="C76" s="450" t="s">
        <v>596</v>
      </c>
      <c r="D76" s="451" t="s">
        <v>261</v>
      </c>
      <c r="E76" s="450" t="s">
        <v>165</v>
      </c>
      <c r="F76" s="451">
        <v>97.990555999999998</v>
      </c>
      <c r="G76" s="451">
        <v>25.265277999999999</v>
      </c>
      <c r="H76" s="451" t="s">
        <v>449</v>
      </c>
      <c r="I76" s="451" t="s">
        <v>222</v>
      </c>
      <c r="J76" s="452">
        <v>109</v>
      </c>
      <c r="K76" s="452">
        <v>640</v>
      </c>
      <c r="L76" s="452">
        <v>640</v>
      </c>
      <c r="M76" s="362" t="str">
        <f t="shared" si="70"/>
        <v>2. Medium</v>
      </c>
      <c r="N76" s="701" t="s">
        <v>834</v>
      </c>
      <c r="O76" s="453" t="s">
        <v>277</v>
      </c>
      <c r="P76" s="461" t="s">
        <v>231</v>
      </c>
      <c r="Q76" s="382" t="str">
        <f t="shared" si="71"/>
        <v>Covered</v>
      </c>
      <c r="R76" s="462">
        <v>42369</v>
      </c>
      <c r="S76" s="453" t="s">
        <v>253</v>
      </c>
      <c r="T76" s="380" t="str">
        <f t="shared" si="72"/>
        <v>Documented</v>
      </c>
      <c r="U76" s="468">
        <v>0</v>
      </c>
      <c r="V76" s="452">
        <v>0</v>
      </c>
      <c r="W76" s="469" t="s">
        <v>19</v>
      </c>
      <c r="X76" s="468">
        <v>0</v>
      </c>
      <c r="Y76" s="474">
        <v>0</v>
      </c>
      <c r="Z76" s="475">
        <v>13000</v>
      </c>
      <c r="AA76" s="481">
        <v>0</v>
      </c>
      <c r="AB76" s="482">
        <v>1</v>
      </c>
      <c r="AC76" s="385">
        <f t="shared" si="79"/>
        <v>1</v>
      </c>
      <c r="AD76" s="364">
        <f t="shared" si="80"/>
        <v>640</v>
      </c>
      <c r="AE76" s="365">
        <f t="shared" si="81"/>
        <v>1</v>
      </c>
      <c r="AF76" s="366">
        <f t="shared" si="82"/>
        <v>640</v>
      </c>
      <c r="AG76" s="363">
        <f t="shared" si="73"/>
        <v>1</v>
      </c>
      <c r="AH76" s="366">
        <f t="shared" si="83"/>
        <v>640</v>
      </c>
      <c r="AI76" s="367" t="str">
        <f t="shared" si="74"/>
        <v>80-100%</v>
      </c>
      <c r="AJ76" s="363">
        <f t="shared" si="75"/>
        <v>0</v>
      </c>
      <c r="AK76" s="368">
        <f t="shared" si="84"/>
        <v>0</v>
      </c>
      <c r="AL76" s="366">
        <f t="shared" si="85"/>
        <v>1.6</v>
      </c>
      <c r="AM76" s="366">
        <f t="shared" si="86"/>
        <v>109</v>
      </c>
      <c r="AN76" s="366">
        <f t="shared" si="87"/>
        <v>0</v>
      </c>
      <c r="AO76" s="485">
        <v>1</v>
      </c>
      <c r="AP76" s="486">
        <f t="shared" si="88"/>
        <v>640</v>
      </c>
      <c r="AQ76" s="475"/>
      <c r="AR76" s="732">
        <v>80</v>
      </c>
      <c r="AS76" s="452">
        <v>109</v>
      </c>
      <c r="AT76" s="452">
        <v>14</v>
      </c>
      <c r="AU76" s="452" t="s">
        <v>290</v>
      </c>
      <c r="AV76" s="369">
        <f t="shared" si="89"/>
        <v>1</v>
      </c>
      <c r="AW76" s="366">
        <f t="shared" si="90"/>
        <v>640</v>
      </c>
      <c r="AX76" s="369">
        <f t="shared" si="76"/>
        <v>0.5625</v>
      </c>
      <c r="AY76" s="366">
        <f t="shared" si="91"/>
        <v>360</v>
      </c>
      <c r="AZ76" s="369">
        <f t="shared" si="92"/>
        <v>0.4375</v>
      </c>
      <c r="BA76" s="366">
        <f t="shared" si="93"/>
        <v>280</v>
      </c>
      <c r="BB76" s="474">
        <v>0</v>
      </c>
      <c r="BC76" s="490">
        <v>1</v>
      </c>
      <c r="BD76" s="370">
        <f t="shared" si="94"/>
        <v>640</v>
      </c>
      <c r="BE76" s="371">
        <f t="shared" si="95"/>
        <v>18</v>
      </c>
      <c r="BF76" s="452">
        <v>2</v>
      </c>
      <c r="BG76" s="452" t="s">
        <v>291</v>
      </c>
      <c r="BH76" s="369">
        <f t="shared" si="96"/>
        <v>0.3125</v>
      </c>
      <c r="BI76" s="366">
        <f t="shared" si="97"/>
        <v>200</v>
      </c>
      <c r="BJ76" s="371">
        <f t="shared" si="98"/>
        <v>4.4000000000000004</v>
      </c>
      <c r="BK76" s="490">
        <v>0.31</v>
      </c>
      <c r="BL76" s="366">
        <f t="shared" si="99"/>
        <v>198.4</v>
      </c>
      <c r="BM76" s="452">
        <v>4</v>
      </c>
      <c r="BN76" s="369">
        <f t="shared" si="100"/>
        <v>0.625</v>
      </c>
      <c r="BO76" s="371">
        <f t="shared" si="101"/>
        <v>2.4000000000000004</v>
      </c>
      <c r="BP76" s="478">
        <v>0.63</v>
      </c>
      <c r="BQ76" s="500" t="s">
        <v>745</v>
      </c>
      <c r="BR76" s="502">
        <v>42123</v>
      </c>
      <c r="BS76" s="372">
        <f t="shared" si="77"/>
        <v>42488</v>
      </c>
      <c r="BT76" s="452">
        <v>109</v>
      </c>
      <c r="BU76" s="452">
        <v>3</v>
      </c>
      <c r="BV76" s="373">
        <f t="shared" si="102"/>
        <v>0</v>
      </c>
      <c r="BW76" s="374">
        <f t="shared" si="103"/>
        <v>1</v>
      </c>
      <c r="BX76" s="366">
        <f t="shared" si="104"/>
        <v>640</v>
      </c>
      <c r="BY76" s="387">
        <f t="shared" si="78"/>
        <v>0</v>
      </c>
      <c r="BZ76" s="468"/>
      <c r="CA76" s="478">
        <v>0</v>
      </c>
      <c r="CB76" s="389">
        <f t="shared" si="105"/>
        <v>0</v>
      </c>
      <c r="CC76" s="468">
        <v>0</v>
      </c>
      <c r="CD76" s="375" t="str">
        <f t="shared" si="106"/>
        <v>No coverage</v>
      </c>
      <c r="CE76" s="474">
        <v>0</v>
      </c>
      <c r="CF76" s="469" t="s">
        <v>293</v>
      </c>
      <c r="CG76" s="509"/>
    </row>
    <row r="77" spans="2:85" s="40" customFormat="1" ht="30.75" customHeight="1" x14ac:dyDescent="0.2">
      <c r="B77" s="449" t="s">
        <v>155</v>
      </c>
      <c r="C77" s="450" t="s">
        <v>597</v>
      </c>
      <c r="D77" s="451" t="s">
        <v>258</v>
      </c>
      <c r="E77" s="450" t="s">
        <v>166</v>
      </c>
      <c r="F77" s="451">
        <v>97.441483000000005</v>
      </c>
      <c r="G77" s="451">
        <v>25.354883999999998</v>
      </c>
      <c r="H77" s="451" t="s">
        <v>449</v>
      </c>
      <c r="I77" s="451" t="s">
        <v>214</v>
      </c>
      <c r="J77" s="452">
        <v>102</v>
      </c>
      <c r="K77" s="452">
        <v>340</v>
      </c>
      <c r="L77" s="452">
        <v>280</v>
      </c>
      <c r="M77" s="362" t="str">
        <f t="shared" si="70"/>
        <v>2. Medium</v>
      </c>
      <c r="N77" s="701" t="s">
        <v>832</v>
      </c>
      <c r="O77" s="453" t="s">
        <v>276</v>
      </c>
      <c r="P77" s="461" t="s">
        <v>276</v>
      </c>
      <c r="Q77" s="382" t="str">
        <f t="shared" si="71"/>
        <v>Covered</v>
      </c>
      <c r="R77" s="462">
        <v>42216</v>
      </c>
      <c r="S77" s="453" t="s">
        <v>253</v>
      </c>
      <c r="T77" s="380" t="str">
        <f t="shared" si="72"/>
        <v>Documented</v>
      </c>
      <c r="U77" s="468">
        <v>0</v>
      </c>
      <c r="V77" s="452">
        <v>22140</v>
      </c>
      <c r="W77" s="469" t="s">
        <v>18</v>
      </c>
      <c r="X77" s="468">
        <v>1</v>
      </c>
      <c r="Y77" s="474">
        <v>1</v>
      </c>
      <c r="Z77" s="475">
        <v>0</v>
      </c>
      <c r="AA77" s="481">
        <v>0</v>
      </c>
      <c r="AB77" s="482">
        <v>0</v>
      </c>
      <c r="AC77" s="385">
        <f t="shared" si="79"/>
        <v>1</v>
      </c>
      <c r="AD77" s="364">
        <f t="shared" si="80"/>
        <v>280</v>
      </c>
      <c r="AE77" s="365">
        <f t="shared" si="81"/>
        <v>1</v>
      </c>
      <c r="AF77" s="366">
        <f t="shared" si="82"/>
        <v>280</v>
      </c>
      <c r="AG77" s="363">
        <f t="shared" si="73"/>
        <v>1</v>
      </c>
      <c r="AH77" s="366">
        <f t="shared" si="83"/>
        <v>280</v>
      </c>
      <c r="AI77" s="367" t="str">
        <f t="shared" si="74"/>
        <v>80-100%</v>
      </c>
      <c r="AJ77" s="363">
        <f t="shared" si="75"/>
        <v>0</v>
      </c>
      <c r="AK77" s="368">
        <f t="shared" si="84"/>
        <v>0</v>
      </c>
      <c r="AL77" s="366">
        <f t="shared" si="85"/>
        <v>0</v>
      </c>
      <c r="AM77" s="366">
        <f t="shared" si="86"/>
        <v>0</v>
      </c>
      <c r="AN77" s="366">
        <f t="shared" si="87"/>
        <v>0</v>
      </c>
      <c r="AO77" s="485">
        <v>1</v>
      </c>
      <c r="AP77" s="486">
        <f t="shared" si="88"/>
        <v>280</v>
      </c>
      <c r="AQ77" s="475"/>
      <c r="AR77" s="732">
        <v>0</v>
      </c>
      <c r="AS77" s="452">
        <v>0</v>
      </c>
      <c r="AT77" s="452">
        <v>11</v>
      </c>
      <c r="AU77" s="452" t="s">
        <v>290</v>
      </c>
      <c r="AV77" s="369">
        <f t="shared" si="89"/>
        <v>0.7857142857142857</v>
      </c>
      <c r="AW77" s="366">
        <f t="shared" si="90"/>
        <v>220</v>
      </c>
      <c r="AX77" s="369">
        <f t="shared" si="76"/>
        <v>0</v>
      </c>
      <c r="AY77" s="366">
        <f t="shared" si="91"/>
        <v>0</v>
      </c>
      <c r="AZ77" s="369">
        <f t="shared" si="92"/>
        <v>0.7857142857142857</v>
      </c>
      <c r="BA77" s="366">
        <f t="shared" si="93"/>
        <v>220</v>
      </c>
      <c r="BB77" s="474">
        <v>0</v>
      </c>
      <c r="BC77" s="490">
        <v>0.79</v>
      </c>
      <c r="BD77" s="370">
        <f t="shared" si="94"/>
        <v>221.20000000000002</v>
      </c>
      <c r="BE77" s="371">
        <f t="shared" si="95"/>
        <v>3</v>
      </c>
      <c r="BF77" s="452">
        <v>4</v>
      </c>
      <c r="BG77" s="452" t="s">
        <v>291</v>
      </c>
      <c r="BH77" s="369">
        <f t="shared" si="96"/>
        <v>1</v>
      </c>
      <c r="BI77" s="366">
        <f t="shared" si="97"/>
        <v>280</v>
      </c>
      <c r="BJ77" s="371">
        <f t="shared" si="98"/>
        <v>0</v>
      </c>
      <c r="BK77" s="490">
        <v>1</v>
      </c>
      <c r="BL77" s="366">
        <f t="shared" si="99"/>
        <v>280</v>
      </c>
      <c r="BM77" s="452">
        <v>3</v>
      </c>
      <c r="BN77" s="369">
        <f t="shared" si="100"/>
        <v>1</v>
      </c>
      <c r="BO77" s="371">
        <f t="shared" si="101"/>
        <v>0.39999999999999991</v>
      </c>
      <c r="BP77" s="478">
        <v>1</v>
      </c>
      <c r="BQ77" s="500"/>
      <c r="BR77" s="502">
        <v>42048</v>
      </c>
      <c r="BS77" s="372">
        <f t="shared" si="77"/>
        <v>42413</v>
      </c>
      <c r="BT77" s="452">
        <v>102</v>
      </c>
      <c r="BU77" s="452">
        <v>5</v>
      </c>
      <c r="BV77" s="373">
        <f t="shared" si="102"/>
        <v>0</v>
      </c>
      <c r="BW77" s="374">
        <f t="shared" si="103"/>
        <v>1</v>
      </c>
      <c r="BX77" s="366">
        <f t="shared" si="104"/>
        <v>280</v>
      </c>
      <c r="BY77" s="387">
        <f t="shared" si="78"/>
        <v>0</v>
      </c>
      <c r="BZ77" s="468"/>
      <c r="CA77" s="478">
        <v>1</v>
      </c>
      <c r="CB77" s="389">
        <f t="shared" si="105"/>
        <v>280</v>
      </c>
      <c r="CC77" s="468">
        <v>2</v>
      </c>
      <c r="CD77" s="375" t="str">
        <f t="shared" si="106"/>
        <v>Excellent coverage</v>
      </c>
      <c r="CE77" s="474">
        <v>0</v>
      </c>
      <c r="CF77" s="469" t="s">
        <v>65</v>
      </c>
      <c r="CG77" s="509"/>
    </row>
    <row r="78" spans="2:85" s="40" customFormat="1" ht="30.75" customHeight="1" x14ac:dyDescent="0.2">
      <c r="B78" s="449" t="s">
        <v>155</v>
      </c>
      <c r="C78" s="450" t="s">
        <v>598</v>
      </c>
      <c r="D78" s="451" t="s">
        <v>258</v>
      </c>
      <c r="E78" s="450" t="s">
        <v>167</v>
      </c>
      <c r="F78" s="451">
        <v>97.438271</v>
      </c>
      <c r="G78" s="451">
        <v>25.351655000000001</v>
      </c>
      <c r="H78" s="451" t="s">
        <v>449</v>
      </c>
      <c r="I78" s="451" t="s">
        <v>214</v>
      </c>
      <c r="J78" s="452">
        <v>67</v>
      </c>
      <c r="K78" s="452">
        <v>315</v>
      </c>
      <c r="L78" s="452">
        <v>151</v>
      </c>
      <c r="M78" s="362" t="str">
        <f t="shared" si="70"/>
        <v>2. Medium</v>
      </c>
      <c r="N78" s="701" t="s">
        <v>833</v>
      </c>
      <c r="O78" s="453" t="s">
        <v>235</v>
      </c>
      <c r="P78" s="461" t="s">
        <v>235</v>
      </c>
      <c r="Q78" s="382" t="str">
        <f t="shared" si="71"/>
        <v>Covered</v>
      </c>
      <c r="R78" s="462">
        <v>42429</v>
      </c>
      <c r="S78" s="453" t="s">
        <v>253</v>
      </c>
      <c r="T78" s="380" t="str">
        <f t="shared" si="72"/>
        <v>Documented</v>
      </c>
      <c r="U78" s="468">
        <v>0</v>
      </c>
      <c r="V78" s="452">
        <v>0</v>
      </c>
      <c r="W78" s="469" t="s">
        <v>19</v>
      </c>
      <c r="X78" s="468">
        <v>2</v>
      </c>
      <c r="Y78" s="474">
        <v>1</v>
      </c>
      <c r="Z78" s="475">
        <v>0</v>
      </c>
      <c r="AA78" s="481">
        <v>0</v>
      </c>
      <c r="AB78" s="482">
        <v>1</v>
      </c>
      <c r="AC78" s="385">
        <f t="shared" si="79"/>
        <v>1</v>
      </c>
      <c r="AD78" s="364">
        <f t="shared" si="80"/>
        <v>151</v>
      </c>
      <c r="AE78" s="365">
        <f t="shared" si="81"/>
        <v>1</v>
      </c>
      <c r="AF78" s="366">
        <f t="shared" si="82"/>
        <v>151</v>
      </c>
      <c r="AG78" s="363">
        <f t="shared" si="73"/>
        <v>1</v>
      </c>
      <c r="AH78" s="366">
        <f t="shared" si="83"/>
        <v>151</v>
      </c>
      <c r="AI78" s="367" t="str">
        <f t="shared" si="74"/>
        <v>80-100%</v>
      </c>
      <c r="AJ78" s="363">
        <f t="shared" si="75"/>
        <v>0</v>
      </c>
      <c r="AK78" s="368">
        <f t="shared" si="84"/>
        <v>0</v>
      </c>
      <c r="AL78" s="366">
        <f t="shared" si="85"/>
        <v>0</v>
      </c>
      <c r="AM78" s="366">
        <f t="shared" si="86"/>
        <v>67</v>
      </c>
      <c r="AN78" s="366">
        <f t="shared" si="87"/>
        <v>0</v>
      </c>
      <c r="AO78" s="485">
        <v>1</v>
      </c>
      <c r="AP78" s="486">
        <f t="shared" si="88"/>
        <v>151</v>
      </c>
      <c r="AQ78" s="475"/>
      <c r="AR78" s="732">
        <v>0</v>
      </c>
      <c r="AS78" s="452">
        <v>0</v>
      </c>
      <c r="AT78" s="452">
        <v>12</v>
      </c>
      <c r="AU78" s="452" t="s">
        <v>290</v>
      </c>
      <c r="AV78" s="369">
        <f t="shared" si="89"/>
        <v>1</v>
      </c>
      <c r="AW78" s="366">
        <f t="shared" si="90"/>
        <v>151</v>
      </c>
      <c r="AX78" s="369">
        <f t="shared" si="76"/>
        <v>0</v>
      </c>
      <c r="AY78" s="366">
        <f t="shared" si="91"/>
        <v>0</v>
      </c>
      <c r="AZ78" s="369">
        <f t="shared" si="92"/>
        <v>1</v>
      </c>
      <c r="BA78" s="366">
        <f t="shared" si="93"/>
        <v>151</v>
      </c>
      <c r="BB78" s="474">
        <v>0</v>
      </c>
      <c r="BC78" s="490">
        <v>1</v>
      </c>
      <c r="BD78" s="370">
        <f t="shared" si="94"/>
        <v>151</v>
      </c>
      <c r="BE78" s="371">
        <f t="shared" si="95"/>
        <v>0</v>
      </c>
      <c r="BF78" s="452">
        <v>2</v>
      </c>
      <c r="BG78" s="452" t="s">
        <v>291</v>
      </c>
      <c r="BH78" s="369">
        <f t="shared" si="96"/>
        <v>1</v>
      </c>
      <c r="BI78" s="366">
        <f t="shared" si="97"/>
        <v>151</v>
      </c>
      <c r="BJ78" s="371">
        <f t="shared" si="98"/>
        <v>1.1499999999999999</v>
      </c>
      <c r="BK78" s="490">
        <v>1</v>
      </c>
      <c r="BL78" s="366">
        <f t="shared" si="99"/>
        <v>151</v>
      </c>
      <c r="BM78" s="452">
        <v>3</v>
      </c>
      <c r="BN78" s="369">
        <f t="shared" si="100"/>
        <v>1</v>
      </c>
      <c r="BO78" s="371">
        <f t="shared" si="101"/>
        <v>0.14999999999999991</v>
      </c>
      <c r="BP78" s="478">
        <v>1</v>
      </c>
      <c r="BQ78" s="500" t="s">
        <v>760</v>
      </c>
      <c r="BR78" s="502">
        <v>42053</v>
      </c>
      <c r="BS78" s="372">
        <f t="shared" si="77"/>
        <v>42418</v>
      </c>
      <c r="BT78" s="452">
        <v>67</v>
      </c>
      <c r="BU78" s="452">
        <v>4</v>
      </c>
      <c r="BV78" s="373">
        <f t="shared" si="102"/>
        <v>0</v>
      </c>
      <c r="BW78" s="374">
        <f t="shared" si="103"/>
        <v>1</v>
      </c>
      <c r="BX78" s="366">
        <f t="shared" si="104"/>
        <v>151</v>
      </c>
      <c r="BY78" s="387">
        <f t="shared" si="78"/>
        <v>0</v>
      </c>
      <c r="BZ78" s="468"/>
      <c r="CA78" s="478">
        <v>0.8</v>
      </c>
      <c r="CB78" s="389">
        <f t="shared" si="105"/>
        <v>120.80000000000001</v>
      </c>
      <c r="CC78" s="468">
        <v>1</v>
      </c>
      <c r="CD78" s="375" t="str">
        <f t="shared" si="106"/>
        <v>Excellent coverage</v>
      </c>
      <c r="CE78" s="474">
        <v>0</v>
      </c>
      <c r="CF78" s="469" t="s">
        <v>293</v>
      </c>
      <c r="CG78" s="509"/>
    </row>
    <row r="79" spans="2:85" s="40" customFormat="1" ht="30.75" customHeight="1" x14ac:dyDescent="0.2">
      <c r="B79" s="449" t="s">
        <v>155</v>
      </c>
      <c r="C79" s="450" t="s">
        <v>599</v>
      </c>
      <c r="D79" s="451" t="s">
        <v>258</v>
      </c>
      <c r="E79" s="450" t="s">
        <v>168</v>
      </c>
      <c r="F79" s="451">
        <v>97.437568999999996</v>
      </c>
      <c r="G79" s="451">
        <v>25.346004000000001</v>
      </c>
      <c r="H79" s="451" t="s">
        <v>449</v>
      </c>
      <c r="I79" s="451" t="s">
        <v>214</v>
      </c>
      <c r="J79" s="452">
        <v>31</v>
      </c>
      <c r="K79" s="452">
        <v>169</v>
      </c>
      <c r="L79" s="452">
        <v>169</v>
      </c>
      <c r="M79" s="362" t="str">
        <f t="shared" si="70"/>
        <v>1. Small</v>
      </c>
      <c r="N79" s="701" t="s">
        <v>832</v>
      </c>
      <c r="O79" s="453" t="s">
        <v>276</v>
      </c>
      <c r="P79" s="461" t="s">
        <v>276</v>
      </c>
      <c r="Q79" s="382" t="str">
        <f t="shared" si="71"/>
        <v>Covered</v>
      </c>
      <c r="R79" s="462">
        <v>42216</v>
      </c>
      <c r="S79" s="453" t="s">
        <v>253</v>
      </c>
      <c r="T79" s="380" t="str">
        <f t="shared" si="72"/>
        <v>Documented</v>
      </c>
      <c r="U79" s="468">
        <v>0</v>
      </c>
      <c r="V79" s="452">
        <v>15210</v>
      </c>
      <c r="W79" s="469" t="s">
        <v>18</v>
      </c>
      <c r="X79" s="468">
        <v>2</v>
      </c>
      <c r="Y79" s="474">
        <v>0</v>
      </c>
      <c r="Z79" s="475">
        <v>3000</v>
      </c>
      <c r="AA79" s="481">
        <v>0</v>
      </c>
      <c r="AB79" s="482">
        <v>0</v>
      </c>
      <c r="AC79" s="385">
        <f t="shared" si="79"/>
        <v>1</v>
      </c>
      <c r="AD79" s="364">
        <f t="shared" si="80"/>
        <v>169</v>
      </c>
      <c r="AE79" s="365">
        <f t="shared" si="81"/>
        <v>1</v>
      </c>
      <c r="AF79" s="366">
        <f t="shared" si="82"/>
        <v>169</v>
      </c>
      <c r="AG79" s="363">
        <f t="shared" si="73"/>
        <v>1</v>
      </c>
      <c r="AH79" s="366">
        <f t="shared" si="83"/>
        <v>169</v>
      </c>
      <c r="AI79" s="367" t="str">
        <f t="shared" si="74"/>
        <v>80-100%</v>
      </c>
      <c r="AJ79" s="363">
        <f t="shared" si="75"/>
        <v>0</v>
      </c>
      <c r="AK79" s="368">
        <f t="shared" si="84"/>
        <v>0</v>
      </c>
      <c r="AL79" s="366">
        <f t="shared" si="85"/>
        <v>0</v>
      </c>
      <c r="AM79" s="366">
        <f t="shared" si="86"/>
        <v>0</v>
      </c>
      <c r="AN79" s="366">
        <f t="shared" si="87"/>
        <v>0</v>
      </c>
      <c r="AO79" s="485">
        <v>1</v>
      </c>
      <c r="AP79" s="486">
        <f t="shared" si="88"/>
        <v>169</v>
      </c>
      <c r="AQ79" s="475"/>
      <c r="AR79" s="732">
        <v>0</v>
      </c>
      <c r="AS79" s="452">
        <v>0</v>
      </c>
      <c r="AT79" s="452">
        <v>7</v>
      </c>
      <c r="AU79" s="452" t="s">
        <v>290</v>
      </c>
      <c r="AV79" s="369">
        <f t="shared" si="89"/>
        <v>0.82840236686390534</v>
      </c>
      <c r="AW79" s="366">
        <f t="shared" si="90"/>
        <v>140</v>
      </c>
      <c r="AX79" s="369">
        <f t="shared" si="76"/>
        <v>0</v>
      </c>
      <c r="AY79" s="366">
        <f t="shared" si="91"/>
        <v>0</v>
      </c>
      <c r="AZ79" s="369">
        <f t="shared" si="92"/>
        <v>0.82840236686390534</v>
      </c>
      <c r="BA79" s="366">
        <f t="shared" si="93"/>
        <v>140</v>
      </c>
      <c r="BB79" s="474">
        <v>0</v>
      </c>
      <c r="BC79" s="490">
        <v>0.83</v>
      </c>
      <c r="BD79" s="370">
        <f t="shared" si="94"/>
        <v>140.26999999999998</v>
      </c>
      <c r="BE79" s="371">
        <f t="shared" si="95"/>
        <v>1.4499999999999993</v>
      </c>
      <c r="BF79" s="452">
        <v>4</v>
      </c>
      <c r="BG79" s="452" t="s">
        <v>291</v>
      </c>
      <c r="BH79" s="369">
        <f t="shared" si="96"/>
        <v>1</v>
      </c>
      <c r="BI79" s="366">
        <f t="shared" si="97"/>
        <v>169</v>
      </c>
      <c r="BJ79" s="371">
        <f t="shared" si="98"/>
        <v>0</v>
      </c>
      <c r="BK79" s="490">
        <v>1</v>
      </c>
      <c r="BL79" s="366">
        <f t="shared" si="99"/>
        <v>169</v>
      </c>
      <c r="BM79" s="452">
        <v>3</v>
      </c>
      <c r="BN79" s="369">
        <f t="shared" si="100"/>
        <v>1</v>
      </c>
      <c r="BO79" s="371">
        <f t="shared" si="101"/>
        <v>0</v>
      </c>
      <c r="BP79" s="478">
        <v>1</v>
      </c>
      <c r="BQ79" s="500"/>
      <c r="BR79" s="502">
        <v>42048</v>
      </c>
      <c r="BS79" s="372">
        <f t="shared" si="77"/>
        <v>42413</v>
      </c>
      <c r="BT79" s="452">
        <v>31</v>
      </c>
      <c r="BU79" s="452">
        <v>5</v>
      </c>
      <c r="BV79" s="373">
        <f t="shared" si="102"/>
        <v>0</v>
      </c>
      <c r="BW79" s="374">
        <f t="shared" si="103"/>
        <v>1</v>
      </c>
      <c r="BX79" s="366">
        <f t="shared" si="104"/>
        <v>169</v>
      </c>
      <c r="BY79" s="387">
        <f t="shared" si="78"/>
        <v>0</v>
      </c>
      <c r="BZ79" s="468"/>
      <c r="CA79" s="478">
        <v>1</v>
      </c>
      <c r="CB79" s="389">
        <f t="shared" si="105"/>
        <v>169</v>
      </c>
      <c r="CC79" s="468">
        <v>2</v>
      </c>
      <c r="CD79" s="375" t="str">
        <f t="shared" si="106"/>
        <v>Excellent coverage</v>
      </c>
      <c r="CE79" s="474">
        <v>0</v>
      </c>
      <c r="CF79" s="469" t="s">
        <v>65</v>
      </c>
      <c r="CG79" s="509"/>
    </row>
    <row r="80" spans="2:85" s="40" customFormat="1" ht="30.75" customHeight="1" x14ac:dyDescent="0.2">
      <c r="B80" s="449" t="s">
        <v>155</v>
      </c>
      <c r="C80" s="450" t="s">
        <v>600</v>
      </c>
      <c r="D80" s="451" t="s">
        <v>258</v>
      </c>
      <c r="E80" s="450" t="s">
        <v>169</v>
      </c>
      <c r="F80" s="451">
        <v>97.432495000000003</v>
      </c>
      <c r="G80" s="451">
        <v>25.350809000000002</v>
      </c>
      <c r="H80" s="451" t="s">
        <v>449</v>
      </c>
      <c r="I80" s="451" t="s">
        <v>214</v>
      </c>
      <c r="J80" s="452">
        <v>91</v>
      </c>
      <c r="K80" s="452">
        <v>467</v>
      </c>
      <c r="L80" s="452">
        <v>467</v>
      </c>
      <c r="M80" s="362" t="str">
        <f t="shared" si="70"/>
        <v>2. Medium</v>
      </c>
      <c r="N80" s="701" t="s">
        <v>832</v>
      </c>
      <c r="O80" s="453" t="s">
        <v>276</v>
      </c>
      <c r="P80" s="461" t="s">
        <v>276</v>
      </c>
      <c r="Q80" s="382" t="str">
        <f t="shared" si="71"/>
        <v>Covered</v>
      </c>
      <c r="R80" s="462">
        <v>42216</v>
      </c>
      <c r="S80" s="453" t="s">
        <v>253</v>
      </c>
      <c r="T80" s="380" t="str">
        <f t="shared" si="72"/>
        <v>Documented</v>
      </c>
      <c r="U80" s="468">
        <v>0</v>
      </c>
      <c r="V80" s="452">
        <v>42030</v>
      </c>
      <c r="W80" s="469" t="s">
        <v>18</v>
      </c>
      <c r="X80" s="468">
        <v>4</v>
      </c>
      <c r="Y80" s="474">
        <v>0</v>
      </c>
      <c r="Z80" s="475">
        <v>3600</v>
      </c>
      <c r="AA80" s="481">
        <v>0</v>
      </c>
      <c r="AB80" s="482">
        <v>0</v>
      </c>
      <c r="AC80" s="385">
        <f t="shared" si="79"/>
        <v>1</v>
      </c>
      <c r="AD80" s="364">
        <f t="shared" si="80"/>
        <v>467</v>
      </c>
      <c r="AE80" s="365">
        <f t="shared" si="81"/>
        <v>1</v>
      </c>
      <c r="AF80" s="366">
        <f t="shared" si="82"/>
        <v>467</v>
      </c>
      <c r="AG80" s="363">
        <f t="shared" si="73"/>
        <v>1</v>
      </c>
      <c r="AH80" s="366">
        <f t="shared" si="83"/>
        <v>467</v>
      </c>
      <c r="AI80" s="367" t="str">
        <f t="shared" si="74"/>
        <v>80-100%</v>
      </c>
      <c r="AJ80" s="363">
        <f t="shared" si="75"/>
        <v>0</v>
      </c>
      <c r="AK80" s="368">
        <f t="shared" si="84"/>
        <v>0</v>
      </c>
      <c r="AL80" s="366">
        <f t="shared" si="85"/>
        <v>0</v>
      </c>
      <c r="AM80" s="366">
        <f t="shared" si="86"/>
        <v>0</v>
      </c>
      <c r="AN80" s="366">
        <f t="shared" si="87"/>
        <v>0</v>
      </c>
      <c r="AO80" s="485">
        <v>1</v>
      </c>
      <c r="AP80" s="486">
        <f t="shared" si="88"/>
        <v>467</v>
      </c>
      <c r="AQ80" s="475"/>
      <c r="AR80" s="732">
        <v>6</v>
      </c>
      <c r="AS80" s="452">
        <v>8</v>
      </c>
      <c r="AT80" s="452">
        <v>19</v>
      </c>
      <c r="AU80" s="452" t="s">
        <v>290</v>
      </c>
      <c r="AV80" s="369">
        <f t="shared" si="89"/>
        <v>1</v>
      </c>
      <c r="AW80" s="366">
        <f t="shared" si="90"/>
        <v>467</v>
      </c>
      <c r="AX80" s="369">
        <f t="shared" si="76"/>
        <v>0.1862955032119914</v>
      </c>
      <c r="AY80" s="366">
        <f t="shared" si="91"/>
        <v>86.999999999999986</v>
      </c>
      <c r="AZ80" s="369">
        <f t="shared" si="92"/>
        <v>0.8137044967880086</v>
      </c>
      <c r="BA80" s="366">
        <f t="shared" si="93"/>
        <v>380</v>
      </c>
      <c r="BB80" s="474">
        <v>0</v>
      </c>
      <c r="BC80" s="490">
        <v>1</v>
      </c>
      <c r="BD80" s="370">
        <f t="shared" si="94"/>
        <v>467</v>
      </c>
      <c r="BE80" s="371">
        <f t="shared" si="95"/>
        <v>4.3500000000000014</v>
      </c>
      <c r="BF80" s="452">
        <v>5</v>
      </c>
      <c r="BG80" s="452" t="s">
        <v>291</v>
      </c>
      <c r="BH80" s="369">
        <f t="shared" si="96"/>
        <v>1</v>
      </c>
      <c r="BI80" s="366">
        <f t="shared" si="97"/>
        <v>467</v>
      </c>
      <c r="BJ80" s="371">
        <f t="shared" si="98"/>
        <v>0</v>
      </c>
      <c r="BK80" s="490">
        <v>1</v>
      </c>
      <c r="BL80" s="366">
        <f t="shared" si="99"/>
        <v>467</v>
      </c>
      <c r="BM80" s="452">
        <v>6</v>
      </c>
      <c r="BN80" s="369">
        <f t="shared" si="100"/>
        <v>1</v>
      </c>
      <c r="BO80" s="371">
        <f t="shared" si="101"/>
        <v>0</v>
      </c>
      <c r="BP80" s="478">
        <v>1</v>
      </c>
      <c r="BQ80" s="500"/>
      <c r="BR80" s="502">
        <v>42048</v>
      </c>
      <c r="BS80" s="372">
        <f t="shared" si="77"/>
        <v>42413</v>
      </c>
      <c r="BT80" s="452">
        <v>91</v>
      </c>
      <c r="BU80" s="452">
        <v>5</v>
      </c>
      <c r="BV80" s="373">
        <f t="shared" si="102"/>
        <v>0</v>
      </c>
      <c r="BW80" s="374">
        <f t="shared" si="103"/>
        <v>1</v>
      </c>
      <c r="BX80" s="366">
        <f t="shared" si="104"/>
        <v>467</v>
      </c>
      <c r="BY80" s="387">
        <f t="shared" si="78"/>
        <v>0</v>
      </c>
      <c r="BZ80" s="468"/>
      <c r="CA80" s="478">
        <v>1</v>
      </c>
      <c r="CB80" s="389">
        <f t="shared" si="105"/>
        <v>467</v>
      </c>
      <c r="CC80" s="468">
        <v>2</v>
      </c>
      <c r="CD80" s="375" t="str">
        <f t="shared" si="106"/>
        <v>Excellent coverage</v>
      </c>
      <c r="CE80" s="474">
        <v>1</v>
      </c>
      <c r="CF80" s="469" t="s">
        <v>65</v>
      </c>
      <c r="CG80" s="509" t="s">
        <v>734</v>
      </c>
    </row>
    <row r="81" spans="2:85" s="40" customFormat="1" ht="30.75" customHeight="1" x14ac:dyDescent="0.2">
      <c r="B81" s="449" t="s">
        <v>155</v>
      </c>
      <c r="C81" s="450" t="s">
        <v>601</v>
      </c>
      <c r="D81" s="451" t="s">
        <v>261</v>
      </c>
      <c r="E81" s="450" t="s">
        <v>170</v>
      </c>
      <c r="F81" s="451">
        <v>98.025662999999994</v>
      </c>
      <c r="G81" s="451">
        <v>25.418084</v>
      </c>
      <c r="H81" s="451" t="s">
        <v>449</v>
      </c>
      <c r="I81" s="451" t="s">
        <v>222</v>
      </c>
      <c r="J81" s="452">
        <v>198</v>
      </c>
      <c r="K81" s="452">
        <v>872</v>
      </c>
      <c r="L81" s="452">
        <v>872</v>
      </c>
      <c r="M81" s="362" t="str">
        <f t="shared" si="70"/>
        <v>2. Medium</v>
      </c>
      <c r="N81" s="701" t="s">
        <v>833</v>
      </c>
      <c r="O81" s="453" t="s">
        <v>235</v>
      </c>
      <c r="P81" s="461" t="s">
        <v>235</v>
      </c>
      <c r="Q81" s="382" t="str">
        <f t="shared" si="71"/>
        <v>Covered</v>
      </c>
      <c r="R81" s="462">
        <v>42429</v>
      </c>
      <c r="S81" s="453" t="s">
        <v>253</v>
      </c>
      <c r="T81" s="380" t="str">
        <f t="shared" si="72"/>
        <v>Documented</v>
      </c>
      <c r="U81" s="468">
        <v>0</v>
      </c>
      <c r="V81" s="452">
        <v>0</v>
      </c>
      <c r="W81" s="469" t="s">
        <v>19</v>
      </c>
      <c r="X81" s="468">
        <v>0</v>
      </c>
      <c r="Y81" s="474">
        <v>0</v>
      </c>
      <c r="Z81" s="475">
        <v>18000</v>
      </c>
      <c r="AA81" s="481">
        <v>0</v>
      </c>
      <c r="AB81" s="482">
        <v>0</v>
      </c>
      <c r="AC81" s="385">
        <f t="shared" si="79"/>
        <v>1</v>
      </c>
      <c r="AD81" s="364">
        <f t="shared" si="80"/>
        <v>872</v>
      </c>
      <c r="AE81" s="365">
        <f t="shared" si="81"/>
        <v>1</v>
      </c>
      <c r="AF81" s="366">
        <f t="shared" si="82"/>
        <v>872</v>
      </c>
      <c r="AG81" s="363">
        <f t="shared" si="73"/>
        <v>1</v>
      </c>
      <c r="AH81" s="366">
        <f t="shared" si="83"/>
        <v>872</v>
      </c>
      <c r="AI81" s="367" t="str">
        <f t="shared" si="74"/>
        <v>80-100%</v>
      </c>
      <c r="AJ81" s="363">
        <f t="shared" si="75"/>
        <v>0</v>
      </c>
      <c r="AK81" s="368">
        <f t="shared" si="84"/>
        <v>0</v>
      </c>
      <c r="AL81" s="366">
        <f t="shared" si="85"/>
        <v>2.1800000000000002</v>
      </c>
      <c r="AM81" s="366">
        <f t="shared" si="86"/>
        <v>0</v>
      </c>
      <c r="AN81" s="366">
        <f t="shared" si="87"/>
        <v>0</v>
      </c>
      <c r="AO81" s="485">
        <v>1</v>
      </c>
      <c r="AP81" s="486">
        <f t="shared" si="88"/>
        <v>872</v>
      </c>
      <c r="AQ81" s="475"/>
      <c r="AR81" s="732">
        <v>44</v>
      </c>
      <c r="AS81" s="452">
        <v>44</v>
      </c>
      <c r="AT81" s="452">
        <v>0</v>
      </c>
      <c r="AU81" s="452" t="s">
        <v>290</v>
      </c>
      <c r="AV81" s="369">
        <f t="shared" si="89"/>
        <v>1</v>
      </c>
      <c r="AW81" s="366">
        <f t="shared" si="90"/>
        <v>872</v>
      </c>
      <c r="AX81" s="369">
        <f t="shared" si="76"/>
        <v>1</v>
      </c>
      <c r="AY81" s="366">
        <f t="shared" si="91"/>
        <v>872</v>
      </c>
      <c r="AZ81" s="369">
        <f t="shared" si="92"/>
        <v>0</v>
      </c>
      <c r="BA81" s="366">
        <f t="shared" si="93"/>
        <v>0</v>
      </c>
      <c r="BB81" s="474">
        <v>0</v>
      </c>
      <c r="BC81" s="490">
        <v>1</v>
      </c>
      <c r="BD81" s="370">
        <f t="shared" si="94"/>
        <v>872</v>
      </c>
      <c r="BE81" s="371">
        <f t="shared" si="95"/>
        <v>43.6</v>
      </c>
      <c r="BF81" s="452">
        <v>6</v>
      </c>
      <c r="BG81" s="452" t="s">
        <v>291</v>
      </c>
      <c r="BH81" s="369">
        <f t="shared" si="96"/>
        <v>0.68807339449541283</v>
      </c>
      <c r="BI81" s="366">
        <f t="shared" si="97"/>
        <v>600</v>
      </c>
      <c r="BJ81" s="371">
        <f t="shared" si="98"/>
        <v>2.7200000000000006</v>
      </c>
      <c r="BK81" s="490">
        <v>0.69</v>
      </c>
      <c r="BL81" s="366">
        <f t="shared" si="99"/>
        <v>601.67999999999995</v>
      </c>
      <c r="BM81" s="452">
        <v>24</v>
      </c>
      <c r="BN81" s="369">
        <f t="shared" si="100"/>
        <v>1</v>
      </c>
      <c r="BO81" s="371">
        <f t="shared" si="101"/>
        <v>0</v>
      </c>
      <c r="BP81" s="478">
        <v>1</v>
      </c>
      <c r="BQ81" s="500" t="s">
        <v>770</v>
      </c>
      <c r="BR81" s="502">
        <v>42053</v>
      </c>
      <c r="BS81" s="372">
        <f t="shared" si="77"/>
        <v>42418</v>
      </c>
      <c r="BT81" s="452">
        <v>198</v>
      </c>
      <c r="BU81" s="452">
        <v>4</v>
      </c>
      <c r="BV81" s="373">
        <f t="shared" si="102"/>
        <v>0</v>
      </c>
      <c r="BW81" s="374">
        <f t="shared" si="103"/>
        <v>1</v>
      </c>
      <c r="BX81" s="366">
        <f t="shared" si="104"/>
        <v>872</v>
      </c>
      <c r="BY81" s="387">
        <f t="shared" si="78"/>
        <v>0</v>
      </c>
      <c r="BZ81" s="468"/>
      <c r="CA81" s="478">
        <v>0.8</v>
      </c>
      <c r="CB81" s="389">
        <f t="shared" si="105"/>
        <v>697.6</v>
      </c>
      <c r="CC81" s="468">
        <v>3</v>
      </c>
      <c r="CD81" s="375" t="str">
        <f t="shared" si="106"/>
        <v>Excellent coverage</v>
      </c>
      <c r="CE81" s="474">
        <v>0</v>
      </c>
      <c r="CF81" s="469" t="s">
        <v>293</v>
      </c>
      <c r="CG81" s="509"/>
    </row>
    <row r="82" spans="2:85" s="40" customFormat="1" ht="30.75" customHeight="1" x14ac:dyDescent="0.25">
      <c r="B82" s="449" t="s">
        <v>155</v>
      </c>
      <c r="C82" s="450" t="s">
        <v>602</v>
      </c>
      <c r="D82" s="451" t="s">
        <v>258</v>
      </c>
      <c r="E82" s="450" t="s">
        <v>171</v>
      </c>
      <c r="F82" s="451">
        <v>97.427959999999999</v>
      </c>
      <c r="G82" s="451">
        <v>25.33351</v>
      </c>
      <c r="H82" s="451" t="s">
        <v>449</v>
      </c>
      <c r="I82" s="451" t="s">
        <v>214</v>
      </c>
      <c r="J82" s="452">
        <v>67</v>
      </c>
      <c r="K82" s="452">
        <v>307</v>
      </c>
      <c r="L82" s="452">
        <v>307</v>
      </c>
      <c r="M82" s="362" t="str">
        <f t="shared" si="70"/>
        <v>2. Medium</v>
      </c>
      <c r="N82" s="701" t="s">
        <v>832</v>
      </c>
      <c r="O82" s="453" t="s">
        <v>276</v>
      </c>
      <c r="P82" s="461" t="s">
        <v>276</v>
      </c>
      <c r="Q82" s="382" t="str">
        <f t="shared" si="71"/>
        <v>Covered</v>
      </c>
      <c r="R82" s="462">
        <v>42216</v>
      </c>
      <c r="S82" s="453" t="s">
        <v>253</v>
      </c>
      <c r="T82" s="380" t="str">
        <f t="shared" si="72"/>
        <v>Documented</v>
      </c>
      <c r="U82" s="468">
        <v>0</v>
      </c>
      <c r="V82" s="452">
        <v>47630</v>
      </c>
      <c r="W82" s="469" t="s">
        <v>18</v>
      </c>
      <c r="X82" s="468">
        <v>3</v>
      </c>
      <c r="Y82" s="474">
        <v>0</v>
      </c>
      <c r="Z82" s="475">
        <v>0</v>
      </c>
      <c r="AA82" s="481">
        <v>0</v>
      </c>
      <c r="AB82" s="482">
        <v>0</v>
      </c>
      <c r="AC82" s="385">
        <f t="shared" si="79"/>
        <v>1</v>
      </c>
      <c r="AD82" s="364">
        <f t="shared" si="80"/>
        <v>307</v>
      </c>
      <c r="AE82" s="365">
        <f t="shared" si="81"/>
        <v>1</v>
      </c>
      <c r="AF82" s="366">
        <f t="shared" si="82"/>
        <v>307</v>
      </c>
      <c r="AG82" s="363">
        <f t="shared" si="73"/>
        <v>1</v>
      </c>
      <c r="AH82" s="366">
        <f t="shared" si="83"/>
        <v>307</v>
      </c>
      <c r="AI82" s="367" t="str">
        <f t="shared" si="74"/>
        <v>80-100%</v>
      </c>
      <c r="AJ82" s="363">
        <f t="shared" si="75"/>
        <v>0</v>
      </c>
      <c r="AK82" s="368">
        <f t="shared" si="84"/>
        <v>0</v>
      </c>
      <c r="AL82" s="366">
        <f t="shared" si="85"/>
        <v>0</v>
      </c>
      <c r="AM82" s="366">
        <f t="shared" si="86"/>
        <v>0</v>
      </c>
      <c r="AN82" s="366">
        <f t="shared" si="87"/>
        <v>0</v>
      </c>
      <c r="AO82" s="485">
        <v>1</v>
      </c>
      <c r="AP82" s="486">
        <f t="shared" si="88"/>
        <v>307</v>
      </c>
      <c r="AQ82" s="475"/>
      <c r="AR82" s="732">
        <v>0</v>
      </c>
      <c r="AS82" s="452">
        <v>0</v>
      </c>
      <c r="AT82" s="452">
        <v>13</v>
      </c>
      <c r="AU82" s="452" t="s">
        <v>290</v>
      </c>
      <c r="AV82" s="369">
        <f t="shared" si="89"/>
        <v>0.84690553745928343</v>
      </c>
      <c r="AW82" s="366">
        <f t="shared" si="90"/>
        <v>260</v>
      </c>
      <c r="AX82" s="369">
        <f t="shared" si="76"/>
        <v>0</v>
      </c>
      <c r="AY82" s="366">
        <f t="shared" si="91"/>
        <v>0</v>
      </c>
      <c r="AZ82" s="369">
        <f t="shared" si="92"/>
        <v>0.84690553745928343</v>
      </c>
      <c r="BA82" s="366">
        <f t="shared" si="93"/>
        <v>260</v>
      </c>
      <c r="BB82" s="474">
        <v>0</v>
      </c>
      <c r="BC82" s="490">
        <v>0.85</v>
      </c>
      <c r="BD82" s="370">
        <f t="shared" si="94"/>
        <v>260.95</v>
      </c>
      <c r="BE82" s="371">
        <f t="shared" si="95"/>
        <v>2.3499999999999996</v>
      </c>
      <c r="BF82" s="452">
        <v>4</v>
      </c>
      <c r="BG82" s="452" t="s">
        <v>291</v>
      </c>
      <c r="BH82" s="369">
        <f t="shared" si="96"/>
        <v>1</v>
      </c>
      <c r="BI82" s="366">
        <f t="shared" si="97"/>
        <v>307</v>
      </c>
      <c r="BJ82" s="371">
        <f t="shared" si="98"/>
        <v>0</v>
      </c>
      <c r="BK82" s="490">
        <v>1</v>
      </c>
      <c r="BL82" s="366">
        <f t="shared" si="99"/>
        <v>307</v>
      </c>
      <c r="BM82" s="452">
        <v>9</v>
      </c>
      <c r="BN82" s="369">
        <f t="shared" si="100"/>
        <v>1</v>
      </c>
      <c r="BO82" s="371">
        <f t="shared" si="101"/>
        <v>0</v>
      </c>
      <c r="BP82" s="478">
        <v>1</v>
      </c>
      <c r="BQ82" s="500"/>
      <c r="BR82" s="502">
        <v>42048</v>
      </c>
      <c r="BS82" s="372">
        <f t="shared" si="77"/>
        <v>42413</v>
      </c>
      <c r="BT82" s="452">
        <v>67</v>
      </c>
      <c r="BU82" s="452">
        <v>5</v>
      </c>
      <c r="BV82" s="373">
        <f t="shared" si="102"/>
        <v>0</v>
      </c>
      <c r="BW82" s="374">
        <f t="shared" si="103"/>
        <v>1</v>
      </c>
      <c r="BX82" s="366">
        <f t="shared" si="104"/>
        <v>307</v>
      </c>
      <c r="BY82" s="387">
        <f t="shared" si="78"/>
        <v>0</v>
      </c>
      <c r="BZ82" s="468"/>
      <c r="CA82" s="478">
        <v>1</v>
      </c>
      <c r="CB82" s="389">
        <f t="shared" si="105"/>
        <v>307</v>
      </c>
      <c r="CC82" s="468">
        <v>2</v>
      </c>
      <c r="CD82" s="375" t="str">
        <f t="shared" si="106"/>
        <v>Excellent coverage</v>
      </c>
      <c r="CE82" s="474">
        <v>0</v>
      </c>
      <c r="CF82" s="469" t="s">
        <v>65</v>
      </c>
      <c r="CG82" s="510"/>
    </row>
    <row r="83" spans="2:85" s="40" customFormat="1" ht="30.75" customHeight="1" x14ac:dyDescent="0.2">
      <c r="B83" s="449" t="s">
        <v>155</v>
      </c>
      <c r="C83" s="450" t="s">
        <v>603</v>
      </c>
      <c r="D83" s="451" t="s">
        <v>258</v>
      </c>
      <c r="E83" s="450" t="s">
        <v>172</v>
      </c>
      <c r="F83" s="451">
        <v>97.443702000000002</v>
      </c>
      <c r="G83" s="451">
        <v>25.351241999999999</v>
      </c>
      <c r="H83" s="451" t="s">
        <v>449</v>
      </c>
      <c r="I83" s="451" t="s">
        <v>214</v>
      </c>
      <c r="J83" s="452">
        <v>85</v>
      </c>
      <c r="K83" s="452">
        <v>357</v>
      </c>
      <c r="L83" s="452">
        <v>179</v>
      </c>
      <c r="M83" s="362" t="str">
        <f t="shared" si="70"/>
        <v>2. Medium</v>
      </c>
      <c r="N83" s="701" t="s">
        <v>832</v>
      </c>
      <c r="O83" s="453" t="s">
        <v>276</v>
      </c>
      <c r="P83" s="461" t="s">
        <v>276</v>
      </c>
      <c r="Q83" s="382" t="str">
        <f t="shared" si="71"/>
        <v>Covered</v>
      </c>
      <c r="R83" s="462">
        <v>42216</v>
      </c>
      <c r="S83" s="453" t="s">
        <v>253</v>
      </c>
      <c r="T83" s="380" t="str">
        <f t="shared" si="72"/>
        <v>Documented</v>
      </c>
      <c r="U83" s="468">
        <v>0</v>
      </c>
      <c r="V83" s="452">
        <v>24120</v>
      </c>
      <c r="W83" s="469" t="s">
        <v>18</v>
      </c>
      <c r="X83" s="468">
        <v>3</v>
      </c>
      <c r="Y83" s="474">
        <v>0</v>
      </c>
      <c r="Z83" s="475">
        <v>3000</v>
      </c>
      <c r="AA83" s="481">
        <v>0</v>
      </c>
      <c r="AB83" s="482">
        <v>0</v>
      </c>
      <c r="AC83" s="385">
        <f t="shared" si="79"/>
        <v>1</v>
      </c>
      <c r="AD83" s="364">
        <f t="shared" si="80"/>
        <v>179</v>
      </c>
      <c r="AE83" s="365">
        <f t="shared" si="81"/>
        <v>1</v>
      </c>
      <c r="AF83" s="366">
        <f t="shared" si="82"/>
        <v>179</v>
      </c>
      <c r="AG83" s="363">
        <f t="shared" si="73"/>
        <v>1</v>
      </c>
      <c r="AH83" s="366">
        <f t="shared" si="83"/>
        <v>179</v>
      </c>
      <c r="AI83" s="367" t="str">
        <f t="shared" si="74"/>
        <v>80-100%</v>
      </c>
      <c r="AJ83" s="363">
        <f t="shared" si="75"/>
        <v>0</v>
      </c>
      <c r="AK83" s="368">
        <f t="shared" si="84"/>
        <v>0</v>
      </c>
      <c r="AL83" s="366">
        <f t="shared" si="85"/>
        <v>0</v>
      </c>
      <c r="AM83" s="366">
        <f t="shared" si="86"/>
        <v>0</v>
      </c>
      <c r="AN83" s="366">
        <f t="shared" si="87"/>
        <v>0</v>
      </c>
      <c r="AO83" s="485">
        <v>1</v>
      </c>
      <c r="AP83" s="486">
        <f t="shared" si="88"/>
        <v>179</v>
      </c>
      <c r="AQ83" s="475"/>
      <c r="AR83" s="732">
        <v>2</v>
      </c>
      <c r="AS83" s="452">
        <v>0</v>
      </c>
      <c r="AT83" s="452">
        <v>6</v>
      </c>
      <c r="AU83" s="452" t="s">
        <v>290</v>
      </c>
      <c r="AV83" s="369">
        <f t="shared" si="89"/>
        <v>0.67039106145251393</v>
      </c>
      <c r="AW83" s="366">
        <f t="shared" si="90"/>
        <v>119.99999999999999</v>
      </c>
      <c r="AX83" s="369">
        <f t="shared" si="76"/>
        <v>0</v>
      </c>
      <c r="AY83" s="366">
        <f t="shared" si="91"/>
        <v>0</v>
      </c>
      <c r="AZ83" s="369">
        <f t="shared" si="92"/>
        <v>0.67039106145251393</v>
      </c>
      <c r="BA83" s="366">
        <f t="shared" si="93"/>
        <v>119.99999999999999</v>
      </c>
      <c r="BB83" s="474">
        <v>0</v>
      </c>
      <c r="BC83" s="490">
        <v>0.68</v>
      </c>
      <c r="BD83" s="370">
        <f t="shared" si="94"/>
        <v>121.72000000000001</v>
      </c>
      <c r="BE83" s="371">
        <f t="shared" si="95"/>
        <v>2.9499999999999993</v>
      </c>
      <c r="BF83" s="452">
        <v>3</v>
      </c>
      <c r="BG83" s="452" t="s">
        <v>291</v>
      </c>
      <c r="BH83" s="369">
        <f t="shared" si="96"/>
        <v>1</v>
      </c>
      <c r="BI83" s="366">
        <f t="shared" si="97"/>
        <v>179</v>
      </c>
      <c r="BJ83" s="371">
        <f t="shared" si="98"/>
        <v>0.56999999999999984</v>
      </c>
      <c r="BK83" s="490">
        <v>1</v>
      </c>
      <c r="BL83" s="366">
        <f t="shared" si="99"/>
        <v>179</v>
      </c>
      <c r="BM83" s="452">
        <v>6</v>
      </c>
      <c r="BN83" s="369">
        <f t="shared" si="100"/>
        <v>1</v>
      </c>
      <c r="BO83" s="371">
        <f t="shared" si="101"/>
        <v>0</v>
      </c>
      <c r="BP83" s="478">
        <v>1</v>
      </c>
      <c r="BQ83" s="500"/>
      <c r="BR83" s="502">
        <v>42048</v>
      </c>
      <c r="BS83" s="372">
        <f t="shared" si="77"/>
        <v>42413</v>
      </c>
      <c r="BT83" s="452">
        <v>91</v>
      </c>
      <c r="BU83" s="452">
        <v>5</v>
      </c>
      <c r="BV83" s="373">
        <f t="shared" si="102"/>
        <v>0</v>
      </c>
      <c r="BW83" s="374">
        <f t="shared" si="103"/>
        <v>1</v>
      </c>
      <c r="BX83" s="366">
        <f t="shared" si="104"/>
        <v>179</v>
      </c>
      <c r="BY83" s="387">
        <f t="shared" si="78"/>
        <v>0</v>
      </c>
      <c r="BZ83" s="468"/>
      <c r="CA83" s="478">
        <v>1</v>
      </c>
      <c r="CB83" s="389">
        <f t="shared" si="105"/>
        <v>179</v>
      </c>
      <c r="CC83" s="468">
        <v>2</v>
      </c>
      <c r="CD83" s="375" t="str">
        <f t="shared" si="106"/>
        <v>Excellent coverage</v>
      </c>
      <c r="CE83" s="474">
        <v>0</v>
      </c>
      <c r="CF83" s="469" t="s">
        <v>65</v>
      </c>
      <c r="CG83" s="509"/>
    </row>
    <row r="84" spans="2:85" s="40" customFormat="1" ht="30.75" customHeight="1" x14ac:dyDescent="0.2">
      <c r="B84" s="449" t="s">
        <v>155</v>
      </c>
      <c r="C84" s="450" t="s">
        <v>604</v>
      </c>
      <c r="D84" s="451" t="s">
        <v>258</v>
      </c>
      <c r="E84" s="450" t="s">
        <v>173</v>
      </c>
      <c r="F84" s="451">
        <v>97.438259000000002</v>
      </c>
      <c r="G84" s="451">
        <v>25.355841999999999</v>
      </c>
      <c r="H84" s="451" t="s">
        <v>449</v>
      </c>
      <c r="I84" s="451" t="s">
        <v>214</v>
      </c>
      <c r="J84" s="452">
        <v>33</v>
      </c>
      <c r="K84" s="452">
        <v>85</v>
      </c>
      <c r="L84" s="452">
        <v>85</v>
      </c>
      <c r="M84" s="362" t="str">
        <f t="shared" si="70"/>
        <v>1. Small</v>
      </c>
      <c r="N84" s="701" t="s">
        <v>833</v>
      </c>
      <c r="O84" s="453" t="s">
        <v>235</v>
      </c>
      <c r="P84" s="461" t="s">
        <v>235</v>
      </c>
      <c r="Q84" s="382" t="str">
        <f t="shared" si="71"/>
        <v>Covered</v>
      </c>
      <c r="R84" s="462">
        <v>42429</v>
      </c>
      <c r="S84" s="453" t="s">
        <v>253</v>
      </c>
      <c r="T84" s="380" t="str">
        <f t="shared" si="72"/>
        <v>Documented</v>
      </c>
      <c r="U84" s="468">
        <v>0</v>
      </c>
      <c r="V84" s="452">
        <v>0</v>
      </c>
      <c r="W84" s="469" t="s">
        <v>19</v>
      </c>
      <c r="X84" s="468">
        <v>2</v>
      </c>
      <c r="Y84" s="474">
        <v>0</v>
      </c>
      <c r="Z84" s="475">
        <v>6000</v>
      </c>
      <c r="AA84" s="481">
        <v>0</v>
      </c>
      <c r="AB84" s="482">
        <v>1</v>
      </c>
      <c r="AC84" s="385">
        <f t="shared" si="79"/>
        <v>1</v>
      </c>
      <c r="AD84" s="364">
        <f t="shared" si="80"/>
        <v>85</v>
      </c>
      <c r="AE84" s="365">
        <f t="shared" si="81"/>
        <v>1</v>
      </c>
      <c r="AF84" s="366">
        <f t="shared" si="82"/>
        <v>85</v>
      </c>
      <c r="AG84" s="363">
        <f t="shared" si="73"/>
        <v>1</v>
      </c>
      <c r="AH84" s="366">
        <f t="shared" si="83"/>
        <v>85</v>
      </c>
      <c r="AI84" s="367" t="str">
        <f t="shared" si="74"/>
        <v>80-100%</v>
      </c>
      <c r="AJ84" s="363">
        <f t="shared" si="75"/>
        <v>0</v>
      </c>
      <c r="AK84" s="368">
        <f t="shared" si="84"/>
        <v>0</v>
      </c>
      <c r="AL84" s="366">
        <f t="shared" si="85"/>
        <v>0</v>
      </c>
      <c r="AM84" s="366">
        <f t="shared" si="86"/>
        <v>33</v>
      </c>
      <c r="AN84" s="366">
        <f t="shared" si="87"/>
        <v>0</v>
      </c>
      <c r="AO84" s="485">
        <v>1</v>
      </c>
      <c r="AP84" s="486">
        <f t="shared" si="88"/>
        <v>85</v>
      </c>
      <c r="AQ84" s="475"/>
      <c r="AR84" s="732">
        <v>0</v>
      </c>
      <c r="AS84" s="452">
        <v>0</v>
      </c>
      <c r="AT84" s="452">
        <v>16</v>
      </c>
      <c r="AU84" s="452" t="s">
        <v>291</v>
      </c>
      <c r="AV84" s="369">
        <f t="shared" si="89"/>
        <v>1</v>
      </c>
      <c r="AW84" s="366">
        <f t="shared" si="90"/>
        <v>85</v>
      </c>
      <c r="AX84" s="369">
        <f t="shared" si="76"/>
        <v>0</v>
      </c>
      <c r="AY84" s="366">
        <f t="shared" si="91"/>
        <v>0</v>
      </c>
      <c r="AZ84" s="369">
        <f t="shared" si="92"/>
        <v>1</v>
      </c>
      <c r="BA84" s="366">
        <f t="shared" si="93"/>
        <v>85</v>
      </c>
      <c r="BB84" s="474">
        <v>0</v>
      </c>
      <c r="BC84" s="490">
        <v>1</v>
      </c>
      <c r="BD84" s="370">
        <f t="shared" si="94"/>
        <v>85</v>
      </c>
      <c r="BE84" s="371">
        <f t="shared" si="95"/>
        <v>0</v>
      </c>
      <c r="BF84" s="452">
        <v>1</v>
      </c>
      <c r="BG84" s="452" t="s">
        <v>89</v>
      </c>
      <c r="BH84" s="369">
        <f t="shared" si="96"/>
        <v>1</v>
      </c>
      <c r="BI84" s="366">
        <f t="shared" si="97"/>
        <v>85</v>
      </c>
      <c r="BJ84" s="371">
        <f t="shared" si="98"/>
        <v>0</v>
      </c>
      <c r="BK84" s="490">
        <v>1</v>
      </c>
      <c r="BL84" s="366">
        <f t="shared" si="99"/>
        <v>85</v>
      </c>
      <c r="BM84" s="452">
        <v>3</v>
      </c>
      <c r="BN84" s="369">
        <f t="shared" si="100"/>
        <v>1</v>
      </c>
      <c r="BO84" s="371">
        <f t="shared" si="101"/>
        <v>0</v>
      </c>
      <c r="BP84" s="478">
        <v>1</v>
      </c>
      <c r="BQ84" s="500"/>
      <c r="BR84" s="502">
        <v>42053</v>
      </c>
      <c r="BS84" s="372">
        <f t="shared" si="77"/>
        <v>42418</v>
      </c>
      <c r="BT84" s="452">
        <v>33</v>
      </c>
      <c r="BU84" s="452">
        <v>4</v>
      </c>
      <c r="BV84" s="373">
        <f t="shared" si="102"/>
        <v>0</v>
      </c>
      <c r="BW84" s="374">
        <f t="shared" si="103"/>
        <v>1</v>
      </c>
      <c r="BX84" s="366">
        <f t="shared" si="104"/>
        <v>85</v>
      </c>
      <c r="BY84" s="387">
        <f t="shared" si="78"/>
        <v>0</v>
      </c>
      <c r="BZ84" s="468"/>
      <c r="CA84" s="478">
        <v>0.8</v>
      </c>
      <c r="CB84" s="389">
        <f t="shared" si="105"/>
        <v>68</v>
      </c>
      <c r="CC84" s="468">
        <v>1</v>
      </c>
      <c r="CD84" s="375" t="str">
        <f t="shared" si="106"/>
        <v>Excellent coverage</v>
      </c>
      <c r="CE84" s="474">
        <v>0</v>
      </c>
      <c r="CF84" s="469" t="s">
        <v>293</v>
      </c>
      <c r="CG84" s="509"/>
    </row>
    <row r="85" spans="2:85" s="40" customFormat="1" ht="30.75" customHeight="1" x14ac:dyDescent="0.2">
      <c r="B85" s="449" t="s">
        <v>155</v>
      </c>
      <c r="C85" s="450" t="s">
        <v>605</v>
      </c>
      <c r="D85" s="451" t="s">
        <v>261</v>
      </c>
      <c r="E85" s="450" t="s">
        <v>694</v>
      </c>
      <c r="F85" s="451"/>
      <c r="G85" s="451"/>
      <c r="H85" s="451" t="s">
        <v>449</v>
      </c>
      <c r="I85" s="451" t="s">
        <v>222</v>
      </c>
      <c r="J85" s="452">
        <v>48</v>
      </c>
      <c r="K85" s="452">
        <v>218</v>
      </c>
      <c r="L85" s="452">
        <v>218</v>
      </c>
      <c r="M85" s="362" t="str">
        <f t="shared" si="70"/>
        <v>1. Small</v>
      </c>
      <c r="N85" s="701" t="s">
        <v>835</v>
      </c>
      <c r="O85" s="453" t="s">
        <v>277</v>
      </c>
      <c r="P85" s="461" t="s">
        <v>233</v>
      </c>
      <c r="Q85" s="382" t="str">
        <f t="shared" si="71"/>
        <v>Covered</v>
      </c>
      <c r="R85" s="462">
        <v>42521</v>
      </c>
      <c r="S85" s="453" t="s">
        <v>253</v>
      </c>
      <c r="T85" s="380" t="str">
        <f t="shared" si="72"/>
        <v>Documented</v>
      </c>
      <c r="U85" s="468">
        <v>0</v>
      </c>
      <c r="V85" s="452">
        <v>0</v>
      </c>
      <c r="W85" s="469" t="s">
        <v>19</v>
      </c>
      <c r="X85" s="468">
        <v>0</v>
      </c>
      <c r="Y85" s="474">
        <v>0</v>
      </c>
      <c r="Z85" s="475">
        <v>30240</v>
      </c>
      <c r="AA85" s="481">
        <v>0</v>
      </c>
      <c r="AB85" s="482">
        <v>1</v>
      </c>
      <c r="AC85" s="385">
        <f t="shared" si="79"/>
        <v>1</v>
      </c>
      <c r="AD85" s="364">
        <f t="shared" si="80"/>
        <v>218</v>
      </c>
      <c r="AE85" s="365">
        <f t="shared" si="81"/>
        <v>1</v>
      </c>
      <c r="AF85" s="366">
        <f t="shared" si="82"/>
        <v>218</v>
      </c>
      <c r="AG85" s="363">
        <f t="shared" si="73"/>
        <v>1</v>
      </c>
      <c r="AH85" s="366">
        <f t="shared" si="83"/>
        <v>218</v>
      </c>
      <c r="AI85" s="367" t="str">
        <f t="shared" si="74"/>
        <v>80-100%</v>
      </c>
      <c r="AJ85" s="363">
        <f t="shared" si="75"/>
        <v>0</v>
      </c>
      <c r="AK85" s="368">
        <f t="shared" si="84"/>
        <v>0</v>
      </c>
      <c r="AL85" s="366">
        <f t="shared" si="85"/>
        <v>0.54500000000000004</v>
      </c>
      <c r="AM85" s="366">
        <f t="shared" si="86"/>
        <v>48</v>
      </c>
      <c r="AN85" s="366">
        <f t="shared" si="87"/>
        <v>0</v>
      </c>
      <c r="AO85" s="485">
        <v>1</v>
      </c>
      <c r="AP85" s="486">
        <f t="shared" si="88"/>
        <v>218</v>
      </c>
      <c r="AQ85" s="475"/>
      <c r="AR85" s="732">
        <v>0</v>
      </c>
      <c r="AS85" s="452">
        <v>0</v>
      </c>
      <c r="AT85" s="452">
        <v>12</v>
      </c>
      <c r="AU85" s="452" t="s">
        <v>89</v>
      </c>
      <c r="AV85" s="369">
        <f t="shared" si="89"/>
        <v>1</v>
      </c>
      <c r="AW85" s="366">
        <f t="shared" si="90"/>
        <v>218</v>
      </c>
      <c r="AX85" s="369">
        <f t="shared" si="76"/>
        <v>0</v>
      </c>
      <c r="AY85" s="366">
        <f t="shared" si="91"/>
        <v>0</v>
      </c>
      <c r="AZ85" s="369">
        <f t="shared" si="92"/>
        <v>1</v>
      </c>
      <c r="BA85" s="366">
        <f t="shared" si="93"/>
        <v>218</v>
      </c>
      <c r="BB85" s="474">
        <v>0</v>
      </c>
      <c r="BC85" s="490">
        <v>1</v>
      </c>
      <c r="BD85" s="370">
        <f t="shared" si="94"/>
        <v>218</v>
      </c>
      <c r="BE85" s="371">
        <f t="shared" si="95"/>
        <v>0</v>
      </c>
      <c r="BF85" s="452">
        <v>4</v>
      </c>
      <c r="BG85" s="452" t="s">
        <v>89</v>
      </c>
      <c r="BH85" s="369">
        <f t="shared" si="96"/>
        <v>1</v>
      </c>
      <c r="BI85" s="366">
        <f t="shared" si="97"/>
        <v>218</v>
      </c>
      <c r="BJ85" s="371">
        <f t="shared" si="98"/>
        <v>0</v>
      </c>
      <c r="BK85" s="490">
        <v>1</v>
      </c>
      <c r="BL85" s="366">
        <f t="shared" si="99"/>
        <v>218</v>
      </c>
      <c r="BM85" s="452">
        <v>6</v>
      </c>
      <c r="BN85" s="369">
        <f t="shared" si="100"/>
        <v>1</v>
      </c>
      <c r="BO85" s="371">
        <f t="shared" si="101"/>
        <v>0</v>
      </c>
      <c r="BP85" s="478">
        <v>1</v>
      </c>
      <c r="BQ85" s="500"/>
      <c r="BR85" s="502">
        <v>41730</v>
      </c>
      <c r="BS85" s="372" t="str">
        <f t="shared" si="77"/>
        <v>To be realised</v>
      </c>
      <c r="BT85" s="452">
        <v>48</v>
      </c>
      <c r="BU85" s="452">
        <v>13</v>
      </c>
      <c r="BV85" s="373">
        <f t="shared" si="102"/>
        <v>48</v>
      </c>
      <c r="BW85" s="374">
        <f t="shared" si="103"/>
        <v>0</v>
      </c>
      <c r="BX85" s="366">
        <f t="shared" si="104"/>
        <v>0</v>
      </c>
      <c r="BY85" s="387">
        <f t="shared" si="78"/>
        <v>2</v>
      </c>
      <c r="BZ85" s="468" t="s">
        <v>879</v>
      </c>
      <c r="CA85" s="478">
        <v>0.5</v>
      </c>
      <c r="CB85" s="389">
        <f t="shared" si="105"/>
        <v>109</v>
      </c>
      <c r="CC85" s="468">
        <v>0</v>
      </c>
      <c r="CD85" s="375" t="str">
        <f t="shared" si="106"/>
        <v>No coverage</v>
      </c>
      <c r="CE85" s="474">
        <v>0</v>
      </c>
      <c r="CF85" s="469" t="s">
        <v>66</v>
      </c>
      <c r="CG85" s="509"/>
    </row>
    <row r="86" spans="2:85" s="40" customFormat="1" ht="30.75" customHeight="1" x14ac:dyDescent="0.2">
      <c r="B86" s="449" t="s">
        <v>155</v>
      </c>
      <c r="C86" s="450" t="s">
        <v>605</v>
      </c>
      <c r="D86" s="451" t="s">
        <v>261</v>
      </c>
      <c r="E86" s="450" t="s">
        <v>695</v>
      </c>
      <c r="F86" s="451">
        <v>97.567116999999996</v>
      </c>
      <c r="G86" s="451">
        <v>24.768383</v>
      </c>
      <c r="H86" s="451" t="s">
        <v>460</v>
      </c>
      <c r="I86" s="451" t="s">
        <v>222</v>
      </c>
      <c r="J86" s="452">
        <v>659</v>
      </c>
      <c r="K86" s="452">
        <v>3541</v>
      </c>
      <c r="L86" s="452">
        <v>3541</v>
      </c>
      <c r="M86" s="362" t="str">
        <f t="shared" si="70"/>
        <v>4. Big</v>
      </c>
      <c r="N86" s="701" t="s">
        <v>835</v>
      </c>
      <c r="O86" s="453"/>
      <c r="P86" s="461" t="s">
        <v>233</v>
      </c>
      <c r="Q86" s="382" t="str">
        <f t="shared" si="71"/>
        <v>Covered</v>
      </c>
      <c r="R86" s="462">
        <v>42521</v>
      </c>
      <c r="S86" s="453" t="s">
        <v>253</v>
      </c>
      <c r="T86" s="380" t="str">
        <f t="shared" si="72"/>
        <v>Documented</v>
      </c>
      <c r="U86" s="468">
        <v>0</v>
      </c>
      <c r="V86" s="452">
        <v>0</v>
      </c>
      <c r="W86" s="469" t="s">
        <v>19</v>
      </c>
      <c r="X86" s="468">
        <v>3</v>
      </c>
      <c r="Y86" s="474">
        <v>0</v>
      </c>
      <c r="Z86" s="475">
        <v>70000</v>
      </c>
      <c r="AA86" s="481">
        <v>0</v>
      </c>
      <c r="AB86" s="482">
        <v>1</v>
      </c>
      <c r="AC86" s="385">
        <f t="shared" si="79"/>
        <v>1</v>
      </c>
      <c r="AD86" s="364">
        <f t="shared" si="80"/>
        <v>3541</v>
      </c>
      <c r="AE86" s="365">
        <f t="shared" si="81"/>
        <v>1</v>
      </c>
      <c r="AF86" s="366">
        <f t="shared" si="82"/>
        <v>3541</v>
      </c>
      <c r="AG86" s="363">
        <f t="shared" si="73"/>
        <v>1</v>
      </c>
      <c r="AH86" s="366">
        <f t="shared" si="83"/>
        <v>3541</v>
      </c>
      <c r="AI86" s="367" t="str">
        <f t="shared" si="74"/>
        <v>80-100%</v>
      </c>
      <c r="AJ86" s="363">
        <f t="shared" si="75"/>
        <v>0</v>
      </c>
      <c r="AK86" s="368">
        <f t="shared" si="84"/>
        <v>0</v>
      </c>
      <c r="AL86" s="366">
        <f t="shared" si="85"/>
        <v>5.8524999999999991</v>
      </c>
      <c r="AM86" s="366">
        <f t="shared" si="86"/>
        <v>659</v>
      </c>
      <c r="AN86" s="366">
        <f t="shared" si="87"/>
        <v>0</v>
      </c>
      <c r="AO86" s="485">
        <v>1</v>
      </c>
      <c r="AP86" s="486">
        <f t="shared" si="88"/>
        <v>3541</v>
      </c>
      <c r="AQ86" s="475"/>
      <c r="AR86" s="732">
        <v>0</v>
      </c>
      <c r="AS86" s="452">
        <v>0</v>
      </c>
      <c r="AT86" s="452">
        <v>659</v>
      </c>
      <c r="AU86" s="452" t="s">
        <v>89</v>
      </c>
      <c r="AV86" s="369">
        <f t="shared" si="89"/>
        <v>1</v>
      </c>
      <c r="AW86" s="366">
        <f t="shared" si="90"/>
        <v>3541</v>
      </c>
      <c r="AX86" s="369">
        <f t="shared" si="76"/>
        <v>0</v>
      </c>
      <c r="AY86" s="366">
        <f t="shared" si="91"/>
        <v>0</v>
      </c>
      <c r="AZ86" s="369">
        <f t="shared" si="92"/>
        <v>1</v>
      </c>
      <c r="BA86" s="366">
        <f t="shared" si="93"/>
        <v>3541</v>
      </c>
      <c r="BB86" s="474">
        <v>0</v>
      </c>
      <c r="BC86" s="490">
        <v>1</v>
      </c>
      <c r="BD86" s="370">
        <f t="shared" si="94"/>
        <v>3541</v>
      </c>
      <c r="BE86" s="371">
        <f t="shared" si="95"/>
        <v>0</v>
      </c>
      <c r="BF86" s="452">
        <v>0</v>
      </c>
      <c r="BG86" s="452" t="s">
        <v>89</v>
      </c>
      <c r="BH86" s="369">
        <f t="shared" si="96"/>
        <v>0</v>
      </c>
      <c r="BI86" s="366">
        <f t="shared" si="97"/>
        <v>0</v>
      </c>
      <c r="BJ86" s="371">
        <f t="shared" si="98"/>
        <v>35.409999999999997</v>
      </c>
      <c r="BK86" s="490">
        <v>0</v>
      </c>
      <c r="BL86" s="366">
        <f t="shared" si="99"/>
        <v>0</v>
      </c>
      <c r="BM86" s="452">
        <v>0</v>
      </c>
      <c r="BN86" s="369">
        <f t="shared" si="100"/>
        <v>0</v>
      </c>
      <c r="BO86" s="371">
        <f t="shared" si="101"/>
        <v>35.409999999999997</v>
      </c>
      <c r="BP86" s="478">
        <v>0</v>
      </c>
      <c r="BQ86" s="500" t="s">
        <v>761</v>
      </c>
      <c r="BR86" s="502">
        <v>41730</v>
      </c>
      <c r="BS86" s="372" t="str">
        <f>IF(BR86="","To be realised",IF(BR86="n/a","n/a",IF(BR86+365&lt;$E$2,"To be realised",BR86+365)))</f>
        <v>To be realised</v>
      </c>
      <c r="BT86" s="452">
        <v>659</v>
      </c>
      <c r="BU86" s="452">
        <v>13</v>
      </c>
      <c r="BV86" s="373">
        <f t="shared" si="102"/>
        <v>659</v>
      </c>
      <c r="BW86" s="374">
        <f t="shared" si="103"/>
        <v>0</v>
      </c>
      <c r="BX86" s="366">
        <f t="shared" si="104"/>
        <v>0</v>
      </c>
      <c r="BY86" s="387">
        <f>IF(BR86="","Column BN to be completed", IF(BR86="n/a",0,IF(($E$2-BR86-30)/30-BU86&lt;0,0,ROUND((($E$2-BR86-30)/30-BU86),0))))</f>
        <v>2</v>
      </c>
      <c r="BZ86" s="468" t="s">
        <v>879</v>
      </c>
      <c r="CA86" s="478">
        <v>0</v>
      </c>
      <c r="CB86" s="389">
        <f t="shared" si="105"/>
        <v>0</v>
      </c>
      <c r="CC86" s="468">
        <v>0</v>
      </c>
      <c r="CD86" s="375" t="str">
        <f t="shared" si="106"/>
        <v>No coverage</v>
      </c>
      <c r="CE86" s="474">
        <v>0</v>
      </c>
      <c r="CF86" s="469" t="s">
        <v>66</v>
      </c>
      <c r="CG86" s="509"/>
    </row>
    <row r="87" spans="2:85" s="40" customFormat="1" ht="30.75" customHeight="1" x14ac:dyDescent="0.2">
      <c r="B87" s="449" t="s">
        <v>155</v>
      </c>
      <c r="C87" s="450" t="s">
        <v>605</v>
      </c>
      <c r="D87" s="451" t="s">
        <v>261</v>
      </c>
      <c r="E87" s="450" t="s">
        <v>174</v>
      </c>
      <c r="F87" s="451">
        <v>97.567116999999996</v>
      </c>
      <c r="G87" s="451">
        <v>24.768383</v>
      </c>
      <c r="H87" s="451" t="s">
        <v>449</v>
      </c>
      <c r="I87" s="451" t="s">
        <v>222</v>
      </c>
      <c r="J87" s="452">
        <v>281</v>
      </c>
      <c r="K87" s="452">
        <v>1534</v>
      </c>
      <c r="L87" s="452">
        <v>1534</v>
      </c>
      <c r="M87" s="362" t="str">
        <f t="shared" si="70"/>
        <v>3. Large</v>
      </c>
      <c r="N87" s="701" t="s">
        <v>835</v>
      </c>
      <c r="O87" s="453" t="s">
        <v>277</v>
      </c>
      <c r="P87" s="461" t="s">
        <v>233</v>
      </c>
      <c r="Q87" s="382" t="str">
        <f t="shared" si="71"/>
        <v>Covered</v>
      </c>
      <c r="R87" s="462">
        <v>42521</v>
      </c>
      <c r="S87" s="453" t="s">
        <v>253</v>
      </c>
      <c r="T87" s="380" t="str">
        <f t="shared" si="72"/>
        <v>Documented</v>
      </c>
      <c r="U87" s="468">
        <v>0</v>
      </c>
      <c r="V87" s="452">
        <v>0</v>
      </c>
      <c r="W87" s="469" t="s">
        <v>19</v>
      </c>
      <c r="X87" s="468">
        <v>0</v>
      </c>
      <c r="Y87" s="474">
        <v>0</v>
      </c>
      <c r="Z87" s="475">
        <v>53805</v>
      </c>
      <c r="AA87" s="481">
        <v>0</v>
      </c>
      <c r="AB87" s="482">
        <v>1</v>
      </c>
      <c r="AC87" s="385">
        <f t="shared" si="79"/>
        <v>1</v>
      </c>
      <c r="AD87" s="364">
        <f t="shared" si="80"/>
        <v>1534</v>
      </c>
      <c r="AE87" s="365">
        <f t="shared" si="81"/>
        <v>1</v>
      </c>
      <c r="AF87" s="366">
        <f t="shared" si="82"/>
        <v>1534</v>
      </c>
      <c r="AG87" s="363">
        <f t="shared" si="73"/>
        <v>1</v>
      </c>
      <c r="AH87" s="366">
        <f t="shared" si="83"/>
        <v>1534</v>
      </c>
      <c r="AI87" s="367" t="str">
        <f t="shared" si="74"/>
        <v>80-100%</v>
      </c>
      <c r="AJ87" s="363">
        <f t="shared" si="75"/>
        <v>0</v>
      </c>
      <c r="AK87" s="368">
        <f t="shared" si="84"/>
        <v>0</v>
      </c>
      <c r="AL87" s="366">
        <f t="shared" si="85"/>
        <v>3.835</v>
      </c>
      <c r="AM87" s="366">
        <f t="shared" si="86"/>
        <v>281</v>
      </c>
      <c r="AN87" s="366">
        <f t="shared" si="87"/>
        <v>0</v>
      </c>
      <c r="AO87" s="485">
        <v>1</v>
      </c>
      <c r="AP87" s="486">
        <f t="shared" si="88"/>
        <v>1534</v>
      </c>
      <c r="AQ87" s="475"/>
      <c r="AR87" s="732">
        <v>29</v>
      </c>
      <c r="AS87" s="452">
        <v>29</v>
      </c>
      <c r="AT87" s="452">
        <v>53</v>
      </c>
      <c r="AU87" s="452" t="s">
        <v>89</v>
      </c>
      <c r="AV87" s="369">
        <f t="shared" si="89"/>
        <v>1</v>
      </c>
      <c r="AW87" s="366">
        <f t="shared" si="90"/>
        <v>1534</v>
      </c>
      <c r="AX87" s="369">
        <f t="shared" si="76"/>
        <v>0.30899608865710559</v>
      </c>
      <c r="AY87" s="366">
        <f t="shared" si="91"/>
        <v>474</v>
      </c>
      <c r="AZ87" s="369">
        <f t="shared" si="92"/>
        <v>0.69100391134289441</v>
      </c>
      <c r="BA87" s="366">
        <f t="shared" si="93"/>
        <v>1060</v>
      </c>
      <c r="BB87" s="474">
        <v>0</v>
      </c>
      <c r="BC87" s="490">
        <v>1</v>
      </c>
      <c r="BD87" s="370">
        <f t="shared" si="94"/>
        <v>1534</v>
      </c>
      <c r="BE87" s="371">
        <f t="shared" si="95"/>
        <v>23.700000000000003</v>
      </c>
      <c r="BF87" s="452">
        <v>16</v>
      </c>
      <c r="BG87" s="452" t="s">
        <v>89</v>
      </c>
      <c r="BH87" s="369">
        <f t="shared" si="96"/>
        <v>1</v>
      </c>
      <c r="BI87" s="366">
        <f t="shared" si="97"/>
        <v>1534</v>
      </c>
      <c r="BJ87" s="371">
        <f t="shared" si="98"/>
        <v>0</v>
      </c>
      <c r="BK87" s="490">
        <v>1</v>
      </c>
      <c r="BL87" s="366">
        <f t="shared" si="99"/>
        <v>1534</v>
      </c>
      <c r="BM87" s="452">
        <v>7</v>
      </c>
      <c r="BN87" s="369">
        <f t="shared" si="100"/>
        <v>0.45632333767926986</v>
      </c>
      <c r="BO87" s="371">
        <f t="shared" si="101"/>
        <v>8.34</v>
      </c>
      <c r="BP87" s="478">
        <v>0.46</v>
      </c>
      <c r="BQ87" s="500" t="s">
        <v>858</v>
      </c>
      <c r="BR87" s="502">
        <v>41730</v>
      </c>
      <c r="BS87" s="372" t="str">
        <f t="shared" ref="BS87:BS149" si="107">IF(BR87="","To be realised",IF(BR87="n/a","n/a",IF(BR87+365&lt;$E$2,"To be realised",BR87+365)))</f>
        <v>To be realised</v>
      </c>
      <c r="BT87" s="452">
        <v>281</v>
      </c>
      <c r="BU87" s="452">
        <v>13</v>
      </c>
      <c r="BV87" s="373">
        <f t="shared" si="102"/>
        <v>281</v>
      </c>
      <c r="BW87" s="374">
        <f t="shared" si="103"/>
        <v>0</v>
      </c>
      <c r="BX87" s="366">
        <f t="shared" si="104"/>
        <v>0</v>
      </c>
      <c r="BY87" s="387">
        <f t="shared" ref="BY87:BY149" si="108">IF(BR87="","Column BN to be completed", IF(BR87="n/a",0,IF(($E$2-BR87-30)/30-BU87&lt;0,0,ROUND((($E$2-BR87-30)/30-BU87),0))))</f>
        <v>2</v>
      </c>
      <c r="BZ87" s="468" t="s">
        <v>879</v>
      </c>
      <c r="CA87" s="478">
        <v>0.5</v>
      </c>
      <c r="CB87" s="389">
        <f t="shared" si="105"/>
        <v>767</v>
      </c>
      <c r="CC87" s="468">
        <v>5</v>
      </c>
      <c r="CD87" s="375" t="str">
        <f t="shared" si="106"/>
        <v>Excellent coverage</v>
      </c>
      <c r="CE87" s="474">
        <v>0</v>
      </c>
      <c r="CF87" s="469" t="s">
        <v>293</v>
      </c>
      <c r="CG87" s="509"/>
    </row>
    <row r="88" spans="2:85" s="40" customFormat="1" ht="30.75" customHeight="1" x14ac:dyDescent="0.2">
      <c r="B88" s="449" t="s">
        <v>155</v>
      </c>
      <c r="C88" s="450" t="s">
        <v>606</v>
      </c>
      <c r="D88" s="451" t="s">
        <v>261</v>
      </c>
      <c r="E88" s="450" t="s">
        <v>175</v>
      </c>
      <c r="F88" s="451">
        <v>97.756789999999995</v>
      </c>
      <c r="G88" s="451">
        <v>25.106670000000001</v>
      </c>
      <c r="H88" s="451" t="s">
        <v>449</v>
      </c>
      <c r="I88" s="451" t="s">
        <v>222</v>
      </c>
      <c r="J88" s="452">
        <v>646</v>
      </c>
      <c r="K88" s="452">
        <v>2440</v>
      </c>
      <c r="L88" s="452">
        <v>2440</v>
      </c>
      <c r="M88" s="362" t="str">
        <f t="shared" si="70"/>
        <v>4. Big</v>
      </c>
      <c r="N88" s="701" t="s">
        <v>833</v>
      </c>
      <c r="O88" s="453" t="s">
        <v>235</v>
      </c>
      <c r="P88" s="461" t="s">
        <v>235</v>
      </c>
      <c r="Q88" s="382" t="str">
        <f t="shared" si="71"/>
        <v>Covered</v>
      </c>
      <c r="R88" s="462">
        <v>42429</v>
      </c>
      <c r="S88" s="453" t="s">
        <v>253</v>
      </c>
      <c r="T88" s="380" t="str">
        <f t="shared" si="72"/>
        <v>Documented</v>
      </c>
      <c r="U88" s="468">
        <v>0</v>
      </c>
      <c r="V88" s="452">
        <v>0</v>
      </c>
      <c r="W88" s="469" t="s">
        <v>19</v>
      </c>
      <c r="X88" s="468">
        <v>0</v>
      </c>
      <c r="Y88" s="474">
        <v>0</v>
      </c>
      <c r="Z88" s="475">
        <v>40000</v>
      </c>
      <c r="AA88" s="481">
        <v>0</v>
      </c>
      <c r="AB88" s="482">
        <v>0</v>
      </c>
      <c r="AC88" s="385">
        <f t="shared" si="79"/>
        <v>1</v>
      </c>
      <c r="AD88" s="364">
        <f t="shared" si="80"/>
        <v>2440</v>
      </c>
      <c r="AE88" s="365">
        <f t="shared" si="81"/>
        <v>1</v>
      </c>
      <c r="AF88" s="366">
        <f t="shared" si="82"/>
        <v>2440</v>
      </c>
      <c r="AG88" s="363">
        <f t="shared" si="73"/>
        <v>1</v>
      </c>
      <c r="AH88" s="366">
        <f t="shared" si="83"/>
        <v>2440</v>
      </c>
      <c r="AI88" s="367" t="str">
        <f t="shared" si="74"/>
        <v>80-100%</v>
      </c>
      <c r="AJ88" s="363">
        <f t="shared" si="75"/>
        <v>0</v>
      </c>
      <c r="AK88" s="368">
        <f t="shared" si="84"/>
        <v>0</v>
      </c>
      <c r="AL88" s="366">
        <f t="shared" si="85"/>
        <v>6.1</v>
      </c>
      <c r="AM88" s="366">
        <f t="shared" si="86"/>
        <v>0</v>
      </c>
      <c r="AN88" s="366">
        <f t="shared" si="87"/>
        <v>0</v>
      </c>
      <c r="AO88" s="485">
        <v>1</v>
      </c>
      <c r="AP88" s="486">
        <f t="shared" si="88"/>
        <v>2440</v>
      </c>
      <c r="AQ88" s="475"/>
      <c r="AR88" s="732">
        <v>80</v>
      </c>
      <c r="AS88" s="452">
        <v>160</v>
      </c>
      <c r="AT88" s="452">
        <v>0</v>
      </c>
      <c r="AU88" s="452" t="s">
        <v>290</v>
      </c>
      <c r="AV88" s="369">
        <f t="shared" si="89"/>
        <v>1</v>
      </c>
      <c r="AW88" s="366">
        <f t="shared" si="90"/>
        <v>2440</v>
      </c>
      <c r="AX88" s="369">
        <f t="shared" si="76"/>
        <v>1</v>
      </c>
      <c r="AY88" s="366">
        <f t="shared" si="91"/>
        <v>2440</v>
      </c>
      <c r="AZ88" s="369">
        <f t="shared" si="92"/>
        <v>0</v>
      </c>
      <c r="BA88" s="366">
        <f t="shared" si="93"/>
        <v>0</v>
      </c>
      <c r="BB88" s="474">
        <v>0</v>
      </c>
      <c r="BC88" s="490">
        <v>1</v>
      </c>
      <c r="BD88" s="370">
        <f t="shared" si="94"/>
        <v>2440</v>
      </c>
      <c r="BE88" s="371">
        <f t="shared" si="95"/>
        <v>122</v>
      </c>
      <c r="BF88" s="452">
        <v>12</v>
      </c>
      <c r="BG88" s="452" t="s">
        <v>291</v>
      </c>
      <c r="BH88" s="369">
        <f t="shared" si="96"/>
        <v>0.49180327868852458</v>
      </c>
      <c r="BI88" s="366">
        <f t="shared" si="97"/>
        <v>1200</v>
      </c>
      <c r="BJ88" s="371">
        <f t="shared" si="98"/>
        <v>12.399999999999999</v>
      </c>
      <c r="BK88" s="490">
        <v>0.49</v>
      </c>
      <c r="BL88" s="366">
        <f t="shared" si="99"/>
        <v>1195.5999999999999</v>
      </c>
      <c r="BM88" s="452">
        <v>54</v>
      </c>
      <c r="BN88" s="369">
        <f t="shared" si="100"/>
        <v>1</v>
      </c>
      <c r="BO88" s="371">
        <f t="shared" si="101"/>
        <v>0</v>
      </c>
      <c r="BP88" s="478">
        <v>1</v>
      </c>
      <c r="BQ88" s="500" t="s">
        <v>770</v>
      </c>
      <c r="BR88" s="502">
        <v>42053</v>
      </c>
      <c r="BS88" s="372">
        <f t="shared" si="107"/>
        <v>42418</v>
      </c>
      <c r="BT88" s="452">
        <v>646</v>
      </c>
      <c r="BU88" s="452">
        <v>4</v>
      </c>
      <c r="BV88" s="373">
        <f t="shared" si="102"/>
        <v>0</v>
      </c>
      <c r="BW88" s="374">
        <f t="shared" si="103"/>
        <v>1</v>
      </c>
      <c r="BX88" s="366">
        <f t="shared" si="104"/>
        <v>2440</v>
      </c>
      <c r="BY88" s="387">
        <f t="shared" si="108"/>
        <v>0</v>
      </c>
      <c r="BZ88" s="468"/>
      <c r="CA88" s="478">
        <v>0.8</v>
      </c>
      <c r="CB88" s="389">
        <f t="shared" si="105"/>
        <v>1952</v>
      </c>
      <c r="CC88" s="468">
        <v>5</v>
      </c>
      <c r="CD88" s="375" t="str">
        <f t="shared" si="106"/>
        <v>Excellent coverage</v>
      </c>
      <c r="CE88" s="474">
        <v>0</v>
      </c>
      <c r="CF88" s="469" t="s">
        <v>293</v>
      </c>
      <c r="CG88" s="509"/>
    </row>
    <row r="89" spans="2:85" s="40" customFormat="1" ht="30.75" customHeight="1" x14ac:dyDescent="0.2">
      <c r="B89" s="449" t="s">
        <v>104</v>
      </c>
      <c r="C89" s="450"/>
      <c r="D89" s="451" t="s">
        <v>314</v>
      </c>
      <c r="E89" s="450" t="s">
        <v>472</v>
      </c>
      <c r="F89" s="451">
        <v>98.134313888888897</v>
      </c>
      <c r="G89" s="451">
        <v>25.8873472222222</v>
      </c>
      <c r="H89" s="451" t="s">
        <v>450</v>
      </c>
      <c r="I89" s="451" t="s">
        <v>214</v>
      </c>
      <c r="J89" s="452">
        <v>0</v>
      </c>
      <c r="K89" s="452">
        <v>45</v>
      </c>
      <c r="L89" s="452">
        <v>45</v>
      </c>
      <c r="M89" s="362" t="str">
        <f t="shared" si="70"/>
        <v>1. Small</v>
      </c>
      <c r="N89" s="701" t="s">
        <v>834</v>
      </c>
      <c r="O89" s="453" t="s">
        <v>231</v>
      </c>
      <c r="P89" s="461" t="s">
        <v>231</v>
      </c>
      <c r="Q89" s="382" t="str">
        <f t="shared" si="71"/>
        <v>Covered</v>
      </c>
      <c r="R89" s="462">
        <v>42369</v>
      </c>
      <c r="S89" s="453" t="s">
        <v>253</v>
      </c>
      <c r="T89" s="380" t="str">
        <f t="shared" si="72"/>
        <v>Documented</v>
      </c>
      <c r="U89" s="468">
        <v>0</v>
      </c>
      <c r="V89" s="452">
        <v>0</v>
      </c>
      <c r="W89" s="469" t="s">
        <v>19</v>
      </c>
      <c r="X89" s="468">
        <v>0</v>
      </c>
      <c r="Y89" s="474">
        <v>0</v>
      </c>
      <c r="Z89" s="475">
        <v>860</v>
      </c>
      <c r="AA89" s="481">
        <v>0</v>
      </c>
      <c r="AB89" s="482">
        <v>1</v>
      </c>
      <c r="AC89" s="385">
        <f t="shared" si="79"/>
        <v>1</v>
      </c>
      <c r="AD89" s="364">
        <f t="shared" si="80"/>
        <v>45</v>
      </c>
      <c r="AE89" s="365">
        <f t="shared" si="81"/>
        <v>1</v>
      </c>
      <c r="AF89" s="366">
        <f t="shared" si="82"/>
        <v>45</v>
      </c>
      <c r="AG89" s="363">
        <f t="shared" si="73"/>
        <v>1</v>
      </c>
      <c r="AH89" s="366">
        <f t="shared" si="83"/>
        <v>45</v>
      </c>
      <c r="AI89" s="367" t="str">
        <f t="shared" si="74"/>
        <v>80-100%</v>
      </c>
      <c r="AJ89" s="363">
        <f t="shared" si="75"/>
        <v>0</v>
      </c>
      <c r="AK89" s="368">
        <f t="shared" si="84"/>
        <v>0</v>
      </c>
      <c r="AL89" s="366">
        <f t="shared" si="85"/>
        <v>0.1125</v>
      </c>
      <c r="AM89" s="366">
        <f t="shared" si="86"/>
        <v>0</v>
      </c>
      <c r="AN89" s="366">
        <f t="shared" si="87"/>
        <v>0</v>
      </c>
      <c r="AO89" s="485">
        <v>1</v>
      </c>
      <c r="AP89" s="486">
        <f t="shared" si="88"/>
        <v>45</v>
      </c>
      <c r="AQ89" s="475"/>
      <c r="AR89" s="732">
        <v>4</v>
      </c>
      <c r="AS89" s="452">
        <v>2</v>
      </c>
      <c r="AT89" s="452">
        <v>2</v>
      </c>
      <c r="AU89" s="452" t="s">
        <v>291</v>
      </c>
      <c r="AV89" s="369">
        <f t="shared" si="89"/>
        <v>1</v>
      </c>
      <c r="AW89" s="366">
        <f t="shared" si="90"/>
        <v>45</v>
      </c>
      <c r="AX89" s="369">
        <f t="shared" si="76"/>
        <v>0.11111111111111116</v>
      </c>
      <c r="AY89" s="366">
        <f t="shared" si="91"/>
        <v>5.0000000000000018</v>
      </c>
      <c r="AZ89" s="369">
        <f t="shared" si="92"/>
        <v>0.88888888888888884</v>
      </c>
      <c r="BA89" s="366">
        <f t="shared" si="93"/>
        <v>40</v>
      </c>
      <c r="BB89" s="474">
        <v>0</v>
      </c>
      <c r="BC89" s="490">
        <v>1</v>
      </c>
      <c r="BD89" s="370">
        <f t="shared" si="94"/>
        <v>45</v>
      </c>
      <c r="BE89" s="371">
        <f t="shared" si="95"/>
        <v>0.25</v>
      </c>
      <c r="BF89" s="452">
        <v>2</v>
      </c>
      <c r="BG89" s="452" t="s">
        <v>291</v>
      </c>
      <c r="BH89" s="369">
        <f t="shared" si="96"/>
        <v>1</v>
      </c>
      <c r="BI89" s="366">
        <f t="shared" si="97"/>
        <v>45</v>
      </c>
      <c r="BJ89" s="371">
        <f t="shared" si="98"/>
        <v>0</v>
      </c>
      <c r="BK89" s="490">
        <v>1</v>
      </c>
      <c r="BL89" s="366">
        <f t="shared" si="99"/>
        <v>45</v>
      </c>
      <c r="BM89" s="452">
        <v>5</v>
      </c>
      <c r="BN89" s="369">
        <f t="shared" si="100"/>
        <v>1</v>
      </c>
      <c r="BO89" s="371">
        <f t="shared" si="101"/>
        <v>0</v>
      </c>
      <c r="BP89" s="478">
        <v>1</v>
      </c>
      <c r="BQ89" s="500"/>
      <c r="BR89" s="502">
        <v>41780</v>
      </c>
      <c r="BS89" s="372" t="str">
        <f t="shared" si="107"/>
        <v>To be realised</v>
      </c>
      <c r="BT89" s="452">
        <v>43</v>
      </c>
      <c r="BU89" s="452">
        <v>10</v>
      </c>
      <c r="BV89" s="373">
        <f t="shared" si="102"/>
        <v>0</v>
      </c>
      <c r="BW89" s="374">
        <f t="shared" si="103"/>
        <v>1</v>
      </c>
      <c r="BX89" s="366">
        <f t="shared" si="104"/>
        <v>45</v>
      </c>
      <c r="BY89" s="387">
        <f t="shared" si="108"/>
        <v>4</v>
      </c>
      <c r="BZ89" s="468"/>
      <c r="CA89" s="478">
        <v>0</v>
      </c>
      <c r="CB89" s="389">
        <f t="shared" si="105"/>
        <v>0</v>
      </c>
      <c r="CC89" s="468">
        <v>0</v>
      </c>
      <c r="CD89" s="375" t="str">
        <f t="shared" si="106"/>
        <v>No coverage</v>
      </c>
      <c r="CE89" s="474">
        <v>0</v>
      </c>
      <c r="CF89" s="469" t="s">
        <v>65</v>
      </c>
      <c r="CG89" s="509"/>
    </row>
    <row r="90" spans="2:85" s="40" customFormat="1" ht="30.75" customHeight="1" x14ac:dyDescent="0.2">
      <c r="B90" s="449" t="s">
        <v>155</v>
      </c>
      <c r="C90" s="450" t="s">
        <v>587</v>
      </c>
      <c r="D90" s="451" t="s">
        <v>261</v>
      </c>
      <c r="E90" s="450" t="s">
        <v>614</v>
      </c>
      <c r="F90" s="451">
        <v>97.541793999999996</v>
      </c>
      <c r="G90" s="451">
        <v>24.752471</v>
      </c>
      <c r="H90" s="451" t="s">
        <v>450</v>
      </c>
      <c r="I90" s="451" t="s">
        <v>222</v>
      </c>
      <c r="J90" s="452">
        <v>0</v>
      </c>
      <c r="K90" s="452">
        <v>391</v>
      </c>
      <c r="L90" s="452">
        <v>391</v>
      </c>
      <c r="M90" s="362" t="str">
        <f t="shared" si="70"/>
        <v>1. Small</v>
      </c>
      <c r="N90" s="701" t="s">
        <v>835</v>
      </c>
      <c r="O90" s="453"/>
      <c r="P90" s="461" t="s">
        <v>233</v>
      </c>
      <c r="Q90" s="382" t="str">
        <f t="shared" si="71"/>
        <v>Covered</v>
      </c>
      <c r="R90" s="462">
        <v>42521</v>
      </c>
      <c r="S90" s="453" t="s">
        <v>253</v>
      </c>
      <c r="T90" s="380" t="str">
        <f t="shared" si="72"/>
        <v>Documented</v>
      </c>
      <c r="U90" s="468">
        <v>0</v>
      </c>
      <c r="V90" s="452">
        <v>0</v>
      </c>
      <c r="W90" s="469" t="s">
        <v>19</v>
      </c>
      <c r="X90" s="468">
        <v>0</v>
      </c>
      <c r="Y90" s="474">
        <v>0</v>
      </c>
      <c r="Z90" s="475">
        <v>6000</v>
      </c>
      <c r="AA90" s="481">
        <v>0</v>
      </c>
      <c r="AB90" s="482">
        <v>1</v>
      </c>
      <c r="AC90" s="385">
        <f t="shared" si="79"/>
        <v>1</v>
      </c>
      <c r="AD90" s="364">
        <f t="shared" si="80"/>
        <v>391</v>
      </c>
      <c r="AE90" s="365">
        <f t="shared" si="81"/>
        <v>1</v>
      </c>
      <c r="AF90" s="366">
        <f t="shared" si="82"/>
        <v>391</v>
      </c>
      <c r="AG90" s="363">
        <f t="shared" si="73"/>
        <v>1</v>
      </c>
      <c r="AH90" s="366">
        <f t="shared" si="83"/>
        <v>391</v>
      </c>
      <c r="AI90" s="367" t="str">
        <f t="shared" si="74"/>
        <v>80-100%</v>
      </c>
      <c r="AJ90" s="363">
        <f t="shared" si="75"/>
        <v>0</v>
      </c>
      <c r="AK90" s="368">
        <f t="shared" si="84"/>
        <v>0</v>
      </c>
      <c r="AL90" s="366">
        <f t="shared" si="85"/>
        <v>0.97750000000000004</v>
      </c>
      <c r="AM90" s="366">
        <f t="shared" si="86"/>
        <v>0</v>
      </c>
      <c r="AN90" s="366">
        <f t="shared" si="87"/>
        <v>0</v>
      </c>
      <c r="AO90" s="485">
        <v>1</v>
      </c>
      <c r="AP90" s="486">
        <f t="shared" si="88"/>
        <v>391</v>
      </c>
      <c r="AQ90" s="475"/>
      <c r="AR90" s="732">
        <v>8</v>
      </c>
      <c r="AS90" s="452">
        <v>8</v>
      </c>
      <c r="AT90" s="452">
        <v>20</v>
      </c>
      <c r="AU90" s="452" t="s">
        <v>291</v>
      </c>
      <c r="AV90" s="369">
        <f t="shared" si="89"/>
        <v>1</v>
      </c>
      <c r="AW90" s="366">
        <f t="shared" si="90"/>
        <v>391</v>
      </c>
      <c r="AX90" s="369">
        <f t="shared" si="76"/>
        <v>0</v>
      </c>
      <c r="AY90" s="366">
        <f t="shared" si="91"/>
        <v>0</v>
      </c>
      <c r="AZ90" s="369">
        <f t="shared" si="92"/>
        <v>1</v>
      </c>
      <c r="BA90" s="366">
        <f t="shared" si="93"/>
        <v>391</v>
      </c>
      <c r="BB90" s="474">
        <v>0</v>
      </c>
      <c r="BC90" s="490">
        <v>1</v>
      </c>
      <c r="BD90" s="370">
        <f t="shared" si="94"/>
        <v>391</v>
      </c>
      <c r="BE90" s="371">
        <f t="shared" si="95"/>
        <v>0</v>
      </c>
      <c r="BF90" s="452">
        <v>4</v>
      </c>
      <c r="BG90" s="452" t="s">
        <v>291</v>
      </c>
      <c r="BH90" s="369">
        <f t="shared" si="96"/>
        <v>1</v>
      </c>
      <c r="BI90" s="366">
        <f t="shared" si="97"/>
        <v>391</v>
      </c>
      <c r="BJ90" s="371">
        <f t="shared" si="98"/>
        <v>0</v>
      </c>
      <c r="BK90" s="490">
        <v>1</v>
      </c>
      <c r="BL90" s="366">
        <f t="shared" si="99"/>
        <v>391</v>
      </c>
      <c r="BM90" s="452">
        <v>1</v>
      </c>
      <c r="BN90" s="369">
        <f t="shared" si="100"/>
        <v>0.25575447570332482</v>
      </c>
      <c r="BO90" s="371">
        <f t="shared" si="101"/>
        <v>2.91</v>
      </c>
      <c r="BP90" s="478">
        <v>0.26</v>
      </c>
      <c r="BQ90" s="500"/>
      <c r="BR90" s="502"/>
      <c r="BS90" s="372" t="str">
        <f t="shared" si="107"/>
        <v>To be realised</v>
      </c>
      <c r="BT90" s="452">
        <v>0</v>
      </c>
      <c r="BU90" s="452">
        <v>13</v>
      </c>
      <c r="BV90" s="373">
        <f t="shared" si="102"/>
        <v>0</v>
      </c>
      <c r="BW90" s="374">
        <f t="shared" si="103"/>
        <v>1</v>
      </c>
      <c r="BX90" s="366">
        <f t="shared" si="104"/>
        <v>391</v>
      </c>
      <c r="BY90" s="387" t="str">
        <f t="shared" si="108"/>
        <v>Column BN to be completed</v>
      </c>
      <c r="BZ90" s="476" t="s">
        <v>879</v>
      </c>
      <c r="CA90" s="478">
        <v>0</v>
      </c>
      <c r="CB90" s="389">
        <f t="shared" si="105"/>
        <v>0</v>
      </c>
      <c r="CC90" s="468">
        <v>0</v>
      </c>
      <c r="CD90" s="375" t="str">
        <f t="shared" si="106"/>
        <v>No coverage</v>
      </c>
      <c r="CE90" s="474">
        <v>0</v>
      </c>
      <c r="CF90" s="469" t="s">
        <v>66</v>
      </c>
      <c r="CG90" s="509"/>
    </row>
    <row r="91" spans="2:85" s="40" customFormat="1" ht="30.75" customHeight="1" x14ac:dyDescent="0.2">
      <c r="B91" s="449" t="s">
        <v>155</v>
      </c>
      <c r="C91" s="450" t="s">
        <v>587</v>
      </c>
      <c r="D91" s="451" t="s">
        <v>261</v>
      </c>
      <c r="E91" s="450" t="s">
        <v>615</v>
      </c>
      <c r="F91" s="451">
        <v>97.541793999999996</v>
      </c>
      <c r="G91" s="451">
        <v>24.752471</v>
      </c>
      <c r="H91" s="451" t="s">
        <v>450</v>
      </c>
      <c r="I91" s="451" t="s">
        <v>222</v>
      </c>
      <c r="J91" s="452">
        <v>0</v>
      </c>
      <c r="K91" s="452">
        <v>528</v>
      </c>
      <c r="L91" s="452">
        <v>528</v>
      </c>
      <c r="M91" s="362" t="str">
        <f t="shared" si="70"/>
        <v>1. Small</v>
      </c>
      <c r="N91" s="701" t="s">
        <v>835</v>
      </c>
      <c r="O91" s="453"/>
      <c r="P91" s="461" t="s">
        <v>233</v>
      </c>
      <c r="Q91" s="382" t="str">
        <f t="shared" si="71"/>
        <v>Covered</v>
      </c>
      <c r="R91" s="462">
        <v>42521</v>
      </c>
      <c r="S91" s="453" t="s">
        <v>253</v>
      </c>
      <c r="T91" s="380" t="str">
        <f t="shared" si="72"/>
        <v>Documented</v>
      </c>
      <c r="U91" s="468">
        <v>0</v>
      </c>
      <c r="V91" s="452">
        <v>0</v>
      </c>
      <c r="W91" s="469" t="s">
        <v>19</v>
      </c>
      <c r="X91" s="468">
        <v>1</v>
      </c>
      <c r="Y91" s="474">
        <v>0</v>
      </c>
      <c r="Z91" s="475">
        <v>7920</v>
      </c>
      <c r="AA91" s="481">
        <v>0</v>
      </c>
      <c r="AB91" s="482">
        <v>1</v>
      </c>
      <c r="AC91" s="385">
        <f t="shared" si="79"/>
        <v>1</v>
      </c>
      <c r="AD91" s="364">
        <f t="shared" si="80"/>
        <v>528</v>
      </c>
      <c r="AE91" s="365">
        <f t="shared" si="81"/>
        <v>1</v>
      </c>
      <c r="AF91" s="366">
        <f t="shared" si="82"/>
        <v>528</v>
      </c>
      <c r="AG91" s="363">
        <f t="shared" si="73"/>
        <v>1</v>
      </c>
      <c r="AH91" s="366">
        <f t="shared" si="83"/>
        <v>528</v>
      </c>
      <c r="AI91" s="367" t="str">
        <f t="shared" si="74"/>
        <v>80-100%</v>
      </c>
      <c r="AJ91" s="363">
        <f t="shared" si="75"/>
        <v>0</v>
      </c>
      <c r="AK91" s="368">
        <f t="shared" si="84"/>
        <v>0</v>
      </c>
      <c r="AL91" s="366">
        <f t="shared" si="85"/>
        <v>0.32000000000000006</v>
      </c>
      <c r="AM91" s="366">
        <f t="shared" si="86"/>
        <v>0</v>
      </c>
      <c r="AN91" s="366">
        <f t="shared" si="87"/>
        <v>0</v>
      </c>
      <c r="AO91" s="485">
        <v>1</v>
      </c>
      <c r="AP91" s="486">
        <f t="shared" si="88"/>
        <v>528</v>
      </c>
      <c r="AQ91" s="475"/>
      <c r="AR91" s="732">
        <v>7</v>
      </c>
      <c r="AS91" s="452">
        <v>7</v>
      </c>
      <c r="AT91" s="452">
        <v>15</v>
      </c>
      <c r="AU91" s="452" t="s">
        <v>291</v>
      </c>
      <c r="AV91" s="369">
        <f t="shared" si="89"/>
        <v>0.83333333333333337</v>
      </c>
      <c r="AW91" s="366">
        <f t="shared" si="90"/>
        <v>440</v>
      </c>
      <c r="AX91" s="369">
        <f t="shared" si="76"/>
        <v>0.26515151515151514</v>
      </c>
      <c r="AY91" s="366">
        <f t="shared" si="91"/>
        <v>140</v>
      </c>
      <c r="AZ91" s="369">
        <f t="shared" si="92"/>
        <v>0.56818181818181823</v>
      </c>
      <c r="BA91" s="366">
        <f t="shared" si="93"/>
        <v>300</v>
      </c>
      <c r="BB91" s="474">
        <v>0</v>
      </c>
      <c r="BC91" s="490">
        <v>0.83</v>
      </c>
      <c r="BD91" s="370">
        <f t="shared" si="94"/>
        <v>438.23999999999995</v>
      </c>
      <c r="BE91" s="371">
        <f t="shared" si="95"/>
        <v>11.399999999999999</v>
      </c>
      <c r="BF91" s="452">
        <v>4</v>
      </c>
      <c r="BG91" s="452" t="s">
        <v>291</v>
      </c>
      <c r="BH91" s="369">
        <f t="shared" si="96"/>
        <v>0.75757575757575757</v>
      </c>
      <c r="BI91" s="366">
        <f t="shared" si="97"/>
        <v>400</v>
      </c>
      <c r="BJ91" s="371">
        <f t="shared" si="98"/>
        <v>1.2800000000000002</v>
      </c>
      <c r="BK91" s="490">
        <v>0.76</v>
      </c>
      <c r="BL91" s="366">
        <f t="shared" si="99"/>
        <v>401.28000000000003</v>
      </c>
      <c r="BM91" s="452">
        <v>0</v>
      </c>
      <c r="BN91" s="369">
        <f t="shared" si="100"/>
        <v>0</v>
      </c>
      <c r="BO91" s="371">
        <f t="shared" si="101"/>
        <v>5.28</v>
      </c>
      <c r="BP91" s="478">
        <v>0</v>
      </c>
      <c r="BQ91" s="500"/>
      <c r="BR91" s="502"/>
      <c r="BS91" s="372" t="str">
        <f t="shared" si="107"/>
        <v>To be realised</v>
      </c>
      <c r="BT91" s="452">
        <v>0</v>
      </c>
      <c r="BU91" s="452">
        <v>13</v>
      </c>
      <c r="BV91" s="373">
        <f t="shared" si="102"/>
        <v>0</v>
      </c>
      <c r="BW91" s="374">
        <f t="shared" si="103"/>
        <v>1</v>
      </c>
      <c r="BX91" s="366">
        <f t="shared" si="104"/>
        <v>528</v>
      </c>
      <c r="BY91" s="387" t="str">
        <f t="shared" si="108"/>
        <v>Column BN to be completed</v>
      </c>
      <c r="BZ91" s="476" t="s">
        <v>879</v>
      </c>
      <c r="CA91" s="478">
        <v>0</v>
      </c>
      <c r="CB91" s="389">
        <f t="shared" si="105"/>
        <v>0</v>
      </c>
      <c r="CC91" s="468">
        <v>0</v>
      </c>
      <c r="CD91" s="375" t="str">
        <f t="shared" si="106"/>
        <v>No coverage</v>
      </c>
      <c r="CE91" s="474">
        <v>0</v>
      </c>
      <c r="CF91" s="469" t="s">
        <v>66</v>
      </c>
      <c r="CG91" s="509"/>
    </row>
    <row r="92" spans="2:85" s="40" customFormat="1" ht="30.75" customHeight="1" x14ac:dyDescent="0.2">
      <c r="B92" s="449" t="s">
        <v>220</v>
      </c>
      <c r="C92" s="450" t="s">
        <v>696</v>
      </c>
      <c r="D92" s="451" t="s">
        <v>314</v>
      </c>
      <c r="E92" s="450" t="s">
        <v>673</v>
      </c>
      <c r="F92" s="451">
        <v>97.561105999999995</v>
      </c>
      <c r="G92" s="451">
        <v>27.248964999999998</v>
      </c>
      <c r="H92" s="451" t="s">
        <v>460</v>
      </c>
      <c r="I92" s="451" t="s">
        <v>214</v>
      </c>
      <c r="J92" s="452">
        <v>12</v>
      </c>
      <c r="K92" s="452">
        <v>52</v>
      </c>
      <c r="L92" s="452">
        <v>52</v>
      </c>
      <c r="M92" s="362" t="str">
        <f t="shared" si="70"/>
        <v>1. Small</v>
      </c>
      <c r="N92" s="701"/>
      <c r="O92" s="453"/>
      <c r="P92" s="461" t="s">
        <v>838</v>
      </c>
      <c r="Q92" s="709" t="str">
        <f t="shared" si="71"/>
        <v>Not covered</v>
      </c>
      <c r="R92" s="462" t="s">
        <v>629</v>
      </c>
      <c r="S92" s="453" t="s">
        <v>255</v>
      </c>
      <c r="T92" s="380" t="str">
        <f t="shared" si="72"/>
        <v>Not documented</v>
      </c>
      <c r="U92" s="468">
        <v>0</v>
      </c>
      <c r="V92" s="452">
        <v>0</v>
      </c>
      <c r="W92" s="469" t="s">
        <v>19</v>
      </c>
      <c r="X92" s="468">
        <v>1</v>
      </c>
      <c r="Y92" s="474">
        <v>0</v>
      </c>
      <c r="Z92" s="475">
        <v>0</v>
      </c>
      <c r="AA92" s="481">
        <v>0</v>
      </c>
      <c r="AB92" s="482">
        <v>0</v>
      </c>
      <c r="AC92" s="385">
        <f t="shared" si="79"/>
        <v>1</v>
      </c>
      <c r="AD92" s="364">
        <f t="shared" si="80"/>
        <v>52</v>
      </c>
      <c r="AE92" s="365">
        <f t="shared" si="81"/>
        <v>1</v>
      </c>
      <c r="AF92" s="366">
        <f t="shared" si="82"/>
        <v>52</v>
      </c>
      <c r="AG92" s="363">
        <f t="shared" si="73"/>
        <v>1</v>
      </c>
      <c r="AH92" s="366">
        <f t="shared" si="83"/>
        <v>52</v>
      </c>
      <c r="AI92" s="367" t="str">
        <f t="shared" si="74"/>
        <v>80-100%</v>
      </c>
      <c r="AJ92" s="363">
        <f t="shared" si="75"/>
        <v>0</v>
      </c>
      <c r="AK92" s="368">
        <f t="shared" si="84"/>
        <v>0</v>
      </c>
      <c r="AL92" s="366">
        <f t="shared" si="85"/>
        <v>0</v>
      </c>
      <c r="AM92" s="366">
        <f t="shared" si="86"/>
        <v>0</v>
      </c>
      <c r="AN92" s="366">
        <f t="shared" si="87"/>
        <v>0</v>
      </c>
      <c r="AO92" s="485">
        <v>1</v>
      </c>
      <c r="AP92" s="486">
        <f t="shared" si="88"/>
        <v>52</v>
      </c>
      <c r="AQ92" s="475" t="s">
        <v>729</v>
      </c>
      <c r="AR92" s="732">
        <v>10</v>
      </c>
      <c r="AS92" s="452">
        <v>10</v>
      </c>
      <c r="AT92" s="452">
        <v>0</v>
      </c>
      <c r="AU92" s="452" t="s">
        <v>89</v>
      </c>
      <c r="AV92" s="369">
        <f t="shared" si="89"/>
        <v>1</v>
      </c>
      <c r="AW92" s="366">
        <f t="shared" si="90"/>
        <v>52</v>
      </c>
      <c r="AX92" s="369">
        <f t="shared" si="76"/>
        <v>1</v>
      </c>
      <c r="AY92" s="366">
        <f t="shared" si="91"/>
        <v>52</v>
      </c>
      <c r="AZ92" s="369">
        <f t="shared" si="92"/>
        <v>0</v>
      </c>
      <c r="BA92" s="366">
        <f t="shared" si="93"/>
        <v>0</v>
      </c>
      <c r="BB92" s="474">
        <v>0</v>
      </c>
      <c r="BC92" s="490">
        <v>1</v>
      </c>
      <c r="BD92" s="370">
        <f t="shared" si="94"/>
        <v>52</v>
      </c>
      <c r="BE92" s="371">
        <f t="shared" si="95"/>
        <v>2.6</v>
      </c>
      <c r="BF92" s="452">
        <v>0</v>
      </c>
      <c r="BG92" s="452" t="s">
        <v>89</v>
      </c>
      <c r="BH92" s="369">
        <f t="shared" si="96"/>
        <v>0</v>
      </c>
      <c r="BI92" s="366">
        <f t="shared" si="97"/>
        <v>0</v>
      </c>
      <c r="BJ92" s="371">
        <f t="shared" si="98"/>
        <v>0.52</v>
      </c>
      <c r="BK92" s="490">
        <v>0</v>
      </c>
      <c r="BL92" s="366">
        <f t="shared" si="99"/>
        <v>0</v>
      </c>
      <c r="BM92" s="452">
        <v>0</v>
      </c>
      <c r="BN92" s="369">
        <f t="shared" si="100"/>
        <v>0</v>
      </c>
      <c r="BO92" s="371">
        <f t="shared" si="101"/>
        <v>0.52</v>
      </c>
      <c r="BP92" s="478">
        <v>0</v>
      </c>
      <c r="BQ92" s="500"/>
      <c r="BR92" s="502"/>
      <c r="BS92" s="372" t="str">
        <f t="shared" si="107"/>
        <v>To be realised</v>
      </c>
      <c r="BT92" s="452">
        <v>0</v>
      </c>
      <c r="BU92" s="452">
        <v>0</v>
      </c>
      <c r="BV92" s="373">
        <f t="shared" si="102"/>
        <v>12</v>
      </c>
      <c r="BW92" s="374">
        <f t="shared" si="103"/>
        <v>0</v>
      </c>
      <c r="BX92" s="366">
        <f t="shared" si="104"/>
        <v>0</v>
      </c>
      <c r="BY92" s="387" t="str">
        <f t="shared" si="108"/>
        <v>Column BN to be completed</v>
      </c>
      <c r="BZ92" s="468"/>
      <c r="CA92" s="478">
        <v>0</v>
      </c>
      <c r="CB92" s="389">
        <f t="shared" si="105"/>
        <v>0</v>
      </c>
      <c r="CC92" s="468">
        <v>0</v>
      </c>
      <c r="CD92" s="375" t="str">
        <f t="shared" si="106"/>
        <v>No coverage</v>
      </c>
      <c r="CE92" s="474">
        <v>0</v>
      </c>
      <c r="CF92" s="469"/>
      <c r="CG92" s="509"/>
    </row>
    <row r="93" spans="2:85" s="40" customFormat="1" ht="30.75" customHeight="1" x14ac:dyDescent="0.2">
      <c r="B93" s="449" t="s">
        <v>155</v>
      </c>
      <c r="C93" s="450" t="s">
        <v>594</v>
      </c>
      <c r="D93" s="451" t="s">
        <v>258</v>
      </c>
      <c r="E93" s="450" t="s">
        <v>164</v>
      </c>
      <c r="F93" s="451">
        <v>97.345039</v>
      </c>
      <c r="G93" s="451">
        <v>25.351965</v>
      </c>
      <c r="H93" s="451" t="s">
        <v>449</v>
      </c>
      <c r="I93" s="451" t="s">
        <v>214</v>
      </c>
      <c r="J93" s="452">
        <v>18</v>
      </c>
      <c r="K93" s="452">
        <v>78</v>
      </c>
      <c r="L93" s="452">
        <v>78</v>
      </c>
      <c r="M93" s="362" t="str">
        <f t="shared" si="70"/>
        <v>1. Small</v>
      </c>
      <c r="N93" s="701" t="s">
        <v>832</v>
      </c>
      <c r="O93" s="453" t="s">
        <v>276</v>
      </c>
      <c r="P93" s="461" t="s">
        <v>276</v>
      </c>
      <c r="Q93" s="382" t="str">
        <f t="shared" si="71"/>
        <v>Covered</v>
      </c>
      <c r="R93" s="462">
        <v>42216</v>
      </c>
      <c r="S93" s="453" t="s">
        <v>253</v>
      </c>
      <c r="T93" s="380" t="str">
        <f t="shared" si="72"/>
        <v>Documented</v>
      </c>
      <c r="U93" s="468">
        <v>0</v>
      </c>
      <c r="V93" s="452">
        <v>0</v>
      </c>
      <c r="W93" s="469" t="s">
        <v>19</v>
      </c>
      <c r="X93" s="468">
        <v>1</v>
      </c>
      <c r="Y93" s="474">
        <v>1</v>
      </c>
      <c r="Z93" s="475">
        <v>0</v>
      </c>
      <c r="AA93" s="481">
        <v>0</v>
      </c>
      <c r="AB93" s="482">
        <v>0</v>
      </c>
      <c r="AC93" s="385">
        <f t="shared" si="79"/>
        <v>1</v>
      </c>
      <c r="AD93" s="364">
        <f t="shared" si="80"/>
        <v>78</v>
      </c>
      <c r="AE93" s="365">
        <f t="shared" si="81"/>
        <v>1</v>
      </c>
      <c r="AF93" s="366">
        <f t="shared" si="82"/>
        <v>78</v>
      </c>
      <c r="AG93" s="363">
        <f t="shared" si="73"/>
        <v>1</v>
      </c>
      <c r="AH93" s="366">
        <f t="shared" si="83"/>
        <v>78</v>
      </c>
      <c r="AI93" s="367" t="str">
        <f t="shared" si="74"/>
        <v>80-100%</v>
      </c>
      <c r="AJ93" s="363">
        <f t="shared" si="75"/>
        <v>0</v>
      </c>
      <c r="AK93" s="368">
        <f t="shared" si="84"/>
        <v>0</v>
      </c>
      <c r="AL93" s="366">
        <f t="shared" si="85"/>
        <v>0</v>
      </c>
      <c r="AM93" s="366">
        <f t="shared" si="86"/>
        <v>0</v>
      </c>
      <c r="AN93" s="366">
        <f t="shared" si="87"/>
        <v>0</v>
      </c>
      <c r="AO93" s="485">
        <v>1</v>
      </c>
      <c r="AP93" s="486">
        <f t="shared" si="88"/>
        <v>78</v>
      </c>
      <c r="AQ93" s="475"/>
      <c r="AR93" s="732">
        <v>0</v>
      </c>
      <c r="AS93" s="452">
        <v>0</v>
      </c>
      <c r="AT93" s="452">
        <v>5</v>
      </c>
      <c r="AU93" s="452" t="s">
        <v>290</v>
      </c>
      <c r="AV93" s="369">
        <f t="shared" si="89"/>
        <v>1</v>
      </c>
      <c r="AW93" s="366">
        <f t="shared" si="90"/>
        <v>78</v>
      </c>
      <c r="AX93" s="369">
        <f t="shared" si="76"/>
        <v>0</v>
      </c>
      <c r="AY93" s="366">
        <f t="shared" si="91"/>
        <v>0</v>
      </c>
      <c r="AZ93" s="369">
        <f t="shared" si="92"/>
        <v>1</v>
      </c>
      <c r="BA93" s="366">
        <f t="shared" si="93"/>
        <v>78</v>
      </c>
      <c r="BB93" s="474">
        <v>0</v>
      </c>
      <c r="BC93" s="490">
        <v>1</v>
      </c>
      <c r="BD93" s="370">
        <f t="shared" si="94"/>
        <v>78</v>
      </c>
      <c r="BE93" s="371">
        <f t="shared" si="95"/>
        <v>0</v>
      </c>
      <c r="BF93" s="452">
        <v>1</v>
      </c>
      <c r="BG93" s="452" t="s">
        <v>89</v>
      </c>
      <c r="BH93" s="369">
        <f t="shared" si="96"/>
        <v>1</v>
      </c>
      <c r="BI93" s="366">
        <f t="shared" si="97"/>
        <v>78</v>
      </c>
      <c r="BJ93" s="371">
        <f t="shared" si="98"/>
        <v>0</v>
      </c>
      <c r="BK93" s="490">
        <v>1</v>
      </c>
      <c r="BL93" s="366">
        <f t="shared" si="99"/>
        <v>78</v>
      </c>
      <c r="BM93" s="452">
        <v>3</v>
      </c>
      <c r="BN93" s="369">
        <f t="shared" si="100"/>
        <v>1</v>
      </c>
      <c r="BO93" s="371">
        <f t="shared" si="101"/>
        <v>0</v>
      </c>
      <c r="BP93" s="478">
        <v>1</v>
      </c>
      <c r="BQ93" s="500"/>
      <c r="BR93" s="502">
        <v>42048</v>
      </c>
      <c r="BS93" s="372">
        <f t="shared" si="107"/>
        <v>42413</v>
      </c>
      <c r="BT93" s="452">
        <v>18</v>
      </c>
      <c r="BU93" s="452">
        <v>5</v>
      </c>
      <c r="BV93" s="373">
        <f t="shared" si="102"/>
        <v>0</v>
      </c>
      <c r="BW93" s="374">
        <f t="shared" si="103"/>
        <v>1</v>
      </c>
      <c r="BX93" s="366">
        <f t="shared" si="104"/>
        <v>78</v>
      </c>
      <c r="BY93" s="387">
        <f t="shared" si="108"/>
        <v>0</v>
      </c>
      <c r="BZ93" s="468"/>
      <c r="CA93" s="478">
        <v>1</v>
      </c>
      <c r="CB93" s="389">
        <f t="shared" si="105"/>
        <v>78</v>
      </c>
      <c r="CC93" s="468">
        <v>1</v>
      </c>
      <c r="CD93" s="375" t="str">
        <f t="shared" si="106"/>
        <v>Excellent coverage</v>
      </c>
      <c r="CE93" s="474">
        <v>0</v>
      </c>
      <c r="CF93" s="469" t="s">
        <v>65</v>
      </c>
      <c r="CG93" s="509"/>
    </row>
    <row r="94" spans="2:85" s="40" customFormat="1" ht="30.75" customHeight="1" x14ac:dyDescent="0.25">
      <c r="B94" s="449" t="s">
        <v>107</v>
      </c>
      <c r="C94" s="454" t="s">
        <v>751</v>
      </c>
      <c r="D94" s="451" t="s">
        <v>257</v>
      </c>
      <c r="E94" s="454" t="s">
        <v>752</v>
      </c>
      <c r="F94" s="451">
        <v>96.341520000000003</v>
      </c>
      <c r="G94" s="451">
        <v>25.655280000000001</v>
      </c>
      <c r="H94" s="451" t="s">
        <v>449</v>
      </c>
      <c r="I94" s="451" t="s">
        <v>214</v>
      </c>
      <c r="J94" s="455">
        <v>58</v>
      </c>
      <c r="K94" s="455">
        <v>224</v>
      </c>
      <c r="L94" s="455">
        <v>224</v>
      </c>
      <c r="M94" s="362" t="str">
        <f t="shared" si="70"/>
        <v>2. Medium</v>
      </c>
      <c r="N94" s="701"/>
      <c r="O94" s="456"/>
      <c r="P94" s="463" t="s">
        <v>300</v>
      </c>
      <c r="Q94" s="382" t="str">
        <f t="shared" si="71"/>
        <v>Not covered</v>
      </c>
      <c r="R94" s="464" t="s">
        <v>629</v>
      </c>
      <c r="S94" s="465" t="s">
        <v>766</v>
      </c>
      <c r="T94" s="380" t="str">
        <f t="shared" si="72"/>
        <v>Documented</v>
      </c>
      <c r="U94" s="470">
        <v>0</v>
      </c>
      <c r="V94" s="455">
        <v>0</v>
      </c>
      <c r="W94" s="471" t="s">
        <v>19</v>
      </c>
      <c r="X94" s="470">
        <v>2</v>
      </c>
      <c r="Y94" s="455">
        <v>0</v>
      </c>
      <c r="Z94" s="471">
        <v>12960</v>
      </c>
      <c r="AA94" s="479">
        <v>0</v>
      </c>
      <c r="AB94" s="480">
        <v>0</v>
      </c>
      <c r="AC94" s="385">
        <f t="shared" si="79"/>
        <v>1</v>
      </c>
      <c r="AD94" s="364">
        <f t="shared" si="80"/>
        <v>224</v>
      </c>
      <c r="AE94" s="365">
        <f t="shared" si="81"/>
        <v>1</v>
      </c>
      <c r="AF94" s="366">
        <f t="shared" si="82"/>
        <v>224</v>
      </c>
      <c r="AG94" s="363">
        <f t="shared" si="73"/>
        <v>1</v>
      </c>
      <c r="AH94" s="366">
        <f t="shared" si="83"/>
        <v>224</v>
      </c>
      <c r="AI94" s="367" t="str">
        <f t="shared" si="74"/>
        <v>80-100%</v>
      </c>
      <c r="AJ94" s="363">
        <f t="shared" si="75"/>
        <v>0</v>
      </c>
      <c r="AK94" s="368">
        <f t="shared" si="84"/>
        <v>0</v>
      </c>
      <c r="AL94" s="366">
        <f t="shared" si="85"/>
        <v>0</v>
      </c>
      <c r="AM94" s="366">
        <f t="shared" si="86"/>
        <v>0</v>
      </c>
      <c r="AN94" s="366">
        <f t="shared" si="87"/>
        <v>0</v>
      </c>
      <c r="AO94" s="488">
        <v>1</v>
      </c>
      <c r="AP94" s="486">
        <f t="shared" si="88"/>
        <v>224</v>
      </c>
      <c r="AQ94" s="475"/>
      <c r="AR94" s="733">
        <v>0</v>
      </c>
      <c r="AS94" s="455">
        <v>0</v>
      </c>
      <c r="AT94" s="455">
        <v>6</v>
      </c>
      <c r="AU94" s="455" t="s">
        <v>89</v>
      </c>
      <c r="AV94" s="369">
        <f t="shared" si="89"/>
        <v>0.5357142857142857</v>
      </c>
      <c r="AW94" s="366">
        <f t="shared" si="90"/>
        <v>120</v>
      </c>
      <c r="AX94" s="369">
        <f t="shared" si="76"/>
        <v>0</v>
      </c>
      <c r="AY94" s="366">
        <f t="shared" si="91"/>
        <v>0</v>
      </c>
      <c r="AZ94" s="369">
        <f t="shared" si="92"/>
        <v>0.5357142857142857</v>
      </c>
      <c r="BA94" s="366">
        <f t="shared" si="93"/>
        <v>120</v>
      </c>
      <c r="BB94" s="493">
        <v>0</v>
      </c>
      <c r="BC94" s="488">
        <v>0.54</v>
      </c>
      <c r="BD94" s="370">
        <f t="shared" si="94"/>
        <v>120.96000000000001</v>
      </c>
      <c r="BE94" s="371">
        <f t="shared" si="95"/>
        <v>5.1999999999999993</v>
      </c>
      <c r="BF94" s="455">
        <v>1</v>
      </c>
      <c r="BG94" s="455" t="s">
        <v>89</v>
      </c>
      <c r="BH94" s="369">
        <f t="shared" si="96"/>
        <v>0.44642857142857145</v>
      </c>
      <c r="BI94" s="366">
        <f t="shared" si="97"/>
        <v>100</v>
      </c>
      <c r="BJ94" s="371">
        <f t="shared" si="98"/>
        <v>1.2400000000000002</v>
      </c>
      <c r="BK94" s="494">
        <v>0.45</v>
      </c>
      <c r="BL94" s="366">
        <f t="shared" si="99"/>
        <v>100.8</v>
      </c>
      <c r="BM94" s="455">
        <v>0</v>
      </c>
      <c r="BN94" s="369">
        <f t="shared" si="100"/>
        <v>0</v>
      </c>
      <c r="BO94" s="371">
        <f t="shared" si="101"/>
        <v>2.2400000000000002</v>
      </c>
      <c r="BP94" s="480">
        <v>0</v>
      </c>
      <c r="BQ94" s="501"/>
      <c r="BR94" s="503"/>
      <c r="BS94" s="372" t="str">
        <f t="shared" si="107"/>
        <v>To be realised</v>
      </c>
      <c r="BT94" s="493">
        <v>0</v>
      </c>
      <c r="BU94" s="493"/>
      <c r="BV94" s="373">
        <f t="shared" si="102"/>
        <v>58</v>
      </c>
      <c r="BW94" s="374">
        <f t="shared" si="103"/>
        <v>0</v>
      </c>
      <c r="BX94" s="366">
        <f t="shared" si="104"/>
        <v>0</v>
      </c>
      <c r="BY94" s="387" t="str">
        <f t="shared" si="108"/>
        <v>Column BN to be completed</v>
      </c>
      <c r="BZ94" s="504"/>
      <c r="CA94" s="480">
        <v>0</v>
      </c>
      <c r="CB94" s="389">
        <f t="shared" si="105"/>
        <v>0</v>
      </c>
      <c r="CC94" s="505">
        <v>0</v>
      </c>
      <c r="CD94" s="375" t="str">
        <f t="shared" si="106"/>
        <v>No coverage</v>
      </c>
      <c r="CE94" s="474">
        <v>0</v>
      </c>
      <c r="CF94" s="513" t="s">
        <v>293</v>
      </c>
      <c r="CG94" s="511"/>
    </row>
    <row r="95" spans="2:85" s="40" customFormat="1" ht="30.75" customHeight="1" x14ac:dyDescent="0.2">
      <c r="B95" s="449" t="s">
        <v>104</v>
      </c>
      <c r="C95" s="450" t="s">
        <v>755</v>
      </c>
      <c r="D95" s="451" t="s">
        <v>314</v>
      </c>
      <c r="E95" s="450" t="s">
        <v>756</v>
      </c>
      <c r="F95" s="451">
        <v>98.356405555555497</v>
      </c>
      <c r="G95" s="451">
        <v>25.645869444444401</v>
      </c>
      <c r="H95" s="451" t="s">
        <v>449</v>
      </c>
      <c r="I95" s="451" t="s">
        <v>214</v>
      </c>
      <c r="J95" s="452">
        <v>30</v>
      </c>
      <c r="K95" s="452">
        <v>165</v>
      </c>
      <c r="L95" s="452">
        <v>165</v>
      </c>
      <c r="M95" s="362" t="str">
        <f t="shared" si="70"/>
        <v>1. Small</v>
      </c>
      <c r="N95" s="701" t="s">
        <v>834</v>
      </c>
      <c r="O95" s="453" t="s">
        <v>231</v>
      </c>
      <c r="P95" s="461" t="s">
        <v>231</v>
      </c>
      <c r="Q95" s="382" t="str">
        <f t="shared" si="71"/>
        <v>Covered</v>
      </c>
      <c r="R95" s="462">
        <v>42369</v>
      </c>
      <c r="S95" s="453" t="s">
        <v>253</v>
      </c>
      <c r="T95" s="380" t="str">
        <f t="shared" si="72"/>
        <v>Documented</v>
      </c>
      <c r="U95" s="468">
        <v>0</v>
      </c>
      <c r="V95" s="452">
        <v>0</v>
      </c>
      <c r="W95" s="469" t="s">
        <v>19</v>
      </c>
      <c r="X95" s="468">
        <v>0</v>
      </c>
      <c r="Y95" s="474">
        <v>0</v>
      </c>
      <c r="Z95" s="475">
        <v>3200</v>
      </c>
      <c r="AA95" s="481">
        <v>0</v>
      </c>
      <c r="AB95" s="482">
        <v>1</v>
      </c>
      <c r="AC95" s="385">
        <f t="shared" si="79"/>
        <v>1</v>
      </c>
      <c r="AD95" s="364">
        <f t="shared" si="80"/>
        <v>165</v>
      </c>
      <c r="AE95" s="365">
        <f t="shared" si="81"/>
        <v>1</v>
      </c>
      <c r="AF95" s="366">
        <f t="shared" si="82"/>
        <v>165</v>
      </c>
      <c r="AG95" s="363">
        <f t="shared" si="73"/>
        <v>1</v>
      </c>
      <c r="AH95" s="366">
        <f t="shared" si="83"/>
        <v>165</v>
      </c>
      <c r="AI95" s="367" t="str">
        <f t="shared" si="74"/>
        <v>80-100%</v>
      </c>
      <c r="AJ95" s="363">
        <f t="shared" si="75"/>
        <v>0</v>
      </c>
      <c r="AK95" s="368">
        <f t="shared" si="84"/>
        <v>0</v>
      </c>
      <c r="AL95" s="366">
        <f t="shared" si="85"/>
        <v>0.41249999999999998</v>
      </c>
      <c r="AM95" s="366">
        <f t="shared" si="86"/>
        <v>30</v>
      </c>
      <c r="AN95" s="366">
        <f t="shared" si="87"/>
        <v>0</v>
      </c>
      <c r="AO95" s="485">
        <v>1</v>
      </c>
      <c r="AP95" s="486">
        <f t="shared" si="88"/>
        <v>165</v>
      </c>
      <c r="AQ95" s="475"/>
      <c r="AR95" s="732">
        <v>4</v>
      </c>
      <c r="AS95" s="452">
        <v>4</v>
      </c>
      <c r="AT95" s="452">
        <v>0</v>
      </c>
      <c r="AU95" s="452" t="s">
        <v>291</v>
      </c>
      <c r="AV95" s="369">
        <f t="shared" si="89"/>
        <v>0.48484848484848486</v>
      </c>
      <c r="AW95" s="366">
        <f t="shared" si="90"/>
        <v>80</v>
      </c>
      <c r="AX95" s="369">
        <f t="shared" si="76"/>
        <v>0.48484848484848486</v>
      </c>
      <c r="AY95" s="366">
        <f t="shared" si="91"/>
        <v>80</v>
      </c>
      <c r="AZ95" s="369">
        <f t="shared" si="92"/>
        <v>0</v>
      </c>
      <c r="BA95" s="366">
        <f t="shared" si="93"/>
        <v>0</v>
      </c>
      <c r="BB95" s="474">
        <v>0</v>
      </c>
      <c r="BC95" s="490">
        <v>0.49</v>
      </c>
      <c r="BD95" s="370">
        <f t="shared" si="94"/>
        <v>80.849999999999994</v>
      </c>
      <c r="BE95" s="371">
        <f t="shared" si="95"/>
        <v>8.25</v>
      </c>
      <c r="BF95" s="452">
        <v>0</v>
      </c>
      <c r="BG95" s="452" t="s">
        <v>89</v>
      </c>
      <c r="BH95" s="369">
        <f t="shared" si="96"/>
        <v>0</v>
      </c>
      <c r="BI95" s="366">
        <f t="shared" si="97"/>
        <v>0</v>
      </c>
      <c r="BJ95" s="371">
        <f t="shared" si="98"/>
        <v>1.65</v>
      </c>
      <c r="BK95" s="490">
        <v>0</v>
      </c>
      <c r="BL95" s="366">
        <f t="shared" si="99"/>
        <v>0</v>
      </c>
      <c r="BM95" s="452">
        <v>0</v>
      </c>
      <c r="BN95" s="369">
        <f t="shared" si="100"/>
        <v>0</v>
      </c>
      <c r="BO95" s="371">
        <f t="shared" si="101"/>
        <v>1.65</v>
      </c>
      <c r="BP95" s="478">
        <v>0</v>
      </c>
      <c r="BQ95" s="500"/>
      <c r="BR95" s="502">
        <v>41780</v>
      </c>
      <c r="BS95" s="372" t="str">
        <f t="shared" si="107"/>
        <v>To be realised</v>
      </c>
      <c r="BT95" s="452">
        <v>30</v>
      </c>
      <c r="BU95" s="452">
        <v>10</v>
      </c>
      <c r="BV95" s="373">
        <f t="shared" si="102"/>
        <v>30</v>
      </c>
      <c r="BW95" s="374">
        <f t="shared" si="103"/>
        <v>0</v>
      </c>
      <c r="BX95" s="366">
        <f t="shared" si="104"/>
        <v>0</v>
      </c>
      <c r="BY95" s="387">
        <f t="shared" si="108"/>
        <v>4</v>
      </c>
      <c r="BZ95" s="468"/>
      <c r="CA95" s="482">
        <v>1</v>
      </c>
      <c r="CB95" s="389">
        <f t="shared" si="105"/>
        <v>165</v>
      </c>
      <c r="CC95" s="476">
        <v>0</v>
      </c>
      <c r="CD95" s="375" t="str">
        <f t="shared" si="106"/>
        <v>No coverage</v>
      </c>
      <c r="CE95" s="452">
        <v>0</v>
      </c>
      <c r="CF95" s="469" t="s">
        <v>66</v>
      </c>
      <c r="CG95" s="509"/>
    </row>
    <row r="96" spans="2:85" s="40" customFormat="1" ht="30.75" customHeight="1" x14ac:dyDescent="0.2">
      <c r="B96" s="449" t="s">
        <v>221</v>
      </c>
      <c r="C96" s="450" t="s">
        <v>826</v>
      </c>
      <c r="D96" s="451" t="s">
        <v>259</v>
      </c>
      <c r="E96" s="450" t="s">
        <v>827</v>
      </c>
      <c r="F96" s="451"/>
      <c r="G96" s="451"/>
      <c r="H96" s="451" t="s">
        <v>460</v>
      </c>
      <c r="I96" s="451" t="s">
        <v>214</v>
      </c>
      <c r="J96" s="457">
        <v>24</v>
      </c>
      <c r="K96" s="457">
        <v>83</v>
      </c>
      <c r="L96" s="457">
        <v>83</v>
      </c>
      <c r="M96" s="362" t="str">
        <f t="shared" si="70"/>
        <v>1. Small</v>
      </c>
      <c r="N96" s="701"/>
      <c r="O96" s="453"/>
      <c r="P96" s="461" t="s">
        <v>838</v>
      </c>
      <c r="Q96" s="382" t="str">
        <f t="shared" si="71"/>
        <v>Not covered</v>
      </c>
      <c r="R96" s="462" t="s">
        <v>629</v>
      </c>
      <c r="S96" s="453" t="s">
        <v>255</v>
      </c>
      <c r="T96" s="380" t="str">
        <f t="shared" si="72"/>
        <v>Not documented</v>
      </c>
      <c r="U96" s="468">
        <v>0</v>
      </c>
      <c r="V96" s="452">
        <v>0</v>
      </c>
      <c r="W96" s="469" t="s">
        <v>19</v>
      </c>
      <c r="X96" s="468">
        <v>0</v>
      </c>
      <c r="Y96" s="474">
        <v>1</v>
      </c>
      <c r="Z96" s="475">
        <v>0</v>
      </c>
      <c r="AA96" s="481">
        <v>0</v>
      </c>
      <c r="AB96" s="482">
        <v>0</v>
      </c>
      <c r="AC96" s="385">
        <f t="shared" si="79"/>
        <v>1</v>
      </c>
      <c r="AD96" s="364">
        <f t="shared" si="80"/>
        <v>83</v>
      </c>
      <c r="AE96" s="365">
        <f t="shared" si="81"/>
        <v>1</v>
      </c>
      <c r="AF96" s="366">
        <f t="shared" si="82"/>
        <v>83</v>
      </c>
      <c r="AG96" s="363">
        <f t="shared" si="73"/>
        <v>1</v>
      </c>
      <c r="AH96" s="366">
        <f t="shared" si="83"/>
        <v>83</v>
      </c>
      <c r="AI96" s="367" t="str">
        <f t="shared" si="74"/>
        <v>80-100%</v>
      </c>
      <c r="AJ96" s="363">
        <f t="shared" si="75"/>
        <v>0</v>
      </c>
      <c r="AK96" s="368">
        <f t="shared" si="84"/>
        <v>0</v>
      </c>
      <c r="AL96" s="366">
        <f t="shared" si="85"/>
        <v>0</v>
      </c>
      <c r="AM96" s="366">
        <f t="shared" si="86"/>
        <v>0</v>
      </c>
      <c r="AN96" s="366">
        <f t="shared" si="87"/>
        <v>0</v>
      </c>
      <c r="AO96" s="485">
        <v>1</v>
      </c>
      <c r="AP96" s="486">
        <f t="shared" si="88"/>
        <v>83</v>
      </c>
      <c r="AQ96" s="475"/>
      <c r="AR96" s="732">
        <v>24</v>
      </c>
      <c r="AS96" s="452">
        <v>24</v>
      </c>
      <c r="AT96" s="452">
        <v>0</v>
      </c>
      <c r="AU96" s="452" t="s">
        <v>89</v>
      </c>
      <c r="AV96" s="369">
        <f t="shared" si="89"/>
        <v>1</v>
      </c>
      <c r="AW96" s="366">
        <f t="shared" si="90"/>
        <v>83</v>
      </c>
      <c r="AX96" s="369">
        <f t="shared" si="76"/>
        <v>1</v>
      </c>
      <c r="AY96" s="366">
        <f t="shared" si="91"/>
        <v>83</v>
      </c>
      <c r="AZ96" s="369">
        <f t="shared" si="92"/>
        <v>0</v>
      </c>
      <c r="BA96" s="366">
        <f t="shared" si="93"/>
        <v>0</v>
      </c>
      <c r="BB96" s="452">
        <v>0</v>
      </c>
      <c r="BC96" s="490">
        <v>1</v>
      </c>
      <c r="BD96" s="370">
        <f t="shared" si="94"/>
        <v>83</v>
      </c>
      <c r="BE96" s="371">
        <f t="shared" si="95"/>
        <v>4.1500000000000004</v>
      </c>
      <c r="BF96" s="452">
        <v>0</v>
      </c>
      <c r="BG96" s="452" t="s">
        <v>89</v>
      </c>
      <c r="BH96" s="369">
        <f t="shared" si="96"/>
        <v>0</v>
      </c>
      <c r="BI96" s="366">
        <f t="shared" si="97"/>
        <v>0</v>
      </c>
      <c r="BJ96" s="371">
        <f t="shared" si="98"/>
        <v>0.83</v>
      </c>
      <c r="BK96" s="490">
        <v>0</v>
      </c>
      <c r="BL96" s="366">
        <f t="shared" si="99"/>
        <v>0</v>
      </c>
      <c r="BM96" s="452">
        <v>0</v>
      </c>
      <c r="BN96" s="369">
        <f t="shared" si="100"/>
        <v>0</v>
      </c>
      <c r="BO96" s="371">
        <f t="shared" si="101"/>
        <v>0.83</v>
      </c>
      <c r="BP96" s="478">
        <v>0</v>
      </c>
      <c r="BQ96" s="500" t="s">
        <v>873</v>
      </c>
      <c r="BR96" s="502"/>
      <c r="BS96" s="372" t="str">
        <f t="shared" si="107"/>
        <v>To be realised</v>
      </c>
      <c r="BT96" s="474">
        <v>0</v>
      </c>
      <c r="BU96" s="474">
        <v>0</v>
      </c>
      <c r="BV96" s="373">
        <f t="shared" si="102"/>
        <v>24</v>
      </c>
      <c r="BW96" s="374">
        <f t="shared" si="103"/>
        <v>0</v>
      </c>
      <c r="BX96" s="366">
        <f t="shared" si="104"/>
        <v>0</v>
      </c>
      <c r="BY96" s="387" t="str">
        <f t="shared" si="108"/>
        <v>Column BN to be completed</v>
      </c>
      <c r="BZ96" s="468"/>
      <c r="CA96" s="478">
        <v>0</v>
      </c>
      <c r="CB96" s="389">
        <f t="shared" si="105"/>
        <v>0</v>
      </c>
      <c r="CC96" s="468">
        <v>0</v>
      </c>
      <c r="CD96" s="375" t="str">
        <f t="shared" si="106"/>
        <v>No coverage</v>
      </c>
      <c r="CE96" s="474">
        <v>0</v>
      </c>
      <c r="CF96" s="469" t="s">
        <v>66</v>
      </c>
      <c r="CG96" s="509"/>
    </row>
    <row r="97" spans="2:85" s="40" customFormat="1" ht="30.75" customHeight="1" x14ac:dyDescent="0.2">
      <c r="B97" s="449" t="s">
        <v>221</v>
      </c>
      <c r="C97" s="450" t="s">
        <v>828</v>
      </c>
      <c r="D97" s="451" t="s">
        <v>259</v>
      </c>
      <c r="E97" s="450" t="s">
        <v>829</v>
      </c>
      <c r="F97" s="451"/>
      <c r="G97" s="451"/>
      <c r="H97" s="451" t="s">
        <v>460</v>
      </c>
      <c r="I97" s="451" t="s">
        <v>214</v>
      </c>
      <c r="J97" s="457">
        <v>20</v>
      </c>
      <c r="K97" s="457">
        <v>82</v>
      </c>
      <c r="L97" s="457">
        <v>82</v>
      </c>
      <c r="M97" s="362" t="str">
        <f t="shared" ref="M97:M127" si="109">IF(J97&gt;50,IF(J97&gt;250,IF(J97&gt;500,IF(J97&gt;1000,"5. Massive","4. Big"),"3. Large"),"2. Medium"),"1. Small")</f>
        <v>1. Small</v>
      </c>
      <c r="N97" s="701"/>
      <c r="O97" s="453"/>
      <c r="P97" s="461" t="s">
        <v>838</v>
      </c>
      <c r="Q97" s="382" t="str">
        <f t="shared" si="71"/>
        <v>Not covered</v>
      </c>
      <c r="R97" s="462" t="s">
        <v>629</v>
      </c>
      <c r="S97" s="453" t="s">
        <v>255</v>
      </c>
      <c r="T97" s="380" t="str">
        <f t="shared" si="72"/>
        <v>Not documented</v>
      </c>
      <c r="U97" s="468">
        <v>0</v>
      </c>
      <c r="V97" s="452">
        <v>0</v>
      </c>
      <c r="W97" s="469" t="s">
        <v>19</v>
      </c>
      <c r="X97" s="468">
        <v>0</v>
      </c>
      <c r="Y97" s="474">
        <v>1</v>
      </c>
      <c r="Z97" s="475">
        <v>0</v>
      </c>
      <c r="AA97" s="481">
        <v>0</v>
      </c>
      <c r="AB97" s="482">
        <v>0</v>
      </c>
      <c r="AC97" s="385">
        <f t="shared" si="79"/>
        <v>1</v>
      </c>
      <c r="AD97" s="364">
        <f t="shared" si="80"/>
        <v>82</v>
      </c>
      <c r="AE97" s="365">
        <f t="shared" si="81"/>
        <v>1</v>
      </c>
      <c r="AF97" s="366">
        <f t="shared" si="82"/>
        <v>82</v>
      </c>
      <c r="AG97" s="363">
        <f t="shared" ref="AG97:AG127" si="110">IF(AB97=0,AC97,IF(AB97&lt;AC97,AC97,AB97))</f>
        <v>1</v>
      </c>
      <c r="AH97" s="366">
        <f t="shared" si="83"/>
        <v>82</v>
      </c>
      <c r="AI97" s="367" t="str">
        <f t="shared" ref="AI97:AI127" si="111">IF(AC97&gt;0.15,IF(AC97&gt;0.3,IF(AC97&gt;0.45,IF(AC97&gt;0.6,IF(AC97&gt;0.8,"80-100%","60-80%"),"45-60%"),"30-45%"),"15-30%"),"0-10%")</f>
        <v>80-100%</v>
      </c>
      <c r="AJ97" s="363">
        <f t="shared" ref="AJ97:AJ127" si="112">IF((AC97-AE97)&lt; 0, 0, AC97-AE97)</f>
        <v>0</v>
      </c>
      <c r="AK97" s="368">
        <f t="shared" si="84"/>
        <v>0</v>
      </c>
      <c r="AL97" s="366">
        <f t="shared" si="85"/>
        <v>0</v>
      </c>
      <c r="AM97" s="366">
        <f t="shared" si="86"/>
        <v>0</v>
      </c>
      <c r="AN97" s="366">
        <f t="shared" si="87"/>
        <v>0</v>
      </c>
      <c r="AO97" s="485">
        <v>1</v>
      </c>
      <c r="AP97" s="486">
        <f t="shared" si="88"/>
        <v>82</v>
      </c>
      <c r="AQ97" s="475"/>
      <c r="AR97" s="732">
        <v>9</v>
      </c>
      <c r="AS97" s="452">
        <v>20</v>
      </c>
      <c r="AT97" s="452">
        <v>0</v>
      </c>
      <c r="AU97" s="452" t="s">
        <v>677</v>
      </c>
      <c r="AV97" s="369">
        <f t="shared" si="89"/>
        <v>1</v>
      </c>
      <c r="AW97" s="366">
        <f t="shared" si="90"/>
        <v>82</v>
      </c>
      <c r="AX97" s="369">
        <f t="shared" ref="AX97:AX127" si="113">AV97-AZ97</f>
        <v>1</v>
      </c>
      <c r="AY97" s="366">
        <f t="shared" si="91"/>
        <v>82</v>
      </c>
      <c r="AZ97" s="369">
        <f t="shared" si="92"/>
        <v>0</v>
      </c>
      <c r="BA97" s="366">
        <f t="shared" si="93"/>
        <v>0</v>
      </c>
      <c r="BB97" s="474">
        <v>0</v>
      </c>
      <c r="BC97" s="490">
        <v>1</v>
      </c>
      <c r="BD97" s="370">
        <f t="shared" si="94"/>
        <v>82</v>
      </c>
      <c r="BE97" s="371">
        <f t="shared" si="95"/>
        <v>4.0999999999999996</v>
      </c>
      <c r="BF97" s="452">
        <v>0</v>
      </c>
      <c r="BG97" s="452" t="s">
        <v>89</v>
      </c>
      <c r="BH97" s="369">
        <f t="shared" si="96"/>
        <v>0</v>
      </c>
      <c r="BI97" s="366">
        <f t="shared" si="97"/>
        <v>0</v>
      </c>
      <c r="BJ97" s="371">
        <f t="shared" si="98"/>
        <v>0.82</v>
      </c>
      <c r="BK97" s="490">
        <v>0</v>
      </c>
      <c r="BL97" s="366">
        <f t="shared" si="99"/>
        <v>0</v>
      </c>
      <c r="BM97" s="452">
        <v>0</v>
      </c>
      <c r="BN97" s="369">
        <f t="shared" si="100"/>
        <v>0</v>
      </c>
      <c r="BO97" s="371">
        <f t="shared" si="101"/>
        <v>0.82</v>
      </c>
      <c r="BP97" s="478">
        <v>0</v>
      </c>
      <c r="BQ97" s="500" t="s">
        <v>873</v>
      </c>
      <c r="BR97" s="502"/>
      <c r="BS97" s="372" t="str">
        <f t="shared" si="107"/>
        <v>To be realised</v>
      </c>
      <c r="BT97" s="474">
        <v>0</v>
      </c>
      <c r="BU97" s="474">
        <v>0</v>
      </c>
      <c r="BV97" s="373">
        <f t="shared" si="102"/>
        <v>20</v>
      </c>
      <c r="BW97" s="374">
        <f t="shared" si="103"/>
        <v>0</v>
      </c>
      <c r="BX97" s="366">
        <f t="shared" si="104"/>
        <v>0</v>
      </c>
      <c r="BY97" s="387" t="str">
        <f t="shared" si="108"/>
        <v>Column BN to be completed</v>
      </c>
      <c r="BZ97" s="468"/>
      <c r="CA97" s="478">
        <v>0</v>
      </c>
      <c r="CB97" s="389">
        <f t="shared" si="105"/>
        <v>0</v>
      </c>
      <c r="CC97" s="468">
        <v>0</v>
      </c>
      <c r="CD97" s="375" t="str">
        <f t="shared" si="106"/>
        <v>No coverage</v>
      </c>
      <c r="CE97" s="474">
        <v>0</v>
      </c>
      <c r="CF97" s="469" t="s">
        <v>66</v>
      </c>
      <c r="CG97" s="509"/>
    </row>
    <row r="98" spans="2:85" s="40" customFormat="1" ht="30.75" customHeight="1" x14ac:dyDescent="0.2">
      <c r="B98" s="449" t="s">
        <v>221</v>
      </c>
      <c r="C98" s="450" t="s">
        <v>830</v>
      </c>
      <c r="D98" s="451" t="s">
        <v>259</v>
      </c>
      <c r="E98" s="450" t="s">
        <v>831</v>
      </c>
      <c r="F98" s="451">
        <v>96.94135</v>
      </c>
      <c r="G98" s="451">
        <v>25.294460000000001</v>
      </c>
      <c r="H98" s="451" t="s">
        <v>449</v>
      </c>
      <c r="I98" s="451" t="s">
        <v>214</v>
      </c>
      <c r="J98" s="452">
        <v>15</v>
      </c>
      <c r="K98" s="452">
        <v>23</v>
      </c>
      <c r="L98" s="452">
        <v>34</v>
      </c>
      <c r="M98" s="362" t="str">
        <f t="shared" si="109"/>
        <v>1. Small</v>
      </c>
      <c r="N98" s="701" t="s">
        <v>834</v>
      </c>
      <c r="O98" s="453" t="s">
        <v>231</v>
      </c>
      <c r="P98" s="461" t="s">
        <v>231</v>
      </c>
      <c r="Q98" s="382" t="str">
        <f t="shared" si="71"/>
        <v>Covered</v>
      </c>
      <c r="R98" s="462">
        <v>42369</v>
      </c>
      <c r="S98" s="453" t="s">
        <v>253</v>
      </c>
      <c r="T98" s="380" t="str">
        <f t="shared" si="72"/>
        <v>Documented</v>
      </c>
      <c r="U98" s="468">
        <v>0</v>
      </c>
      <c r="V98" s="452">
        <v>0</v>
      </c>
      <c r="W98" s="469" t="s">
        <v>19</v>
      </c>
      <c r="X98" s="468">
        <v>0</v>
      </c>
      <c r="Y98" s="474">
        <v>1</v>
      </c>
      <c r="Z98" s="475">
        <v>0</v>
      </c>
      <c r="AA98" s="481">
        <v>0</v>
      </c>
      <c r="AB98" s="482">
        <v>0</v>
      </c>
      <c r="AC98" s="385">
        <f t="shared" si="79"/>
        <v>1</v>
      </c>
      <c r="AD98" s="364">
        <f t="shared" si="80"/>
        <v>34</v>
      </c>
      <c r="AE98" s="365">
        <f t="shared" si="81"/>
        <v>1</v>
      </c>
      <c r="AF98" s="366">
        <f t="shared" si="82"/>
        <v>34</v>
      </c>
      <c r="AG98" s="363">
        <f t="shared" si="110"/>
        <v>1</v>
      </c>
      <c r="AH98" s="366">
        <f t="shared" si="83"/>
        <v>34</v>
      </c>
      <c r="AI98" s="367" t="str">
        <f t="shared" si="111"/>
        <v>80-100%</v>
      </c>
      <c r="AJ98" s="363">
        <f t="shared" si="112"/>
        <v>0</v>
      </c>
      <c r="AK98" s="368">
        <f t="shared" si="84"/>
        <v>0</v>
      </c>
      <c r="AL98" s="366">
        <f t="shared" si="85"/>
        <v>0</v>
      </c>
      <c r="AM98" s="366">
        <f t="shared" si="86"/>
        <v>0</v>
      </c>
      <c r="AN98" s="366">
        <f t="shared" si="87"/>
        <v>0</v>
      </c>
      <c r="AO98" s="485">
        <v>1</v>
      </c>
      <c r="AP98" s="486">
        <f t="shared" si="88"/>
        <v>34</v>
      </c>
      <c r="AQ98" s="475"/>
      <c r="AR98" s="732">
        <v>285</v>
      </c>
      <c r="AS98" s="452">
        <v>2</v>
      </c>
      <c r="AT98" s="452">
        <v>0</v>
      </c>
      <c r="AU98" s="452" t="s">
        <v>739</v>
      </c>
      <c r="AV98" s="369">
        <f t="shared" si="89"/>
        <v>1</v>
      </c>
      <c r="AW98" s="366">
        <f t="shared" si="90"/>
        <v>34</v>
      </c>
      <c r="AX98" s="369">
        <f t="shared" si="113"/>
        <v>1</v>
      </c>
      <c r="AY98" s="366">
        <f t="shared" si="91"/>
        <v>34</v>
      </c>
      <c r="AZ98" s="369">
        <f t="shared" si="92"/>
        <v>0</v>
      </c>
      <c r="BA98" s="366">
        <f t="shared" si="93"/>
        <v>0</v>
      </c>
      <c r="BB98" s="474">
        <v>0</v>
      </c>
      <c r="BC98" s="490">
        <v>1</v>
      </c>
      <c r="BD98" s="370">
        <f t="shared" si="94"/>
        <v>34</v>
      </c>
      <c r="BE98" s="371">
        <f t="shared" si="95"/>
        <v>1.7</v>
      </c>
      <c r="BF98" s="452">
        <v>0</v>
      </c>
      <c r="BG98" s="452" t="s">
        <v>89</v>
      </c>
      <c r="BH98" s="369">
        <f t="shared" si="96"/>
        <v>0</v>
      </c>
      <c r="BI98" s="366">
        <f t="shared" si="97"/>
        <v>0</v>
      </c>
      <c r="BJ98" s="371">
        <f t="shared" si="98"/>
        <v>0.23</v>
      </c>
      <c r="BK98" s="490">
        <v>0</v>
      </c>
      <c r="BL98" s="366">
        <f t="shared" si="99"/>
        <v>0</v>
      </c>
      <c r="BM98" s="452">
        <v>0</v>
      </c>
      <c r="BN98" s="369">
        <f t="shared" si="100"/>
        <v>0</v>
      </c>
      <c r="BO98" s="371">
        <f t="shared" si="101"/>
        <v>0.23</v>
      </c>
      <c r="BP98" s="478">
        <v>0</v>
      </c>
      <c r="BQ98" s="500" t="s">
        <v>874</v>
      </c>
      <c r="BR98" s="502"/>
      <c r="BS98" s="372" t="str">
        <f t="shared" si="107"/>
        <v>To be realised</v>
      </c>
      <c r="BT98" s="474">
        <v>0</v>
      </c>
      <c r="BU98" s="474">
        <v>0</v>
      </c>
      <c r="BV98" s="373">
        <f t="shared" si="102"/>
        <v>15</v>
      </c>
      <c r="BW98" s="374">
        <f t="shared" si="103"/>
        <v>0</v>
      </c>
      <c r="BX98" s="366">
        <f t="shared" si="104"/>
        <v>0</v>
      </c>
      <c r="BY98" s="387" t="str">
        <f t="shared" si="108"/>
        <v>Column BN to be completed</v>
      </c>
      <c r="BZ98" s="468"/>
      <c r="CA98" s="478">
        <v>0</v>
      </c>
      <c r="CB98" s="389">
        <f t="shared" si="105"/>
        <v>0</v>
      </c>
      <c r="CC98" s="468">
        <v>0</v>
      </c>
      <c r="CD98" s="375" t="str">
        <f t="shared" si="106"/>
        <v>No coverage</v>
      </c>
      <c r="CE98" s="474">
        <v>0</v>
      </c>
      <c r="CF98" s="469" t="s">
        <v>66</v>
      </c>
      <c r="CG98" s="509"/>
    </row>
    <row r="99" spans="2:85" s="40" customFormat="1" ht="30.75" customHeight="1" x14ac:dyDescent="0.2">
      <c r="B99" s="449" t="s">
        <v>176</v>
      </c>
      <c r="C99" s="450" t="s">
        <v>509</v>
      </c>
      <c r="D99" s="451" t="s">
        <v>260</v>
      </c>
      <c r="E99" s="450" t="s">
        <v>177</v>
      </c>
      <c r="F99" s="451">
        <v>97.252650000000003</v>
      </c>
      <c r="G99" s="451">
        <v>24.260466999999998</v>
      </c>
      <c r="H99" s="451" t="s">
        <v>449</v>
      </c>
      <c r="I99" s="451" t="s">
        <v>214</v>
      </c>
      <c r="J99" s="452">
        <v>13</v>
      </c>
      <c r="K99" s="452">
        <v>58</v>
      </c>
      <c r="L99" s="452">
        <v>58</v>
      </c>
      <c r="M99" s="362" t="str">
        <f t="shared" si="109"/>
        <v>1. Small</v>
      </c>
      <c r="N99" s="701" t="s">
        <v>868</v>
      </c>
      <c r="O99" s="453" t="s">
        <v>235</v>
      </c>
      <c r="P99" s="461" t="s">
        <v>233</v>
      </c>
      <c r="Q99" s="382" t="str">
        <f t="shared" si="71"/>
        <v>Covered</v>
      </c>
      <c r="R99" s="462">
        <v>42459</v>
      </c>
      <c r="S99" s="453" t="s">
        <v>253</v>
      </c>
      <c r="T99" s="380" t="str">
        <f t="shared" si="72"/>
        <v>Documented</v>
      </c>
      <c r="U99" s="468">
        <v>0</v>
      </c>
      <c r="V99" s="452">
        <v>0</v>
      </c>
      <c r="W99" s="469" t="s">
        <v>19</v>
      </c>
      <c r="X99" s="468">
        <v>1</v>
      </c>
      <c r="Y99" s="474">
        <v>0</v>
      </c>
      <c r="Z99" s="475">
        <v>0</v>
      </c>
      <c r="AA99" s="481">
        <v>0</v>
      </c>
      <c r="AB99" s="482">
        <v>0</v>
      </c>
      <c r="AC99" s="385">
        <f t="shared" ref="AC99:AC129" si="114">IF((((U99/15)+((V99/30)/15)+X99*400+Y99*500+(Z99/15))/L99)&gt;1,1,(((U99/15)+((V99/30)/15)+X99*400+Y99*500+(Z99/15))/L99))</f>
        <v>1</v>
      </c>
      <c r="AD99" s="364">
        <f t="shared" ref="AD99:AD129" si="115">AC99*L99</f>
        <v>58</v>
      </c>
      <c r="AE99" s="365">
        <f t="shared" ref="AE99:AE129" si="116">IF(((X99*400+Y99*500+(Z99/15))/L99)&gt;1,1,(X99*400+Y99*500+(Z99/15))/L99)</f>
        <v>1</v>
      </c>
      <c r="AF99" s="366">
        <f t="shared" ref="AF99:AF129" si="117">AE99*L99</f>
        <v>58</v>
      </c>
      <c r="AG99" s="363">
        <f t="shared" si="110"/>
        <v>1</v>
      </c>
      <c r="AH99" s="366">
        <f t="shared" ref="AH99:AH129" si="118">AG99*L99</f>
        <v>58</v>
      </c>
      <c r="AI99" s="367" t="str">
        <f t="shared" si="111"/>
        <v>80-100%</v>
      </c>
      <c r="AJ99" s="363">
        <f t="shared" si="112"/>
        <v>0</v>
      </c>
      <c r="AK99" s="368">
        <f t="shared" ref="AK99:AK129" si="119">AJ99*L99</f>
        <v>0</v>
      </c>
      <c r="AL99" s="366">
        <f t="shared" ref="AL99:AL129" si="120">IF(L99/400-(X99+Y99)&lt;0,0,L99/400-(X99+Y99))</f>
        <v>0</v>
      </c>
      <c r="AM99" s="366">
        <f t="shared" ref="AM99:AM129" si="121">AB99*J99</f>
        <v>0</v>
      </c>
      <c r="AN99" s="366">
        <f t="shared" ref="AN99:AN129" si="122">AA99*L99</f>
        <v>0</v>
      </c>
      <c r="AO99" s="485">
        <v>1</v>
      </c>
      <c r="AP99" s="486">
        <f t="shared" ref="AP99:AP129" si="123">AO99*L99</f>
        <v>58</v>
      </c>
      <c r="AQ99" s="475"/>
      <c r="AR99" s="732">
        <v>112</v>
      </c>
      <c r="AS99" s="452">
        <v>3</v>
      </c>
      <c r="AT99" s="452">
        <v>0</v>
      </c>
      <c r="AU99" s="452" t="s">
        <v>739</v>
      </c>
      <c r="AV99" s="369">
        <f t="shared" ref="AV99:AV129" si="124">IF((((AS99+AT99)*20)/L99)&gt;1,1,(((AS99+AT99)*20)/L99))</f>
        <v>1</v>
      </c>
      <c r="AW99" s="366">
        <f t="shared" ref="AW99:AW129" si="125">AV99*L99</f>
        <v>58</v>
      </c>
      <c r="AX99" s="369">
        <f t="shared" si="113"/>
        <v>1</v>
      </c>
      <c r="AY99" s="366">
        <f t="shared" ref="AY99:AY129" si="126">AX99*L99</f>
        <v>58</v>
      </c>
      <c r="AZ99" s="369">
        <f t="shared" ref="AZ99:AZ129" si="127">IF(((AT99*20)/L99)&gt;1,1,((AT99*20)/L99))</f>
        <v>0</v>
      </c>
      <c r="BA99" s="366">
        <f t="shared" ref="BA99:BA129" si="128">AZ99*L99</f>
        <v>0</v>
      </c>
      <c r="BB99" s="474">
        <v>0</v>
      </c>
      <c r="BC99" s="490">
        <v>1</v>
      </c>
      <c r="BD99" s="370">
        <f t="shared" ref="BD99:BD129" si="129">BC99*L99</f>
        <v>58</v>
      </c>
      <c r="BE99" s="371">
        <f t="shared" ref="BE99:BE129" si="130">IF((L99/20-AT99+BB99)&lt;0,0,(L99/20-AT99+BB99))</f>
        <v>2.9</v>
      </c>
      <c r="BF99" s="452">
        <v>0</v>
      </c>
      <c r="BG99" s="452" t="s">
        <v>89</v>
      </c>
      <c r="BH99" s="369">
        <f t="shared" ref="BH99:BH129" si="131">IF((BF99*100/L99)&gt;1,1,(BF99*100/L99))</f>
        <v>0</v>
      </c>
      <c r="BI99" s="366">
        <f t="shared" ref="BI99:BI129" si="132">BH99*L99</f>
        <v>0</v>
      </c>
      <c r="BJ99" s="371">
        <f t="shared" ref="BJ99:BJ129" si="133">IF(K99/100-BF99&lt;0,0,K99/100-BF99)</f>
        <v>0.57999999999999996</v>
      </c>
      <c r="BK99" s="490">
        <v>0</v>
      </c>
      <c r="BL99" s="366">
        <f t="shared" ref="BL99:BL129" si="134">BK99*L99</f>
        <v>0</v>
      </c>
      <c r="BM99" s="452">
        <v>1</v>
      </c>
      <c r="BN99" s="369">
        <f t="shared" ref="BN99:BN129" si="135">IF((BM99*100/L99)&gt;1,1,(BM99*100/L99))</f>
        <v>1</v>
      </c>
      <c r="BO99" s="371">
        <f t="shared" ref="BO99:BO129" si="136">IF(K99/100-BM99&lt;0,0,K99/100-BM99)</f>
        <v>0</v>
      </c>
      <c r="BP99" s="478">
        <v>1</v>
      </c>
      <c r="BQ99" s="500"/>
      <c r="BR99" s="502">
        <v>41771</v>
      </c>
      <c r="BS99" s="372" t="str">
        <f t="shared" si="107"/>
        <v>To be realised</v>
      </c>
      <c r="BT99" s="474">
        <v>13</v>
      </c>
      <c r="BU99" s="474">
        <v>6</v>
      </c>
      <c r="BV99" s="373">
        <f t="shared" ref="BV99:BV129" si="137">IF(BS99="n/a",0,IF(BS99="To be realised",J99,IF((J99-BT99)&lt;0,0,(J99-BT99))))</f>
        <v>13</v>
      </c>
      <c r="BW99" s="374">
        <f t="shared" ref="BW99:BW129" si="138">IF(BV99=0,1,(J99-BV99)/J99)</f>
        <v>0</v>
      </c>
      <c r="BX99" s="366">
        <f t="shared" ref="BX99:BX129" si="139">BW99*L99</f>
        <v>0</v>
      </c>
      <c r="BY99" s="387">
        <f t="shared" si="108"/>
        <v>8</v>
      </c>
      <c r="BZ99" s="468"/>
      <c r="CA99" s="478">
        <v>0.9</v>
      </c>
      <c r="CB99" s="389">
        <f t="shared" ref="CB99:CB129" si="140">CA99*L99</f>
        <v>52.2</v>
      </c>
      <c r="CC99" s="468">
        <v>0</v>
      </c>
      <c r="CD99" s="375" t="str">
        <f t="shared" ref="CD99:CD129" si="141">IF(CC99=0,"No coverage",IF(L99/CC99&gt;1000,"Low coverage",IF(L99/CC99&gt;750,"Average coverage",IF(L99/CC99&gt;500,"Good coverage","Excellent coverage"))))</f>
        <v>No coverage</v>
      </c>
      <c r="CE99" s="474">
        <v>0</v>
      </c>
      <c r="CF99" s="469" t="s">
        <v>66</v>
      </c>
      <c r="CG99" s="509"/>
    </row>
    <row r="100" spans="2:85" s="40" customFormat="1" ht="30.75" customHeight="1" x14ac:dyDescent="0.25">
      <c r="B100" s="449" t="s">
        <v>176</v>
      </c>
      <c r="C100" s="450" t="s">
        <v>510</v>
      </c>
      <c r="D100" s="451" t="s">
        <v>260</v>
      </c>
      <c r="E100" s="450" t="s">
        <v>275</v>
      </c>
      <c r="F100" s="451">
        <v>97.236919999999998</v>
      </c>
      <c r="G100" s="451">
        <v>24.24766</v>
      </c>
      <c r="H100" s="451" t="s">
        <v>449</v>
      </c>
      <c r="I100" s="451" t="s">
        <v>214</v>
      </c>
      <c r="J100" s="455">
        <v>45</v>
      </c>
      <c r="K100" s="455">
        <v>241</v>
      </c>
      <c r="L100" s="455">
        <v>241</v>
      </c>
      <c r="M100" s="362" t="str">
        <f t="shared" si="109"/>
        <v>1. Small</v>
      </c>
      <c r="N100" s="701" t="s">
        <v>868</v>
      </c>
      <c r="O100" s="456" t="s">
        <v>235</v>
      </c>
      <c r="P100" s="463" t="s">
        <v>233</v>
      </c>
      <c r="Q100" s="382" t="str">
        <f t="shared" si="71"/>
        <v>Covered</v>
      </c>
      <c r="R100" s="464">
        <v>42459</v>
      </c>
      <c r="S100" s="465" t="s">
        <v>253</v>
      </c>
      <c r="T100" s="380" t="str">
        <f t="shared" si="72"/>
        <v>Documented</v>
      </c>
      <c r="U100" s="470">
        <v>0</v>
      </c>
      <c r="V100" s="455">
        <v>0</v>
      </c>
      <c r="W100" s="471" t="s">
        <v>19</v>
      </c>
      <c r="X100" s="470">
        <v>1</v>
      </c>
      <c r="Y100" s="455">
        <v>0</v>
      </c>
      <c r="Z100" s="471">
        <v>14400</v>
      </c>
      <c r="AA100" s="479">
        <v>0</v>
      </c>
      <c r="AB100" s="480">
        <v>0</v>
      </c>
      <c r="AC100" s="385">
        <f t="shared" si="114"/>
        <v>1</v>
      </c>
      <c r="AD100" s="364">
        <f t="shared" si="115"/>
        <v>241</v>
      </c>
      <c r="AE100" s="365">
        <f t="shared" si="116"/>
        <v>1</v>
      </c>
      <c r="AF100" s="366">
        <f t="shared" si="117"/>
        <v>241</v>
      </c>
      <c r="AG100" s="363">
        <f t="shared" si="110"/>
        <v>1</v>
      </c>
      <c r="AH100" s="366">
        <f t="shared" si="118"/>
        <v>241</v>
      </c>
      <c r="AI100" s="367" t="str">
        <f t="shared" si="111"/>
        <v>80-100%</v>
      </c>
      <c r="AJ100" s="363">
        <f t="shared" si="112"/>
        <v>0</v>
      </c>
      <c r="AK100" s="368">
        <f t="shared" si="119"/>
        <v>0</v>
      </c>
      <c r="AL100" s="366">
        <f t="shared" si="120"/>
        <v>0</v>
      </c>
      <c r="AM100" s="366">
        <f t="shared" si="121"/>
        <v>0</v>
      </c>
      <c r="AN100" s="366">
        <f t="shared" si="122"/>
        <v>0</v>
      </c>
      <c r="AO100" s="488">
        <v>1</v>
      </c>
      <c r="AP100" s="486">
        <f t="shared" si="123"/>
        <v>241</v>
      </c>
      <c r="AQ100" s="480"/>
      <c r="AR100" s="733">
        <v>25</v>
      </c>
      <c r="AS100" s="455">
        <v>0</v>
      </c>
      <c r="AT100" s="455">
        <v>7</v>
      </c>
      <c r="AU100" s="455" t="s">
        <v>290</v>
      </c>
      <c r="AV100" s="369">
        <f t="shared" si="124"/>
        <v>0.58091286307053946</v>
      </c>
      <c r="AW100" s="366">
        <f t="shared" si="125"/>
        <v>140</v>
      </c>
      <c r="AX100" s="369">
        <f t="shared" si="113"/>
        <v>0</v>
      </c>
      <c r="AY100" s="366">
        <f t="shared" si="126"/>
        <v>0</v>
      </c>
      <c r="AZ100" s="369">
        <f t="shared" si="127"/>
        <v>0.58091286307053946</v>
      </c>
      <c r="BA100" s="366">
        <f t="shared" si="128"/>
        <v>140</v>
      </c>
      <c r="BB100" s="493">
        <v>0</v>
      </c>
      <c r="BC100" s="488">
        <v>0.69</v>
      </c>
      <c r="BD100" s="370">
        <f t="shared" si="129"/>
        <v>166.29</v>
      </c>
      <c r="BE100" s="371">
        <f t="shared" si="130"/>
        <v>5.0500000000000007</v>
      </c>
      <c r="BF100" s="455">
        <v>2</v>
      </c>
      <c r="BG100" s="455" t="s">
        <v>292</v>
      </c>
      <c r="BH100" s="369">
        <f t="shared" si="131"/>
        <v>0.82987551867219922</v>
      </c>
      <c r="BI100" s="366">
        <f t="shared" si="132"/>
        <v>200</v>
      </c>
      <c r="BJ100" s="371">
        <f t="shared" si="133"/>
        <v>0.41000000000000014</v>
      </c>
      <c r="BK100" s="494">
        <v>0.83</v>
      </c>
      <c r="BL100" s="366">
        <f t="shared" si="134"/>
        <v>200.03</v>
      </c>
      <c r="BM100" s="455">
        <v>2</v>
      </c>
      <c r="BN100" s="369">
        <f t="shared" si="135"/>
        <v>0.82987551867219922</v>
      </c>
      <c r="BO100" s="371">
        <f t="shared" si="136"/>
        <v>0.41000000000000014</v>
      </c>
      <c r="BP100" s="480">
        <v>0.83</v>
      </c>
      <c r="BQ100" s="501"/>
      <c r="BR100" s="503">
        <v>41828</v>
      </c>
      <c r="BS100" s="372" t="str">
        <f t="shared" si="107"/>
        <v>To be realised</v>
      </c>
      <c r="BT100" s="493">
        <v>46</v>
      </c>
      <c r="BU100" s="493">
        <v>6</v>
      </c>
      <c r="BV100" s="373">
        <f t="shared" si="137"/>
        <v>45</v>
      </c>
      <c r="BW100" s="374">
        <f t="shared" si="138"/>
        <v>0</v>
      </c>
      <c r="BX100" s="366">
        <f t="shared" si="139"/>
        <v>0</v>
      </c>
      <c r="BY100" s="387">
        <f t="shared" si="108"/>
        <v>6</v>
      </c>
      <c r="BZ100" s="505"/>
      <c r="CA100" s="480">
        <v>0.8</v>
      </c>
      <c r="CB100" s="389">
        <f t="shared" si="140"/>
        <v>192.8</v>
      </c>
      <c r="CC100" s="505">
        <v>1</v>
      </c>
      <c r="CD100" s="375" t="str">
        <f t="shared" si="141"/>
        <v>Excellent coverage</v>
      </c>
      <c r="CE100" s="474">
        <v>0</v>
      </c>
      <c r="CF100" s="513" t="s">
        <v>65</v>
      </c>
      <c r="CG100" s="512"/>
    </row>
    <row r="101" spans="2:85" s="40" customFormat="1" ht="30.75" customHeight="1" x14ac:dyDescent="0.25">
      <c r="B101" s="449" t="s">
        <v>176</v>
      </c>
      <c r="C101" s="450" t="s">
        <v>511</v>
      </c>
      <c r="D101" s="451" t="s">
        <v>260</v>
      </c>
      <c r="E101" s="450" t="s">
        <v>178</v>
      </c>
      <c r="F101" s="451">
        <v>97.241630000000001</v>
      </c>
      <c r="G101" s="451">
        <v>24.266110000000001</v>
      </c>
      <c r="H101" s="451" t="s">
        <v>449</v>
      </c>
      <c r="I101" s="451" t="s">
        <v>214</v>
      </c>
      <c r="J101" s="455">
        <v>91</v>
      </c>
      <c r="K101" s="455">
        <v>641</v>
      </c>
      <c r="L101" s="455">
        <v>641</v>
      </c>
      <c r="M101" s="362" t="str">
        <f t="shared" si="109"/>
        <v>2. Medium</v>
      </c>
      <c r="N101" s="701" t="s">
        <v>868</v>
      </c>
      <c r="O101" s="456" t="s">
        <v>276</v>
      </c>
      <c r="P101" s="463" t="s">
        <v>233</v>
      </c>
      <c r="Q101" s="382" t="str">
        <f t="shared" si="71"/>
        <v>Covered</v>
      </c>
      <c r="R101" s="464">
        <v>42459</v>
      </c>
      <c r="S101" s="465" t="s">
        <v>253</v>
      </c>
      <c r="T101" s="380" t="str">
        <f t="shared" si="72"/>
        <v>Documented</v>
      </c>
      <c r="U101" s="470">
        <v>0</v>
      </c>
      <c r="V101" s="455">
        <v>0</v>
      </c>
      <c r="W101" s="471" t="s">
        <v>19</v>
      </c>
      <c r="X101" s="470">
        <v>3</v>
      </c>
      <c r="Y101" s="455">
        <v>0</v>
      </c>
      <c r="Z101" s="471">
        <v>13500</v>
      </c>
      <c r="AA101" s="479">
        <v>0</v>
      </c>
      <c r="AB101" s="480">
        <v>0</v>
      </c>
      <c r="AC101" s="385">
        <f t="shared" si="114"/>
        <v>1</v>
      </c>
      <c r="AD101" s="364">
        <f t="shared" si="115"/>
        <v>641</v>
      </c>
      <c r="AE101" s="365">
        <f t="shared" si="116"/>
        <v>1</v>
      </c>
      <c r="AF101" s="366">
        <f t="shared" si="117"/>
        <v>641</v>
      </c>
      <c r="AG101" s="363">
        <f t="shared" si="110"/>
        <v>1</v>
      </c>
      <c r="AH101" s="366">
        <f t="shared" si="118"/>
        <v>641</v>
      </c>
      <c r="AI101" s="367" t="str">
        <f t="shared" si="111"/>
        <v>80-100%</v>
      </c>
      <c r="AJ101" s="363">
        <f t="shared" si="112"/>
        <v>0</v>
      </c>
      <c r="AK101" s="368">
        <f t="shared" si="119"/>
        <v>0</v>
      </c>
      <c r="AL101" s="366">
        <f t="shared" si="120"/>
        <v>0</v>
      </c>
      <c r="AM101" s="366">
        <f t="shared" si="121"/>
        <v>0</v>
      </c>
      <c r="AN101" s="366">
        <f t="shared" si="122"/>
        <v>0</v>
      </c>
      <c r="AO101" s="488">
        <v>1</v>
      </c>
      <c r="AP101" s="486">
        <f t="shared" si="123"/>
        <v>641</v>
      </c>
      <c r="AQ101" s="480"/>
      <c r="AR101" s="733">
        <v>5</v>
      </c>
      <c r="AS101" s="455">
        <v>7</v>
      </c>
      <c r="AT101" s="455">
        <v>14</v>
      </c>
      <c r="AU101" s="455" t="s">
        <v>290</v>
      </c>
      <c r="AV101" s="369">
        <f t="shared" si="124"/>
        <v>0.65522620904836193</v>
      </c>
      <c r="AW101" s="366">
        <f t="shared" si="125"/>
        <v>420</v>
      </c>
      <c r="AX101" s="369">
        <f t="shared" si="113"/>
        <v>0.21840873634945396</v>
      </c>
      <c r="AY101" s="366">
        <f t="shared" si="126"/>
        <v>140</v>
      </c>
      <c r="AZ101" s="369">
        <f t="shared" si="127"/>
        <v>0.43681747269890797</v>
      </c>
      <c r="BA101" s="366">
        <f t="shared" si="128"/>
        <v>280</v>
      </c>
      <c r="BB101" s="493">
        <v>0</v>
      </c>
      <c r="BC101" s="488">
        <v>0.66</v>
      </c>
      <c r="BD101" s="370">
        <f t="shared" si="129"/>
        <v>423.06</v>
      </c>
      <c r="BE101" s="371">
        <f t="shared" si="130"/>
        <v>18.049999999999997</v>
      </c>
      <c r="BF101" s="455">
        <v>5</v>
      </c>
      <c r="BG101" s="455" t="s">
        <v>291</v>
      </c>
      <c r="BH101" s="369">
        <f t="shared" si="131"/>
        <v>0.78003120124804992</v>
      </c>
      <c r="BI101" s="366">
        <f t="shared" si="132"/>
        <v>500</v>
      </c>
      <c r="BJ101" s="371">
        <f t="shared" si="133"/>
        <v>1.4100000000000001</v>
      </c>
      <c r="BK101" s="494">
        <v>0.78</v>
      </c>
      <c r="BL101" s="366">
        <f t="shared" si="134"/>
        <v>499.98</v>
      </c>
      <c r="BM101" s="455">
        <v>7</v>
      </c>
      <c r="BN101" s="369">
        <f t="shared" si="135"/>
        <v>1</v>
      </c>
      <c r="BO101" s="371">
        <f t="shared" si="136"/>
        <v>0</v>
      </c>
      <c r="BP101" s="480">
        <v>1</v>
      </c>
      <c r="BQ101" s="501"/>
      <c r="BR101" s="503">
        <v>41766</v>
      </c>
      <c r="BS101" s="372" t="str">
        <f t="shared" si="107"/>
        <v>To be realised</v>
      </c>
      <c r="BT101" s="493">
        <v>103</v>
      </c>
      <c r="BU101" s="493">
        <v>6</v>
      </c>
      <c r="BV101" s="373">
        <f t="shared" si="137"/>
        <v>91</v>
      </c>
      <c r="BW101" s="374">
        <f t="shared" si="138"/>
        <v>0</v>
      </c>
      <c r="BX101" s="366">
        <f t="shared" si="139"/>
        <v>0</v>
      </c>
      <c r="BY101" s="387">
        <f t="shared" si="108"/>
        <v>8</v>
      </c>
      <c r="BZ101" s="505"/>
      <c r="CA101" s="480">
        <v>0.8</v>
      </c>
      <c r="CB101" s="389">
        <f t="shared" si="140"/>
        <v>512.80000000000007</v>
      </c>
      <c r="CC101" s="505">
        <v>2</v>
      </c>
      <c r="CD101" s="375" t="str">
        <f t="shared" si="141"/>
        <v>Excellent coverage</v>
      </c>
      <c r="CE101" s="474">
        <v>0</v>
      </c>
      <c r="CF101" s="513" t="s">
        <v>293</v>
      </c>
      <c r="CG101" s="512"/>
    </row>
    <row r="102" spans="2:85" s="40" customFormat="1" ht="30.75" customHeight="1" x14ac:dyDescent="0.25">
      <c r="B102" s="449" t="s">
        <v>176</v>
      </c>
      <c r="C102" s="450" t="s">
        <v>512</v>
      </c>
      <c r="D102" s="451" t="s">
        <v>260</v>
      </c>
      <c r="E102" s="450" t="s">
        <v>461</v>
      </c>
      <c r="F102" s="451">
        <v>97.234200000000001</v>
      </c>
      <c r="G102" s="451">
        <v>24.253067000000001</v>
      </c>
      <c r="H102" s="451" t="s">
        <v>449</v>
      </c>
      <c r="I102" s="451" t="s">
        <v>214</v>
      </c>
      <c r="J102" s="455">
        <v>21</v>
      </c>
      <c r="K102" s="455">
        <v>96</v>
      </c>
      <c r="L102" s="455">
        <v>93</v>
      </c>
      <c r="M102" s="362" t="str">
        <f t="shared" si="109"/>
        <v>1. Small</v>
      </c>
      <c r="N102" s="701" t="s">
        <v>868</v>
      </c>
      <c r="O102" s="456" t="s">
        <v>276</v>
      </c>
      <c r="P102" s="463" t="s">
        <v>233</v>
      </c>
      <c r="Q102" s="382" t="str">
        <f t="shared" si="71"/>
        <v>Covered</v>
      </c>
      <c r="R102" s="464">
        <v>42459</v>
      </c>
      <c r="S102" s="465" t="s">
        <v>253</v>
      </c>
      <c r="T102" s="380" t="str">
        <f t="shared" si="72"/>
        <v>Documented</v>
      </c>
      <c r="U102" s="470">
        <v>0</v>
      </c>
      <c r="V102" s="455">
        <v>0</v>
      </c>
      <c r="W102" s="471" t="s">
        <v>19</v>
      </c>
      <c r="X102" s="470">
        <v>0</v>
      </c>
      <c r="Y102" s="455">
        <v>2</v>
      </c>
      <c r="Z102" s="471">
        <v>0</v>
      </c>
      <c r="AA102" s="479">
        <v>0</v>
      </c>
      <c r="AB102" s="480">
        <v>0</v>
      </c>
      <c r="AC102" s="385">
        <f t="shared" si="114"/>
        <v>1</v>
      </c>
      <c r="AD102" s="364">
        <f t="shared" si="115"/>
        <v>93</v>
      </c>
      <c r="AE102" s="365">
        <f t="shared" si="116"/>
        <v>1</v>
      </c>
      <c r="AF102" s="366">
        <f t="shared" si="117"/>
        <v>93</v>
      </c>
      <c r="AG102" s="363">
        <f t="shared" si="110"/>
        <v>1</v>
      </c>
      <c r="AH102" s="366">
        <f t="shared" si="118"/>
        <v>93</v>
      </c>
      <c r="AI102" s="367" t="str">
        <f t="shared" si="111"/>
        <v>80-100%</v>
      </c>
      <c r="AJ102" s="363">
        <f t="shared" si="112"/>
        <v>0</v>
      </c>
      <c r="AK102" s="368">
        <f t="shared" si="119"/>
        <v>0</v>
      </c>
      <c r="AL102" s="366">
        <f t="shared" si="120"/>
        <v>0</v>
      </c>
      <c r="AM102" s="366">
        <f t="shared" si="121"/>
        <v>0</v>
      </c>
      <c r="AN102" s="366">
        <f t="shared" si="122"/>
        <v>0</v>
      </c>
      <c r="AO102" s="488">
        <v>1</v>
      </c>
      <c r="AP102" s="486">
        <f t="shared" si="123"/>
        <v>93</v>
      </c>
      <c r="AQ102" s="480"/>
      <c r="AR102" s="733">
        <v>34</v>
      </c>
      <c r="AS102" s="455">
        <v>0</v>
      </c>
      <c r="AT102" s="455">
        <v>4</v>
      </c>
      <c r="AU102" s="455" t="s">
        <v>89</v>
      </c>
      <c r="AV102" s="369">
        <f t="shared" si="124"/>
        <v>0.86021505376344087</v>
      </c>
      <c r="AW102" s="366">
        <f t="shared" si="125"/>
        <v>80</v>
      </c>
      <c r="AX102" s="369">
        <f t="shared" si="113"/>
        <v>0</v>
      </c>
      <c r="AY102" s="366">
        <f t="shared" si="126"/>
        <v>0</v>
      </c>
      <c r="AZ102" s="369">
        <f t="shared" si="127"/>
        <v>0.86021505376344087</v>
      </c>
      <c r="BA102" s="366">
        <f t="shared" si="128"/>
        <v>80</v>
      </c>
      <c r="BB102" s="493">
        <v>0</v>
      </c>
      <c r="BC102" s="488">
        <v>0.86</v>
      </c>
      <c r="BD102" s="370">
        <f t="shared" si="129"/>
        <v>79.98</v>
      </c>
      <c r="BE102" s="371">
        <f t="shared" si="130"/>
        <v>0.65000000000000036</v>
      </c>
      <c r="BF102" s="455">
        <v>3</v>
      </c>
      <c r="BG102" s="455" t="s">
        <v>89</v>
      </c>
      <c r="BH102" s="369">
        <f t="shared" si="131"/>
        <v>1</v>
      </c>
      <c r="BI102" s="366">
        <f t="shared" si="132"/>
        <v>93</v>
      </c>
      <c r="BJ102" s="371">
        <f t="shared" si="133"/>
        <v>0</v>
      </c>
      <c r="BK102" s="494">
        <v>1</v>
      </c>
      <c r="BL102" s="366">
        <f t="shared" si="134"/>
        <v>93</v>
      </c>
      <c r="BM102" s="455">
        <v>3</v>
      </c>
      <c r="BN102" s="369">
        <f t="shared" si="135"/>
        <v>1</v>
      </c>
      <c r="BO102" s="371">
        <f t="shared" si="136"/>
        <v>0</v>
      </c>
      <c r="BP102" s="480">
        <v>1</v>
      </c>
      <c r="BQ102" s="501"/>
      <c r="BR102" s="503">
        <v>41766</v>
      </c>
      <c r="BS102" s="372" t="str">
        <f t="shared" si="107"/>
        <v>To be realised</v>
      </c>
      <c r="BT102" s="493">
        <v>19</v>
      </c>
      <c r="BU102" s="493">
        <v>6</v>
      </c>
      <c r="BV102" s="373">
        <f t="shared" si="137"/>
        <v>21</v>
      </c>
      <c r="BW102" s="374">
        <f t="shared" si="138"/>
        <v>0</v>
      </c>
      <c r="BX102" s="366">
        <f t="shared" si="139"/>
        <v>0</v>
      </c>
      <c r="BY102" s="387">
        <f t="shared" si="108"/>
        <v>8</v>
      </c>
      <c r="BZ102" s="505"/>
      <c r="CA102" s="480">
        <v>0.8</v>
      </c>
      <c r="CB102" s="389">
        <f t="shared" si="140"/>
        <v>74.400000000000006</v>
      </c>
      <c r="CC102" s="505">
        <v>1</v>
      </c>
      <c r="CD102" s="375" t="str">
        <f t="shared" si="141"/>
        <v>Excellent coverage</v>
      </c>
      <c r="CE102" s="474">
        <v>0</v>
      </c>
      <c r="CF102" s="513" t="s">
        <v>66</v>
      </c>
      <c r="CG102" s="512"/>
    </row>
    <row r="103" spans="2:85" s="40" customFormat="1" ht="30.75" customHeight="1" x14ac:dyDescent="0.25">
      <c r="B103" s="449" t="s">
        <v>176</v>
      </c>
      <c r="C103" s="450" t="s">
        <v>513</v>
      </c>
      <c r="D103" s="451" t="s">
        <v>260</v>
      </c>
      <c r="E103" s="450" t="s">
        <v>179</v>
      </c>
      <c r="F103" s="451">
        <v>97.315860000000001</v>
      </c>
      <c r="G103" s="451">
        <v>24.32638</v>
      </c>
      <c r="H103" s="451" t="s">
        <v>449</v>
      </c>
      <c r="I103" s="451" t="s">
        <v>214</v>
      </c>
      <c r="J103" s="455">
        <v>22</v>
      </c>
      <c r="K103" s="455">
        <v>123</v>
      </c>
      <c r="L103" s="455">
        <v>123</v>
      </c>
      <c r="M103" s="362" t="str">
        <f t="shared" si="109"/>
        <v>1. Small</v>
      </c>
      <c r="N103" s="701" t="s">
        <v>868</v>
      </c>
      <c r="O103" s="456" t="s">
        <v>231</v>
      </c>
      <c r="P103" s="463" t="s">
        <v>233</v>
      </c>
      <c r="Q103" s="382" t="str">
        <f t="shared" si="71"/>
        <v>Covered</v>
      </c>
      <c r="R103" s="464">
        <v>42459</v>
      </c>
      <c r="S103" s="465" t="s">
        <v>253</v>
      </c>
      <c r="T103" s="380" t="str">
        <f t="shared" si="72"/>
        <v>Documented</v>
      </c>
      <c r="U103" s="470">
        <v>0</v>
      </c>
      <c r="V103" s="455">
        <v>0</v>
      </c>
      <c r="W103" s="471" t="s">
        <v>19</v>
      </c>
      <c r="X103" s="470">
        <v>0</v>
      </c>
      <c r="Y103" s="455">
        <v>0</v>
      </c>
      <c r="Z103" s="471">
        <v>4860</v>
      </c>
      <c r="AA103" s="479">
        <v>0</v>
      </c>
      <c r="AB103" s="480">
        <v>0</v>
      </c>
      <c r="AC103" s="385">
        <f t="shared" si="114"/>
        <v>1</v>
      </c>
      <c r="AD103" s="364">
        <f t="shared" si="115"/>
        <v>123</v>
      </c>
      <c r="AE103" s="365">
        <f t="shared" si="116"/>
        <v>1</v>
      </c>
      <c r="AF103" s="366">
        <f t="shared" si="117"/>
        <v>123</v>
      </c>
      <c r="AG103" s="363">
        <f t="shared" si="110"/>
        <v>1</v>
      </c>
      <c r="AH103" s="366">
        <f t="shared" si="118"/>
        <v>123</v>
      </c>
      <c r="AI103" s="367" t="str">
        <f t="shared" si="111"/>
        <v>80-100%</v>
      </c>
      <c r="AJ103" s="363">
        <f t="shared" si="112"/>
        <v>0</v>
      </c>
      <c r="AK103" s="368">
        <f t="shared" si="119"/>
        <v>0</v>
      </c>
      <c r="AL103" s="366">
        <f t="shared" si="120"/>
        <v>0.3075</v>
      </c>
      <c r="AM103" s="366">
        <f t="shared" si="121"/>
        <v>0</v>
      </c>
      <c r="AN103" s="366">
        <f t="shared" si="122"/>
        <v>0</v>
      </c>
      <c r="AO103" s="488">
        <v>1</v>
      </c>
      <c r="AP103" s="486">
        <f t="shared" si="123"/>
        <v>123</v>
      </c>
      <c r="AQ103" s="480"/>
      <c r="AR103" s="733">
        <v>113</v>
      </c>
      <c r="AS103" s="455">
        <v>0</v>
      </c>
      <c r="AT103" s="455">
        <v>10</v>
      </c>
      <c r="AU103" s="455" t="s">
        <v>89</v>
      </c>
      <c r="AV103" s="369">
        <f t="shared" si="124"/>
        <v>1</v>
      </c>
      <c r="AW103" s="366">
        <f t="shared" si="125"/>
        <v>123</v>
      </c>
      <c r="AX103" s="369">
        <f t="shared" si="113"/>
        <v>0</v>
      </c>
      <c r="AY103" s="366">
        <f t="shared" si="126"/>
        <v>0</v>
      </c>
      <c r="AZ103" s="369">
        <f t="shared" si="127"/>
        <v>1</v>
      </c>
      <c r="BA103" s="366">
        <f t="shared" si="128"/>
        <v>123</v>
      </c>
      <c r="BB103" s="493">
        <v>0</v>
      </c>
      <c r="BC103" s="488">
        <v>1</v>
      </c>
      <c r="BD103" s="370">
        <f t="shared" si="129"/>
        <v>123</v>
      </c>
      <c r="BE103" s="371">
        <f t="shared" si="130"/>
        <v>0</v>
      </c>
      <c r="BF103" s="455">
        <v>2</v>
      </c>
      <c r="BG103" s="455" t="s">
        <v>291</v>
      </c>
      <c r="BH103" s="369">
        <f t="shared" si="131"/>
        <v>1</v>
      </c>
      <c r="BI103" s="366">
        <f t="shared" si="132"/>
        <v>123</v>
      </c>
      <c r="BJ103" s="371">
        <f t="shared" si="133"/>
        <v>0</v>
      </c>
      <c r="BK103" s="494">
        <v>1</v>
      </c>
      <c r="BL103" s="366">
        <f t="shared" si="134"/>
        <v>123</v>
      </c>
      <c r="BM103" s="455">
        <v>1</v>
      </c>
      <c r="BN103" s="369">
        <f t="shared" si="135"/>
        <v>0.81300813008130079</v>
      </c>
      <c r="BO103" s="371">
        <f t="shared" si="136"/>
        <v>0.22999999999999998</v>
      </c>
      <c r="BP103" s="480">
        <v>0.81</v>
      </c>
      <c r="BQ103" s="501"/>
      <c r="BR103" s="503">
        <v>41834</v>
      </c>
      <c r="BS103" s="372" t="str">
        <f t="shared" si="107"/>
        <v>To be realised</v>
      </c>
      <c r="BT103" s="493">
        <v>22</v>
      </c>
      <c r="BU103" s="493">
        <v>6</v>
      </c>
      <c r="BV103" s="373">
        <f t="shared" si="137"/>
        <v>22</v>
      </c>
      <c r="BW103" s="374">
        <f t="shared" si="138"/>
        <v>0</v>
      </c>
      <c r="BX103" s="366">
        <f t="shared" si="139"/>
        <v>0</v>
      </c>
      <c r="BY103" s="387">
        <f t="shared" si="108"/>
        <v>6</v>
      </c>
      <c r="BZ103" s="505"/>
      <c r="CA103" s="480">
        <v>0.8</v>
      </c>
      <c r="CB103" s="389">
        <f t="shared" si="140"/>
        <v>98.4</v>
      </c>
      <c r="CC103" s="505">
        <v>1</v>
      </c>
      <c r="CD103" s="375" t="str">
        <f t="shared" si="141"/>
        <v>Excellent coverage</v>
      </c>
      <c r="CE103" s="474">
        <v>0</v>
      </c>
      <c r="CF103" s="513" t="s">
        <v>293</v>
      </c>
      <c r="CG103" s="512"/>
    </row>
    <row r="104" spans="2:85" s="40" customFormat="1" ht="30.75" customHeight="1" x14ac:dyDescent="0.25">
      <c r="B104" s="449" t="s">
        <v>176</v>
      </c>
      <c r="C104" s="450" t="s">
        <v>517</v>
      </c>
      <c r="D104" s="451" t="s">
        <v>260</v>
      </c>
      <c r="E104" s="450" t="s">
        <v>181</v>
      </c>
      <c r="F104" s="451">
        <v>97.246889999999993</v>
      </c>
      <c r="G104" s="451">
        <v>24.244129999999998</v>
      </c>
      <c r="H104" s="451" t="s">
        <v>449</v>
      </c>
      <c r="I104" s="451" t="s">
        <v>214</v>
      </c>
      <c r="J104" s="455">
        <v>16</v>
      </c>
      <c r="K104" s="455">
        <v>75</v>
      </c>
      <c r="L104" s="455">
        <v>75</v>
      </c>
      <c r="M104" s="362" t="str">
        <f t="shared" si="109"/>
        <v>1. Small</v>
      </c>
      <c r="N104" s="701" t="s">
        <v>868</v>
      </c>
      <c r="O104" s="456" t="s">
        <v>276</v>
      </c>
      <c r="P104" s="463" t="s">
        <v>233</v>
      </c>
      <c r="Q104" s="382" t="str">
        <f t="shared" si="71"/>
        <v>Covered</v>
      </c>
      <c r="R104" s="464">
        <v>42459</v>
      </c>
      <c r="S104" s="465" t="s">
        <v>253</v>
      </c>
      <c r="T104" s="380" t="str">
        <f t="shared" si="72"/>
        <v>Documented</v>
      </c>
      <c r="U104" s="470">
        <v>0</v>
      </c>
      <c r="V104" s="455">
        <v>0</v>
      </c>
      <c r="W104" s="471" t="s">
        <v>19</v>
      </c>
      <c r="X104" s="470">
        <v>0</v>
      </c>
      <c r="Y104" s="455">
        <v>2</v>
      </c>
      <c r="Z104" s="471">
        <v>3915</v>
      </c>
      <c r="AA104" s="479">
        <v>0</v>
      </c>
      <c r="AB104" s="480">
        <v>0</v>
      </c>
      <c r="AC104" s="385">
        <f t="shared" si="114"/>
        <v>1</v>
      </c>
      <c r="AD104" s="364">
        <f t="shared" si="115"/>
        <v>75</v>
      </c>
      <c r="AE104" s="365">
        <f t="shared" si="116"/>
        <v>1</v>
      </c>
      <c r="AF104" s="366">
        <f t="shared" si="117"/>
        <v>75</v>
      </c>
      <c r="AG104" s="363">
        <f t="shared" si="110"/>
        <v>1</v>
      </c>
      <c r="AH104" s="366">
        <f t="shared" si="118"/>
        <v>75</v>
      </c>
      <c r="AI104" s="367" t="str">
        <f t="shared" si="111"/>
        <v>80-100%</v>
      </c>
      <c r="AJ104" s="363">
        <f t="shared" si="112"/>
        <v>0</v>
      </c>
      <c r="AK104" s="368">
        <f t="shared" si="119"/>
        <v>0</v>
      </c>
      <c r="AL104" s="366">
        <f t="shared" si="120"/>
        <v>0</v>
      </c>
      <c r="AM104" s="366">
        <f t="shared" si="121"/>
        <v>0</v>
      </c>
      <c r="AN104" s="366">
        <f t="shared" si="122"/>
        <v>0</v>
      </c>
      <c r="AO104" s="488">
        <v>1</v>
      </c>
      <c r="AP104" s="486">
        <f t="shared" si="123"/>
        <v>75</v>
      </c>
      <c r="AQ104" s="480"/>
      <c r="AR104" s="733">
        <v>4</v>
      </c>
      <c r="AS104" s="455">
        <v>0</v>
      </c>
      <c r="AT104" s="455">
        <v>10</v>
      </c>
      <c r="AU104" s="455" t="s">
        <v>290</v>
      </c>
      <c r="AV104" s="369">
        <f t="shared" si="124"/>
        <v>1</v>
      </c>
      <c r="AW104" s="366">
        <f t="shared" si="125"/>
        <v>75</v>
      </c>
      <c r="AX104" s="369">
        <f t="shared" si="113"/>
        <v>0</v>
      </c>
      <c r="AY104" s="366">
        <f t="shared" si="126"/>
        <v>0</v>
      </c>
      <c r="AZ104" s="369">
        <f t="shared" si="127"/>
        <v>1</v>
      </c>
      <c r="BA104" s="366">
        <f t="shared" si="128"/>
        <v>75</v>
      </c>
      <c r="BB104" s="493">
        <v>0</v>
      </c>
      <c r="BC104" s="488">
        <v>1</v>
      </c>
      <c r="BD104" s="370">
        <f t="shared" si="129"/>
        <v>75</v>
      </c>
      <c r="BE104" s="371">
        <f t="shared" si="130"/>
        <v>0</v>
      </c>
      <c r="BF104" s="455">
        <v>1</v>
      </c>
      <c r="BG104" s="455" t="s">
        <v>89</v>
      </c>
      <c r="BH104" s="369">
        <f t="shared" si="131"/>
        <v>1</v>
      </c>
      <c r="BI104" s="366">
        <f t="shared" si="132"/>
        <v>75</v>
      </c>
      <c r="BJ104" s="371">
        <f t="shared" si="133"/>
        <v>0</v>
      </c>
      <c r="BK104" s="494">
        <v>1</v>
      </c>
      <c r="BL104" s="366">
        <f t="shared" si="134"/>
        <v>75</v>
      </c>
      <c r="BM104" s="455">
        <v>1</v>
      </c>
      <c r="BN104" s="369">
        <f t="shared" si="135"/>
        <v>1</v>
      </c>
      <c r="BO104" s="371">
        <f t="shared" si="136"/>
        <v>0</v>
      </c>
      <c r="BP104" s="480">
        <v>1</v>
      </c>
      <c r="BQ104" s="501"/>
      <c r="BR104" s="503">
        <v>41766</v>
      </c>
      <c r="BS104" s="372" t="str">
        <f t="shared" si="107"/>
        <v>To be realised</v>
      </c>
      <c r="BT104" s="493">
        <v>17</v>
      </c>
      <c r="BU104" s="493">
        <v>6</v>
      </c>
      <c r="BV104" s="373">
        <f t="shared" si="137"/>
        <v>16</v>
      </c>
      <c r="BW104" s="374">
        <f t="shared" si="138"/>
        <v>0</v>
      </c>
      <c r="BX104" s="366">
        <f t="shared" si="139"/>
        <v>0</v>
      </c>
      <c r="BY104" s="387">
        <f t="shared" si="108"/>
        <v>8</v>
      </c>
      <c r="BZ104" s="505"/>
      <c r="CA104" s="480">
        <v>0.8</v>
      </c>
      <c r="CB104" s="389">
        <f t="shared" si="140"/>
        <v>60</v>
      </c>
      <c r="CC104" s="505">
        <v>1</v>
      </c>
      <c r="CD104" s="375" t="str">
        <f t="shared" si="141"/>
        <v>Excellent coverage</v>
      </c>
      <c r="CE104" s="474">
        <v>0</v>
      </c>
      <c r="CF104" s="513" t="s">
        <v>65</v>
      </c>
      <c r="CG104" s="512"/>
    </row>
    <row r="105" spans="2:85" s="40" customFormat="1" ht="30.75" customHeight="1" x14ac:dyDescent="0.25">
      <c r="B105" s="449" t="s">
        <v>182</v>
      </c>
      <c r="C105" s="450" t="s">
        <v>555</v>
      </c>
      <c r="D105" s="451" t="s">
        <v>260</v>
      </c>
      <c r="E105" s="450" t="s">
        <v>281</v>
      </c>
      <c r="F105" s="451">
        <v>97.291820000000001</v>
      </c>
      <c r="G105" s="451">
        <v>24.129059999999999</v>
      </c>
      <c r="H105" s="451" t="s">
        <v>449</v>
      </c>
      <c r="I105" s="451" t="s">
        <v>214</v>
      </c>
      <c r="J105" s="455">
        <v>150</v>
      </c>
      <c r="K105" s="455">
        <v>696</v>
      </c>
      <c r="L105" s="455">
        <v>696</v>
      </c>
      <c r="M105" s="362" t="str">
        <f t="shared" si="109"/>
        <v>2. Medium</v>
      </c>
      <c r="N105" s="701" t="s">
        <v>868</v>
      </c>
      <c r="O105" s="456" t="s">
        <v>235</v>
      </c>
      <c r="P105" s="463" t="s">
        <v>233</v>
      </c>
      <c r="Q105" s="382" t="str">
        <f t="shared" si="71"/>
        <v>Covered</v>
      </c>
      <c r="R105" s="464">
        <v>42459</v>
      </c>
      <c r="S105" s="465" t="s">
        <v>253</v>
      </c>
      <c r="T105" s="380" t="str">
        <f t="shared" si="72"/>
        <v>Documented</v>
      </c>
      <c r="U105" s="470">
        <v>0</v>
      </c>
      <c r="V105" s="455">
        <v>0</v>
      </c>
      <c r="W105" s="471" t="s">
        <v>19</v>
      </c>
      <c r="X105" s="470">
        <v>3</v>
      </c>
      <c r="Y105" s="455">
        <v>0</v>
      </c>
      <c r="Z105" s="471">
        <v>20335</v>
      </c>
      <c r="AA105" s="479">
        <v>0.5</v>
      </c>
      <c r="AB105" s="480">
        <v>0.3</v>
      </c>
      <c r="AC105" s="385">
        <f t="shared" si="114"/>
        <v>1</v>
      </c>
      <c r="AD105" s="364">
        <f t="shared" si="115"/>
        <v>696</v>
      </c>
      <c r="AE105" s="365">
        <f t="shared" si="116"/>
        <v>1</v>
      </c>
      <c r="AF105" s="366">
        <f t="shared" si="117"/>
        <v>696</v>
      </c>
      <c r="AG105" s="363">
        <f t="shared" si="110"/>
        <v>1</v>
      </c>
      <c r="AH105" s="366">
        <f t="shared" si="118"/>
        <v>696</v>
      </c>
      <c r="AI105" s="367" t="str">
        <f t="shared" si="111"/>
        <v>80-100%</v>
      </c>
      <c r="AJ105" s="363">
        <f t="shared" si="112"/>
        <v>0</v>
      </c>
      <c r="AK105" s="368">
        <f t="shared" si="119"/>
        <v>0</v>
      </c>
      <c r="AL105" s="366">
        <f t="shared" si="120"/>
        <v>0</v>
      </c>
      <c r="AM105" s="366">
        <f t="shared" si="121"/>
        <v>45</v>
      </c>
      <c r="AN105" s="366">
        <f t="shared" si="122"/>
        <v>348</v>
      </c>
      <c r="AO105" s="488">
        <v>1</v>
      </c>
      <c r="AP105" s="486">
        <f t="shared" si="123"/>
        <v>696</v>
      </c>
      <c r="AQ105" s="480"/>
      <c r="AR105" s="733">
        <v>573</v>
      </c>
      <c r="AS105" s="455">
        <v>10</v>
      </c>
      <c r="AT105" s="455">
        <v>24</v>
      </c>
      <c r="AU105" s="455" t="s">
        <v>89</v>
      </c>
      <c r="AV105" s="369">
        <f t="shared" si="124"/>
        <v>0.97701149425287359</v>
      </c>
      <c r="AW105" s="366">
        <f t="shared" si="125"/>
        <v>680</v>
      </c>
      <c r="AX105" s="369">
        <f t="shared" si="113"/>
        <v>0.28735632183908044</v>
      </c>
      <c r="AY105" s="366">
        <f t="shared" si="126"/>
        <v>200</v>
      </c>
      <c r="AZ105" s="369">
        <f t="shared" si="127"/>
        <v>0.68965517241379315</v>
      </c>
      <c r="BA105" s="366">
        <f t="shared" si="128"/>
        <v>480.00000000000006</v>
      </c>
      <c r="BB105" s="493">
        <v>0</v>
      </c>
      <c r="BC105" s="488">
        <v>0.98</v>
      </c>
      <c r="BD105" s="370">
        <f t="shared" si="129"/>
        <v>682.08</v>
      </c>
      <c r="BE105" s="371">
        <f t="shared" si="130"/>
        <v>10.799999999999997</v>
      </c>
      <c r="BF105" s="455">
        <v>6</v>
      </c>
      <c r="BG105" s="455" t="s">
        <v>292</v>
      </c>
      <c r="BH105" s="369">
        <f t="shared" si="131"/>
        <v>0.86206896551724133</v>
      </c>
      <c r="BI105" s="366">
        <f t="shared" si="132"/>
        <v>600</v>
      </c>
      <c r="BJ105" s="371">
        <f t="shared" si="133"/>
        <v>0.96</v>
      </c>
      <c r="BK105" s="494">
        <v>0.86</v>
      </c>
      <c r="BL105" s="366">
        <f t="shared" si="134"/>
        <v>598.55999999999995</v>
      </c>
      <c r="BM105" s="455">
        <v>10</v>
      </c>
      <c r="BN105" s="369">
        <f t="shared" si="135"/>
        <v>1</v>
      </c>
      <c r="BO105" s="371">
        <f t="shared" si="136"/>
        <v>0</v>
      </c>
      <c r="BP105" s="480">
        <v>1</v>
      </c>
      <c r="BQ105" s="501"/>
      <c r="BR105" s="503">
        <v>41835</v>
      </c>
      <c r="BS105" s="372" t="str">
        <f t="shared" si="107"/>
        <v>To be realised</v>
      </c>
      <c r="BT105" s="493">
        <v>153</v>
      </c>
      <c r="BU105" s="493">
        <v>6</v>
      </c>
      <c r="BV105" s="373">
        <f t="shared" si="137"/>
        <v>150</v>
      </c>
      <c r="BW105" s="374">
        <f t="shared" si="138"/>
        <v>0</v>
      </c>
      <c r="BX105" s="366">
        <f t="shared" si="139"/>
        <v>0</v>
      </c>
      <c r="BY105" s="387">
        <f t="shared" si="108"/>
        <v>6</v>
      </c>
      <c r="BZ105" s="505"/>
      <c r="CA105" s="480">
        <v>0.75</v>
      </c>
      <c r="CB105" s="389">
        <f t="shared" si="140"/>
        <v>522</v>
      </c>
      <c r="CC105" s="505">
        <v>2</v>
      </c>
      <c r="CD105" s="375" t="str">
        <f t="shared" si="141"/>
        <v>Excellent coverage</v>
      </c>
      <c r="CE105" s="474">
        <v>0</v>
      </c>
      <c r="CF105" s="513" t="s">
        <v>293</v>
      </c>
      <c r="CG105" s="512"/>
    </row>
    <row r="106" spans="2:85" s="40" customFormat="1" ht="30.75" customHeight="1" x14ac:dyDescent="0.25">
      <c r="B106" s="449" t="s">
        <v>184</v>
      </c>
      <c r="C106" s="458" t="s">
        <v>573</v>
      </c>
      <c r="D106" s="451" t="s">
        <v>260</v>
      </c>
      <c r="E106" s="450" t="s">
        <v>462</v>
      </c>
      <c r="F106" s="451">
        <v>97.347049999999996</v>
      </c>
      <c r="G106" s="451">
        <v>24.255870000000002</v>
      </c>
      <c r="H106" s="451" t="s">
        <v>449</v>
      </c>
      <c r="I106" s="451" t="s">
        <v>214</v>
      </c>
      <c r="J106" s="455">
        <v>141</v>
      </c>
      <c r="K106" s="455">
        <v>625</v>
      </c>
      <c r="L106" s="455">
        <v>625</v>
      </c>
      <c r="M106" s="362" t="str">
        <f t="shared" si="109"/>
        <v>2. Medium</v>
      </c>
      <c r="N106" s="701" t="s">
        <v>868</v>
      </c>
      <c r="O106" s="456" t="s">
        <v>235</v>
      </c>
      <c r="P106" s="463" t="s">
        <v>233</v>
      </c>
      <c r="Q106" s="382" t="str">
        <f t="shared" si="71"/>
        <v>Covered</v>
      </c>
      <c r="R106" s="464">
        <v>42459</v>
      </c>
      <c r="S106" s="465" t="s">
        <v>253</v>
      </c>
      <c r="T106" s="380" t="str">
        <f t="shared" si="72"/>
        <v>Documented</v>
      </c>
      <c r="U106" s="470">
        <v>0</v>
      </c>
      <c r="V106" s="455">
        <v>0</v>
      </c>
      <c r="W106" s="471" t="s">
        <v>19</v>
      </c>
      <c r="X106" s="470">
        <v>1</v>
      </c>
      <c r="Y106" s="455">
        <v>1</v>
      </c>
      <c r="Z106" s="471">
        <v>9555</v>
      </c>
      <c r="AA106" s="479">
        <v>0.1</v>
      </c>
      <c r="AB106" s="480">
        <v>0.68</v>
      </c>
      <c r="AC106" s="385">
        <f t="shared" si="114"/>
        <v>1</v>
      </c>
      <c r="AD106" s="364">
        <f t="shared" si="115"/>
        <v>625</v>
      </c>
      <c r="AE106" s="365">
        <f t="shared" si="116"/>
        <v>1</v>
      </c>
      <c r="AF106" s="366">
        <f t="shared" si="117"/>
        <v>625</v>
      </c>
      <c r="AG106" s="363">
        <f t="shared" si="110"/>
        <v>1</v>
      </c>
      <c r="AH106" s="366">
        <f t="shared" si="118"/>
        <v>625</v>
      </c>
      <c r="AI106" s="367" t="str">
        <f t="shared" si="111"/>
        <v>80-100%</v>
      </c>
      <c r="AJ106" s="363">
        <f t="shared" si="112"/>
        <v>0</v>
      </c>
      <c r="AK106" s="368">
        <f t="shared" si="119"/>
        <v>0</v>
      </c>
      <c r="AL106" s="366">
        <f t="shared" si="120"/>
        <v>0</v>
      </c>
      <c r="AM106" s="366">
        <f t="shared" si="121"/>
        <v>95.88000000000001</v>
      </c>
      <c r="AN106" s="366">
        <f t="shared" si="122"/>
        <v>62.5</v>
      </c>
      <c r="AO106" s="488">
        <v>1</v>
      </c>
      <c r="AP106" s="486">
        <f t="shared" si="123"/>
        <v>625</v>
      </c>
      <c r="AQ106" s="480"/>
      <c r="AR106" s="733">
        <v>0</v>
      </c>
      <c r="AS106" s="455">
        <v>14</v>
      </c>
      <c r="AT106" s="455">
        <v>16</v>
      </c>
      <c r="AU106" s="455" t="s">
        <v>291</v>
      </c>
      <c r="AV106" s="369">
        <f t="shared" si="124"/>
        <v>0.96</v>
      </c>
      <c r="AW106" s="366">
        <f t="shared" si="125"/>
        <v>600</v>
      </c>
      <c r="AX106" s="369">
        <f t="shared" si="113"/>
        <v>0.44799999999999995</v>
      </c>
      <c r="AY106" s="366">
        <f t="shared" si="126"/>
        <v>279.99999999999994</v>
      </c>
      <c r="AZ106" s="369">
        <f t="shared" si="127"/>
        <v>0.51200000000000001</v>
      </c>
      <c r="BA106" s="366">
        <f t="shared" si="128"/>
        <v>320</v>
      </c>
      <c r="BB106" s="493">
        <v>0</v>
      </c>
      <c r="BC106" s="488">
        <v>0.96</v>
      </c>
      <c r="BD106" s="370">
        <f t="shared" si="129"/>
        <v>600</v>
      </c>
      <c r="BE106" s="371">
        <f t="shared" si="130"/>
        <v>15.25</v>
      </c>
      <c r="BF106" s="455">
        <v>4</v>
      </c>
      <c r="BG106" s="455" t="s">
        <v>292</v>
      </c>
      <c r="BH106" s="369">
        <f t="shared" si="131"/>
        <v>0.64</v>
      </c>
      <c r="BI106" s="366">
        <f t="shared" si="132"/>
        <v>400</v>
      </c>
      <c r="BJ106" s="371">
        <f t="shared" si="133"/>
        <v>2.25</v>
      </c>
      <c r="BK106" s="494">
        <v>0.64</v>
      </c>
      <c r="BL106" s="366">
        <f t="shared" si="134"/>
        <v>400</v>
      </c>
      <c r="BM106" s="455">
        <v>15</v>
      </c>
      <c r="BN106" s="369">
        <f t="shared" si="135"/>
        <v>1</v>
      </c>
      <c r="BO106" s="371">
        <f t="shared" si="136"/>
        <v>0</v>
      </c>
      <c r="BP106" s="480">
        <v>1</v>
      </c>
      <c r="BQ106" s="501"/>
      <c r="BR106" s="503">
        <v>41771</v>
      </c>
      <c r="BS106" s="372" t="str">
        <f t="shared" si="107"/>
        <v>To be realised</v>
      </c>
      <c r="BT106" s="493">
        <v>143</v>
      </c>
      <c r="BU106" s="493">
        <v>6</v>
      </c>
      <c r="BV106" s="373">
        <f t="shared" si="137"/>
        <v>141</v>
      </c>
      <c r="BW106" s="374">
        <f t="shared" si="138"/>
        <v>0</v>
      </c>
      <c r="BX106" s="366">
        <f t="shared" si="139"/>
        <v>0</v>
      </c>
      <c r="BY106" s="387">
        <f t="shared" si="108"/>
        <v>8</v>
      </c>
      <c r="BZ106" s="505"/>
      <c r="CA106" s="480">
        <v>0.8</v>
      </c>
      <c r="CB106" s="389">
        <f t="shared" si="140"/>
        <v>500</v>
      </c>
      <c r="CC106" s="505">
        <v>1</v>
      </c>
      <c r="CD106" s="375" t="str">
        <f t="shared" si="141"/>
        <v>Good coverage</v>
      </c>
      <c r="CE106" s="474">
        <v>0</v>
      </c>
      <c r="CF106" s="513" t="s">
        <v>65</v>
      </c>
      <c r="CG106" s="512"/>
    </row>
    <row r="107" spans="2:85" s="40" customFormat="1" ht="30.75" customHeight="1" x14ac:dyDescent="0.25">
      <c r="B107" s="449" t="s">
        <v>184</v>
      </c>
      <c r="C107" s="458" t="s">
        <v>573</v>
      </c>
      <c r="D107" s="451" t="s">
        <v>260</v>
      </c>
      <c r="E107" s="450" t="s">
        <v>463</v>
      </c>
      <c r="F107" s="451">
        <v>97.346310000000003</v>
      </c>
      <c r="G107" s="451">
        <v>24.253630000000001</v>
      </c>
      <c r="H107" s="451" t="s">
        <v>449</v>
      </c>
      <c r="I107" s="451" t="s">
        <v>214</v>
      </c>
      <c r="J107" s="455">
        <v>18</v>
      </c>
      <c r="K107" s="455">
        <v>113</v>
      </c>
      <c r="L107" s="455">
        <v>113</v>
      </c>
      <c r="M107" s="362" t="str">
        <f t="shared" si="109"/>
        <v>1. Small</v>
      </c>
      <c r="N107" s="701" t="s">
        <v>868</v>
      </c>
      <c r="O107" s="456" t="s">
        <v>235</v>
      </c>
      <c r="P107" s="463" t="s">
        <v>233</v>
      </c>
      <c r="Q107" s="382" t="str">
        <f t="shared" si="71"/>
        <v>Covered</v>
      </c>
      <c r="R107" s="464">
        <v>42459</v>
      </c>
      <c r="S107" s="465" t="s">
        <v>253</v>
      </c>
      <c r="T107" s="380" t="str">
        <f t="shared" si="72"/>
        <v>Documented</v>
      </c>
      <c r="U107" s="470">
        <v>0</v>
      </c>
      <c r="V107" s="455">
        <v>0</v>
      </c>
      <c r="W107" s="471" t="s">
        <v>19</v>
      </c>
      <c r="X107" s="470">
        <v>1</v>
      </c>
      <c r="Y107" s="455">
        <v>0</v>
      </c>
      <c r="Z107" s="471">
        <v>2000</v>
      </c>
      <c r="AA107" s="479">
        <v>0</v>
      </c>
      <c r="AB107" s="480">
        <v>1</v>
      </c>
      <c r="AC107" s="385">
        <f t="shared" si="114"/>
        <v>1</v>
      </c>
      <c r="AD107" s="364">
        <f t="shared" si="115"/>
        <v>113</v>
      </c>
      <c r="AE107" s="365">
        <f t="shared" si="116"/>
        <v>1</v>
      </c>
      <c r="AF107" s="366">
        <f t="shared" si="117"/>
        <v>113</v>
      </c>
      <c r="AG107" s="363">
        <f t="shared" si="110"/>
        <v>1</v>
      </c>
      <c r="AH107" s="366">
        <f t="shared" si="118"/>
        <v>113</v>
      </c>
      <c r="AI107" s="367" t="str">
        <f t="shared" si="111"/>
        <v>80-100%</v>
      </c>
      <c r="AJ107" s="363">
        <f t="shared" si="112"/>
        <v>0</v>
      </c>
      <c r="AK107" s="368">
        <f t="shared" si="119"/>
        <v>0</v>
      </c>
      <c r="AL107" s="366">
        <f t="shared" si="120"/>
        <v>0</v>
      </c>
      <c r="AM107" s="366">
        <f t="shared" si="121"/>
        <v>18</v>
      </c>
      <c r="AN107" s="366">
        <f t="shared" si="122"/>
        <v>0</v>
      </c>
      <c r="AO107" s="488">
        <v>1</v>
      </c>
      <c r="AP107" s="486">
        <f t="shared" si="123"/>
        <v>113</v>
      </c>
      <c r="AQ107" s="480"/>
      <c r="AR107" s="733">
        <v>16</v>
      </c>
      <c r="AS107" s="455">
        <v>2</v>
      </c>
      <c r="AT107" s="455">
        <v>6</v>
      </c>
      <c r="AU107" s="455" t="s">
        <v>290</v>
      </c>
      <c r="AV107" s="369">
        <f t="shared" si="124"/>
        <v>1</v>
      </c>
      <c r="AW107" s="366">
        <f t="shared" si="125"/>
        <v>113</v>
      </c>
      <c r="AX107" s="369">
        <f t="shared" si="113"/>
        <v>0</v>
      </c>
      <c r="AY107" s="366">
        <f t="shared" si="126"/>
        <v>0</v>
      </c>
      <c r="AZ107" s="369">
        <f t="shared" si="127"/>
        <v>1</v>
      </c>
      <c r="BA107" s="366">
        <f t="shared" si="128"/>
        <v>113</v>
      </c>
      <c r="BB107" s="493">
        <v>0</v>
      </c>
      <c r="BC107" s="488">
        <v>1</v>
      </c>
      <c r="BD107" s="370">
        <f t="shared" si="129"/>
        <v>113</v>
      </c>
      <c r="BE107" s="371">
        <f t="shared" si="130"/>
        <v>0</v>
      </c>
      <c r="BF107" s="455">
        <v>2</v>
      </c>
      <c r="BG107" s="455" t="s">
        <v>89</v>
      </c>
      <c r="BH107" s="369">
        <f t="shared" si="131"/>
        <v>1</v>
      </c>
      <c r="BI107" s="366">
        <f t="shared" si="132"/>
        <v>113</v>
      </c>
      <c r="BJ107" s="371">
        <f t="shared" si="133"/>
        <v>0</v>
      </c>
      <c r="BK107" s="494">
        <v>1</v>
      </c>
      <c r="BL107" s="366">
        <f t="shared" si="134"/>
        <v>113</v>
      </c>
      <c r="BM107" s="455">
        <v>3</v>
      </c>
      <c r="BN107" s="369">
        <f t="shared" si="135"/>
        <v>1</v>
      </c>
      <c r="BO107" s="371">
        <f t="shared" si="136"/>
        <v>0</v>
      </c>
      <c r="BP107" s="480">
        <v>1</v>
      </c>
      <c r="BQ107" s="501"/>
      <c r="BR107" s="503">
        <v>41771</v>
      </c>
      <c r="BS107" s="372" t="str">
        <f t="shared" si="107"/>
        <v>To be realised</v>
      </c>
      <c r="BT107" s="493">
        <v>23</v>
      </c>
      <c r="BU107" s="493">
        <v>6</v>
      </c>
      <c r="BV107" s="373">
        <f t="shared" si="137"/>
        <v>18</v>
      </c>
      <c r="BW107" s="374">
        <f t="shared" si="138"/>
        <v>0</v>
      </c>
      <c r="BX107" s="366">
        <f t="shared" si="139"/>
        <v>0</v>
      </c>
      <c r="BY107" s="387">
        <f t="shared" si="108"/>
        <v>8</v>
      </c>
      <c r="BZ107" s="505"/>
      <c r="CA107" s="480">
        <v>0.75</v>
      </c>
      <c r="CB107" s="389">
        <f t="shared" si="140"/>
        <v>84.75</v>
      </c>
      <c r="CC107" s="505">
        <v>1</v>
      </c>
      <c r="CD107" s="375" t="str">
        <f t="shared" si="141"/>
        <v>Excellent coverage</v>
      </c>
      <c r="CE107" s="474">
        <v>0</v>
      </c>
      <c r="CF107" s="513" t="s">
        <v>65</v>
      </c>
      <c r="CG107" s="512"/>
    </row>
    <row r="108" spans="2:85" s="40" customFormat="1" ht="30.75" customHeight="1" x14ac:dyDescent="0.25">
      <c r="B108" s="449" t="s">
        <v>184</v>
      </c>
      <c r="C108" s="458" t="s">
        <v>573</v>
      </c>
      <c r="D108" s="451" t="s">
        <v>260</v>
      </c>
      <c r="E108" s="450" t="s">
        <v>464</v>
      </c>
      <c r="F108" s="451">
        <v>97.359300000000005</v>
      </c>
      <c r="G108" s="451">
        <v>24.267040000000001</v>
      </c>
      <c r="H108" s="451" t="s">
        <v>449</v>
      </c>
      <c r="I108" s="451" t="s">
        <v>214</v>
      </c>
      <c r="J108" s="455">
        <v>7</v>
      </c>
      <c r="K108" s="455">
        <v>39</v>
      </c>
      <c r="L108" s="455">
        <v>39</v>
      </c>
      <c r="M108" s="362" t="str">
        <f t="shared" si="109"/>
        <v>1. Small</v>
      </c>
      <c r="N108" s="701" t="s">
        <v>868</v>
      </c>
      <c r="O108" s="456" t="s">
        <v>235</v>
      </c>
      <c r="P108" s="463" t="s">
        <v>233</v>
      </c>
      <c r="Q108" s="382" t="str">
        <f t="shared" si="71"/>
        <v>Covered</v>
      </c>
      <c r="R108" s="464">
        <v>42459</v>
      </c>
      <c r="S108" s="465" t="s">
        <v>253</v>
      </c>
      <c r="T108" s="380" t="str">
        <f t="shared" si="72"/>
        <v>Documented</v>
      </c>
      <c r="U108" s="470">
        <v>0</v>
      </c>
      <c r="V108" s="455">
        <v>0</v>
      </c>
      <c r="W108" s="471" t="s">
        <v>19</v>
      </c>
      <c r="X108" s="470">
        <v>0</v>
      </c>
      <c r="Y108" s="455">
        <v>0</v>
      </c>
      <c r="Z108" s="471">
        <v>1080</v>
      </c>
      <c r="AA108" s="479">
        <v>0</v>
      </c>
      <c r="AB108" s="480">
        <v>0.8</v>
      </c>
      <c r="AC108" s="385">
        <f t="shared" si="114"/>
        <v>1</v>
      </c>
      <c r="AD108" s="364">
        <f t="shared" si="115"/>
        <v>39</v>
      </c>
      <c r="AE108" s="365">
        <f t="shared" si="116"/>
        <v>1</v>
      </c>
      <c r="AF108" s="366">
        <f t="shared" si="117"/>
        <v>39</v>
      </c>
      <c r="AG108" s="363">
        <f t="shared" si="110"/>
        <v>1</v>
      </c>
      <c r="AH108" s="366">
        <f t="shared" si="118"/>
        <v>39</v>
      </c>
      <c r="AI108" s="367" t="str">
        <f t="shared" si="111"/>
        <v>80-100%</v>
      </c>
      <c r="AJ108" s="363">
        <f t="shared" si="112"/>
        <v>0</v>
      </c>
      <c r="AK108" s="368">
        <f t="shared" si="119"/>
        <v>0</v>
      </c>
      <c r="AL108" s="366">
        <f t="shared" si="120"/>
        <v>9.7500000000000003E-2</v>
      </c>
      <c r="AM108" s="366">
        <f t="shared" si="121"/>
        <v>5.6000000000000005</v>
      </c>
      <c r="AN108" s="366">
        <f t="shared" si="122"/>
        <v>0</v>
      </c>
      <c r="AO108" s="488">
        <v>1</v>
      </c>
      <c r="AP108" s="486">
        <f t="shared" si="123"/>
        <v>39</v>
      </c>
      <c r="AQ108" s="480"/>
      <c r="AR108" s="733">
        <v>15</v>
      </c>
      <c r="AS108" s="455">
        <v>2</v>
      </c>
      <c r="AT108" s="455">
        <v>1</v>
      </c>
      <c r="AU108" s="455" t="s">
        <v>290</v>
      </c>
      <c r="AV108" s="369">
        <f t="shared" si="124"/>
        <v>1</v>
      </c>
      <c r="AW108" s="366">
        <f t="shared" si="125"/>
        <v>39</v>
      </c>
      <c r="AX108" s="369">
        <f t="shared" si="113"/>
        <v>0.48717948717948723</v>
      </c>
      <c r="AY108" s="366">
        <f t="shared" si="126"/>
        <v>19</v>
      </c>
      <c r="AZ108" s="369">
        <f t="shared" si="127"/>
        <v>0.51282051282051277</v>
      </c>
      <c r="BA108" s="366">
        <f t="shared" si="128"/>
        <v>20</v>
      </c>
      <c r="BB108" s="493">
        <v>0</v>
      </c>
      <c r="BC108" s="488">
        <v>1</v>
      </c>
      <c r="BD108" s="370">
        <f t="shared" si="129"/>
        <v>39</v>
      </c>
      <c r="BE108" s="371">
        <f t="shared" si="130"/>
        <v>0.95</v>
      </c>
      <c r="BF108" s="455">
        <v>1</v>
      </c>
      <c r="BG108" s="455" t="s">
        <v>89</v>
      </c>
      <c r="BH108" s="369">
        <f t="shared" si="131"/>
        <v>1</v>
      </c>
      <c r="BI108" s="366">
        <f t="shared" si="132"/>
        <v>39</v>
      </c>
      <c r="BJ108" s="371">
        <f t="shared" si="133"/>
        <v>0</v>
      </c>
      <c r="BK108" s="494">
        <v>1</v>
      </c>
      <c r="BL108" s="366">
        <f t="shared" si="134"/>
        <v>39</v>
      </c>
      <c r="BM108" s="455">
        <v>1</v>
      </c>
      <c r="BN108" s="369">
        <f t="shared" si="135"/>
        <v>1</v>
      </c>
      <c r="BO108" s="371">
        <f t="shared" si="136"/>
        <v>0</v>
      </c>
      <c r="BP108" s="480">
        <v>1</v>
      </c>
      <c r="BQ108" s="501"/>
      <c r="BR108" s="503">
        <v>41768</v>
      </c>
      <c r="BS108" s="372" t="str">
        <f t="shared" si="107"/>
        <v>To be realised</v>
      </c>
      <c r="BT108" s="493">
        <v>7</v>
      </c>
      <c r="BU108" s="493">
        <v>6</v>
      </c>
      <c r="BV108" s="373">
        <f t="shared" si="137"/>
        <v>7</v>
      </c>
      <c r="BW108" s="374">
        <f t="shared" si="138"/>
        <v>0</v>
      </c>
      <c r="BX108" s="366">
        <f t="shared" si="139"/>
        <v>0</v>
      </c>
      <c r="BY108" s="387">
        <f t="shared" si="108"/>
        <v>8</v>
      </c>
      <c r="BZ108" s="505"/>
      <c r="CA108" s="480">
        <v>0.85</v>
      </c>
      <c r="CB108" s="389">
        <f t="shared" si="140"/>
        <v>33.15</v>
      </c>
      <c r="CC108" s="505">
        <v>1</v>
      </c>
      <c r="CD108" s="375" t="str">
        <f t="shared" si="141"/>
        <v>Excellent coverage</v>
      </c>
      <c r="CE108" s="474">
        <v>0</v>
      </c>
      <c r="CF108" s="513" t="s">
        <v>65</v>
      </c>
      <c r="CG108" s="512"/>
    </row>
    <row r="109" spans="2:85" s="40" customFormat="1" ht="30.75" customHeight="1" x14ac:dyDescent="0.25">
      <c r="B109" s="449" t="s">
        <v>184</v>
      </c>
      <c r="C109" s="450" t="s">
        <v>570</v>
      </c>
      <c r="D109" s="451" t="s">
        <v>260</v>
      </c>
      <c r="E109" s="450" t="s">
        <v>218</v>
      </c>
      <c r="F109" s="451">
        <v>97.325019999999995</v>
      </c>
      <c r="G109" s="451">
        <v>24.245100000000001</v>
      </c>
      <c r="H109" s="451" t="s">
        <v>449</v>
      </c>
      <c r="I109" s="451" t="s">
        <v>214</v>
      </c>
      <c r="J109" s="455">
        <v>259</v>
      </c>
      <c r="K109" s="455">
        <v>1134</v>
      </c>
      <c r="L109" s="455">
        <v>1079</v>
      </c>
      <c r="M109" s="362" t="str">
        <f t="shared" si="109"/>
        <v>3. Large</v>
      </c>
      <c r="N109" s="701" t="s">
        <v>868</v>
      </c>
      <c r="O109" s="456" t="s">
        <v>231</v>
      </c>
      <c r="P109" s="463" t="s">
        <v>233</v>
      </c>
      <c r="Q109" s="382" t="str">
        <f t="shared" si="71"/>
        <v>Covered</v>
      </c>
      <c r="R109" s="464">
        <v>42459</v>
      </c>
      <c r="S109" s="465" t="s">
        <v>253</v>
      </c>
      <c r="T109" s="380" t="str">
        <f t="shared" si="72"/>
        <v>Documented</v>
      </c>
      <c r="U109" s="470">
        <v>0</v>
      </c>
      <c r="V109" s="455">
        <v>0</v>
      </c>
      <c r="W109" s="471" t="s">
        <v>19</v>
      </c>
      <c r="X109" s="470">
        <v>1</v>
      </c>
      <c r="Y109" s="455">
        <v>0</v>
      </c>
      <c r="Z109" s="471">
        <v>52740</v>
      </c>
      <c r="AA109" s="479">
        <v>0.2</v>
      </c>
      <c r="AB109" s="480">
        <v>0.01</v>
      </c>
      <c r="AC109" s="385">
        <f t="shared" si="114"/>
        <v>1</v>
      </c>
      <c r="AD109" s="364">
        <f t="shared" si="115"/>
        <v>1079</v>
      </c>
      <c r="AE109" s="365">
        <f t="shared" si="116"/>
        <v>1</v>
      </c>
      <c r="AF109" s="366">
        <f t="shared" si="117"/>
        <v>1079</v>
      </c>
      <c r="AG109" s="363">
        <f t="shared" si="110"/>
        <v>1</v>
      </c>
      <c r="AH109" s="366">
        <f t="shared" si="118"/>
        <v>1079</v>
      </c>
      <c r="AI109" s="367" t="str">
        <f t="shared" si="111"/>
        <v>80-100%</v>
      </c>
      <c r="AJ109" s="363">
        <f t="shared" si="112"/>
        <v>0</v>
      </c>
      <c r="AK109" s="368">
        <f t="shared" si="119"/>
        <v>0</v>
      </c>
      <c r="AL109" s="366">
        <f t="shared" si="120"/>
        <v>1.6974999999999998</v>
      </c>
      <c r="AM109" s="366">
        <f t="shared" si="121"/>
        <v>2.59</v>
      </c>
      <c r="AN109" s="366">
        <f t="shared" si="122"/>
        <v>215.8</v>
      </c>
      <c r="AO109" s="488">
        <v>1</v>
      </c>
      <c r="AP109" s="486">
        <f t="shared" si="123"/>
        <v>1079</v>
      </c>
      <c r="AQ109" s="480"/>
      <c r="AR109" s="733">
        <v>2</v>
      </c>
      <c r="AS109" s="455">
        <v>2</v>
      </c>
      <c r="AT109" s="455">
        <v>52</v>
      </c>
      <c r="AU109" s="455" t="s">
        <v>290</v>
      </c>
      <c r="AV109" s="369">
        <f t="shared" si="124"/>
        <v>1</v>
      </c>
      <c r="AW109" s="366">
        <f t="shared" si="125"/>
        <v>1079</v>
      </c>
      <c r="AX109" s="369">
        <f t="shared" si="113"/>
        <v>3.6144578313253017E-2</v>
      </c>
      <c r="AY109" s="366">
        <f t="shared" si="126"/>
        <v>39.000000000000007</v>
      </c>
      <c r="AZ109" s="369">
        <f t="shared" si="127"/>
        <v>0.96385542168674698</v>
      </c>
      <c r="BA109" s="366">
        <f t="shared" si="128"/>
        <v>1040</v>
      </c>
      <c r="BB109" s="493">
        <v>2</v>
      </c>
      <c r="BC109" s="488">
        <v>1</v>
      </c>
      <c r="BD109" s="370">
        <f t="shared" si="129"/>
        <v>1079</v>
      </c>
      <c r="BE109" s="371">
        <f t="shared" si="130"/>
        <v>3.9500000000000028</v>
      </c>
      <c r="BF109" s="455">
        <v>7</v>
      </c>
      <c r="BG109" s="455" t="s">
        <v>292</v>
      </c>
      <c r="BH109" s="369">
        <f t="shared" si="131"/>
        <v>0.64874884151992585</v>
      </c>
      <c r="BI109" s="366">
        <f t="shared" si="132"/>
        <v>700</v>
      </c>
      <c r="BJ109" s="371">
        <f t="shared" si="133"/>
        <v>4.34</v>
      </c>
      <c r="BK109" s="494">
        <v>0.65</v>
      </c>
      <c r="BL109" s="366">
        <f t="shared" si="134"/>
        <v>701.35</v>
      </c>
      <c r="BM109" s="455">
        <v>15</v>
      </c>
      <c r="BN109" s="369">
        <f t="shared" si="135"/>
        <v>1</v>
      </c>
      <c r="BO109" s="371">
        <f t="shared" si="136"/>
        <v>0</v>
      </c>
      <c r="BP109" s="480">
        <v>1</v>
      </c>
      <c r="BQ109" s="501"/>
      <c r="BR109" s="503">
        <v>41768</v>
      </c>
      <c r="BS109" s="372" t="str">
        <f t="shared" si="107"/>
        <v>To be realised</v>
      </c>
      <c r="BT109" s="493">
        <v>153</v>
      </c>
      <c r="BU109" s="493">
        <v>6</v>
      </c>
      <c r="BV109" s="373">
        <f t="shared" si="137"/>
        <v>259</v>
      </c>
      <c r="BW109" s="374">
        <f t="shared" si="138"/>
        <v>0</v>
      </c>
      <c r="BX109" s="366">
        <f t="shared" si="139"/>
        <v>0</v>
      </c>
      <c r="BY109" s="387">
        <f t="shared" si="108"/>
        <v>8</v>
      </c>
      <c r="BZ109" s="505"/>
      <c r="CA109" s="480">
        <v>0.85</v>
      </c>
      <c r="CB109" s="389">
        <f t="shared" si="140"/>
        <v>917.15</v>
      </c>
      <c r="CC109" s="505">
        <v>2</v>
      </c>
      <c r="CD109" s="375" t="str">
        <f t="shared" si="141"/>
        <v>Good coverage</v>
      </c>
      <c r="CE109" s="474">
        <v>0</v>
      </c>
      <c r="CF109" s="513" t="s">
        <v>65</v>
      </c>
      <c r="CG109" s="512"/>
    </row>
    <row r="110" spans="2:85" s="40" customFormat="1" ht="30.75" customHeight="1" x14ac:dyDescent="0.25">
      <c r="B110" s="449" t="s">
        <v>184</v>
      </c>
      <c r="C110" s="450" t="s">
        <v>572</v>
      </c>
      <c r="D110" s="451" t="s">
        <v>260</v>
      </c>
      <c r="E110" s="450" t="s">
        <v>192</v>
      </c>
      <c r="F110" s="451">
        <v>97.346940000000004</v>
      </c>
      <c r="G110" s="451">
        <v>24.251860000000001</v>
      </c>
      <c r="H110" s="451" t="s">
        <v>449</v>
      </c>
      <c r="I110" s="451" t="s">
        <v>214</v>
      </c>
      <c r="J110" s="455">
        <v>4</v>
      </c>
      <c r="K110" s="455">
        <v>17</v>
      </c>
      <c r="L110" s="455">
        <v>17</v>
      </c>
      <c r="M110" s="362" t="str">
        <f t="shared" si="109"/>
        <v>1. Small</v>
      </c>
      <c r="N110" s="701" t="s">
        <v>868</v>
      </c>
      <c r="O110" s="456" t="s">
        <v>276</v>
      </c>
      <c r="P110" s="463" t="s">
        <v>233</v>
      </c>
      <c r="Q110" s="382" t="str">
        <f t="shared" si="71"/>
        <v>Covered</v>
      </c>
      <c r="R110" s="464">
        <v>42459</v>
      </c>
      <c r="S110" s="465" t="s">
        <v>253</v>
      </c>
      <c r="T110" s="380" t="str">
        <f t="shared" si="72"/>
        <v>Documented</v>
      </c>
      <c r="U110" s="470">
        <v>0</v>
      </c>
      <c r="V110" s="455">
        <v>0</v>
      </c>
      <c r="W110" s="471" t="s">
        <v>19</v>
      </c>
      <c r="X110" s="470">
        <v>2</v>
      </c>
      <c r="Y110" s="455">
        <v>0</v>
      </c>
      <c r="Z110" s="471">
        <v>720</v>
      </c>
      <c r="AA110" s="479">
        <v>0</v>
      </c>
      <c r="AB110" s="480">
        <v>0.5</v>
      </c>
      <c r="AC110" s="385">
        <f t="shared" si="114"/>
        <v>1</v>
      </c>
      <c r="AD110" s="364">
        <f t="shared" si="115"/>
        <v>17</v>
      </c>
      <c r="AE110" s="365">
        <f t="shared" si="116"/>
        <v>1</v>
      </c>
      <c r="AF110" s="366">
        <f t="shared" si="117"/>
        <v>17</v>
      </c>
      <c r="AG110" s="363">
        <f t="shared" si="110"/>
        <v>1</v>
      </c>
      <c r="AH110" s="366">
        <f t="shared" si="118"/>
        <v>17</v>
      </c>
      <c r="AI110" s="367" t="str">
        <f t="shared" si="111"/>
        <v>80-100%</v>
      </c>
      <c r="AJ110" s="363">
        <f t="shared" si="112"/>
        <v>0</v>
      </c>
      <c r="AK110" s="368">
        <f t="shared" si="119"/>
        <v>0</v>
      </c>
      <c r="AL110" s="366">
        <f t="shared" si="120"/>
        <v>0</v>
      </c>
      <c r="AM110" s="366">
        <f t="shared" si="121"/>
        <v>2</v>
      </c>
      <c r="AN110" s="366">
        <f t="shared" si="122"/>
        <v>0</v>
      </c>
      <c r="AO110" s="488">
        <v>1</v>
      </c>
      <c r="AP110" s="486">
        <f t="shared" si="123"/>
        <v>17</v>
      </c>
      <c r="AQ110" s="480"/>
      <c r="AR110" s="733">
        <v>2</v>
      </c>
      <c r="AS110" s="455">
        <v>0</v>
      </c>
      <c r="AT110" s="455">
        <v>5</v>
      </c>
      <c r="AU110" s="455" t="s">
        <v>290</v>
      </c>
      <c r="AV110" s="369">
        <f t="shared" si="124"/>
        <v>1</v>
      </c>
      <c r="AW110" s="366">
        <f t="shared" si="125"/>
        <v>17</v>
      </c>
      <c r="AX110" s="369">
        <f t="shared" si="113"/>
        <v>0</v>
      </c>
      <c r="AY110" s="366">
        <f t="shared" si="126"/>
        <v>0</v>
      </c>
      <c r="AZ110" s="369">
        <f t="shared" si="127"/>
        <v>1</v>
      </c>
      <c r="BA110" s="366">
        <f t="shared" si="128"/>
        <v>17</v>
      </c>
      <c r="BB110" s="493">
        <v>0</v>
      </c>
      <c r="BC110" s="488">
        <v>1</v>
      </c>
      <c r="BD110" s="370">
        <f t="shared" si="129"/>
        <v>17</v>
      </c>
      <c r="BE110" s="371">
        <f t="shared" si="130"/>
        <v>0</v>
      </c>
      <c r="BF110" s="455">
        <v>2</v>
      </c>
      <c r="BG110" s="455" t="s">
        <v>291</v>
      </c>
      <c r="BH110" s="369">
        <f t="shared" si="131"/>
        <v>1</v>
      </c>
      <c r="BI110" s="366">
        <f t="shared" si="132"/>
        <v>17</v>
      </c>
      <c r="BJ110" s="371">
        <f t="shared" si="133"/>
        <v>0</v>
      </c>
      <c r="BK110" s="494">
        <v>1</v>
      </c>
      <c r="BL110" s="366">
        <f t="shared" si="134"/>
        <v>17</v>
      </c>
      <c r="BM110" s="455">
        <v>1</v>
      </c>
      <c r="BN110" s="369">
        <f t="shared" si="135"/>
        <v>1</v>
      </c>
      <c r="BO110" s="371">
        <f t="shared" si="136"/>
        <v>0</v>
      </c>
      <c r="BP110" s="480">
        <v>1</v>
      </c>
      <c r="BQ110" s="501"/>
      <c r="BR110" s="503">
        <v>41771</v>
      </c>
      <c r="BS110" s="372" t="str">
        <f t="shared" si="107"/>
        <v>To be realised</v>
      </c>
      <c r="BT110" s="493">
        <v>4</v>
      </c>
      <c r="BU110" s="493">
        <v>6</v>
      </c>
      <c r="BV110" s="373">
        <f t="shared" si="137"/>
        <v>4</v>
      </c>
      <c r="BW110" s="374">
        <f t="shared" si="138"/>
        <v>0</v>
      </c>
      <c r="BX110" s="366">
        <f t="shared" si="139"/>
        <v>0</v>
      </c>
      <c r="BY110" s="387">
        <f t="shared" si="108"/>
        <v>8</v>
      </c>
      <c r="BZ110" s="505"/>
      <c r="CA110" s="480">
        <v>0.8</v>
      </c>
      <c r="CB110" s="389">
        <f t="shared" si="140"/>
        <v>13.600000000000001</v>
      </c>
      <c r="CC110" s="505">
        <v>1</v>
      </c>
      <c r="CD110" s="375" t="str">
        <f t="shared" si="141"/>
        <v>Excellent coverage</v>
      </c>
      <c r="CE110" s="474">
        <v>0</v>
      </c>
      <c r="CF110" s="513" t="s">
        <v>65</v>
      </c>
      <c r="CG110" s="512"/>
    </row>
    <row r="111" spans="2:85" s="40" customFormat="1" ht="30.75" customHeight="1" x14ac:dyDescent="0.25">
      <c r="B111" s="449" t="s">
        <v>184</v>
      </c>
      <c r="C111" s="450" t="s">
        <v>573</v>
      </c>
      <c r="D111" s="451" t="s">
        <v>260</v>
      </c>
      <c r="E111" s="450" t="s">
        <v>193</v>
      </c>
      <c r="F111" s="451">
        <v>97.344359999999995</v>
      </c>
      <c r="G111" s="451">
        <v>24.250689999999999</v>
      </c>
      <c r="H111" s="451" t="s">
        <v>449</v>
      </c>
      <c r="I111" s="451" t="s">
        <v>214</v>
      </c>
      <c r="J111" s="455">
        <v>182</v>
      </c>
      <c r="K111" s="455">
        <v>739</v>
      </c>
      <c r="L111" s="455">
        <v>727</v>
      </c>
      <c r="M111" s="362" t="str">
        <f t="shared" si="109"/>
        <v>2. Medium</v>
      </c>
      <c r="N111" s="701" t="s">
        <v>868</v>
      </c>
      <c r="O111" s="456" t="s">
        <v>235</v>
      </c>
      <c r="P111" s="463" t="s">
        <v>233</v>
      </c>
      <c r="Q111" s="382" t="str">
        <f t="shared" si="71"/>
        <v>Covered</v>
      </c>
      <c r="R111" s="464">
        <v>42459</v>
      </c>
      <c r="S111" s="465" t="s">
        <v>253</v>
      </c>
      <c r="T111" s="380" t="str">
        <f t="shared" si="72"/>
        <v>Documented</v>
      </c>
      <c r="U111" s="470">
        <v>0</v>
      </c>
      <c r="V111" s="455">
        <v>0</v>
      </c>
      <c r="W111" s="471" t="s">
        <v>19</v>
      </c>
      <c r="X111" s="470">
        <v>1</v>
      </c>
      <c r="Y111" s="455">
        <v>0</v>
      </c>
      <c r="Z111" s="471">
        <v>15020</v>
      </c>
      <c r="AA111" s="479">
        <v>0.1</v>
      </c>
      <c r="AB111" s="480">
        <v>0.01</v>
      </c>
      <c r="AC111" s="385">
        <f t="shared" si="114"/>
        <v>1</v>
      </c>
      <c r="AD111" s="364">
        <f t="shared" si="115"/>
        <v>727</v>
      </c>
      <c r="AE111" s="365">
        <f t="shared" si="116"/>
        <v>1</v>
      </c>
      <c r="AF111" s="366">
        <f t="shared" si="117"/>
        <v>727</v>
      </c>
      <c r="AG111" s="363">
        <f t="shared" si="110"/>
        <v>1</v>
      </c>
      <c r="AH111" s="366">
        <f t="shared" si="118"/>
        <v>727</v>
      </c>
      <c r="AI111" s="367" t="str">
        <f t="shared" si="111"/>
        <v>80-100%</v>
      </c>
      <c r="AJ111" s="363">
        <f t="shared" si="112"/>
        <v>0</v>
      </c>
      <c r="AK111" s="368">
        <f t="shared" si="119"/>
        <v>0</v>
      </c>
      <c r="AL111" s="366">
        <f t="shared" si="120"/>
        <v>0.81749999999999989</v>
      </c>
      <c r="AM111" s="366">
        <f t="shared" si="121"/>
        <v>1.82</v>
      </c>
      <c r="AN111" s="366">
        <f t="shared" si="122"/>
        <v>72.7</v>
      </c>
      <c r="AO111" s="488">
        <v>1</v>
      </c>
      <c r="AP111" s="486">
        <f t="shared" si="123"/>
        <v>727</v>
      </c>
      <c r="AQ111" s="480"/>
      <c r="AR111" s="733">
        <v>0</v>
      </c>
      <c r="AS111" s="455">
        <v>13</v>
      </c>
      <c r="AT111" s="455">
        <v>10</v>
      </c>
      <c r="AU111" s="455" t="s">
        <v>89</v>
      </c>
      <c r="AV111" s="369">
        <f t="shared" si="124"/>
        <v>0.6327372764786795</v>
      </c>
      <c r="AW111" s="366">
        <f t="shared" si="125"/>
        <v>460</v>
      </c>
      <c r="AX111" s="369">
        <f t="shared" si="113"/>
        <v>0.35763411279229712</v>
      </c>
      <c r="AY111" s="366">
        <f t="shared" si="126"/>
        <v>260</v>
      </c>
      <c r="AZ111" s="369">
        <f t="shared" si="127"/>
        <v>0.27510316368638238</v>
      </c>
      <c r="BA111" s="366">
        <f t="shared" si="128"/>
        <v>200</v>
      </c>
      <c r="BB111" s="493">
        <v>0</v>
      </c>
      <c r="BC111" s="488">
        <v>0.63</v>
      </c>
      <c r="BD111" s="370">
        <f t="shared" si="129"/>
        <v>458.01</v>
      </c>
      <c r="BE111" s="371">
        <f t="shared" si="130"/>
        <v>26.35</v>
      </c>
      <c r="BF111" s="455">
        <v>4</v>
      </c>
      <c r="BG111" s="455" t="s">
        <v>291</v>
      </c>
      <c r="BH111" s="369">
        <f t="shared" si="131"/>
        <v>0.55020632737276476</v>
      </c>
      <c r="BI111" s="366">
        <f t="shared" si="132"/>
        <v>400</v>
      </c>
      <c r="BJ111" s="371">
        <f t="shared" si="133"/>
        <v>3.3899999999999997</v>
      </c>
      <c r="BK111" s="494">
        <v>0.55000000000000004</v>
      </c>
      <c r="BL111" s="366">
        <f t="shared" si="134"/>
        <v>399.85</v>
      </c>
      <c r="BM111" s="455">
        <v>6</v>
      </c>
      <c r="BN111" s="369">
        <f t="shared" si="135"/>
        <v>0.82530949105914719</v>
      </c>
      <c r="BO111" s="371">
        <f t="shared" si="136"/>
        <v>1.3899999999999997</v>
      </c>
      <c r="BP111" s="480">
        <v>0.83</v>
      </c>
      <c r="BQ111" s="501"/>
      <c r="BR111" s="503">
        <v>41768</v>
      </c>
      <c r="BS111" s="372" t="str">
        <f t="shared" si="107"/>
        <v>To be realised</v>
      </c>
      <c r="BT111" s="493">
        <v>209</v>
      </c>
      <c r="BU111" s="493">
        <v>6</v>
      </c>
      <c r="BV111" s="373">
        <f t="shared" si="137"/>
        <v>182</v>
      </c>
      <c r="BW111" s="374">
        <f t="shared" si="138"/>
        <v>0</v>
      </c>
      <c r="BX111" s="366">
        <f t="shared" si="139"/>
        <v>0</v>
      </c>
      <c r="BY111" s="387">
        <f t="shared" si="108"/>
        <v>8</v>
      </c>
      <c r="BZ111" s="505"/>
      <c r="CA111" s="480">
        <v>0.75</v>
      </c>
      <c r="CB111" s="389">
        <f t="shared" si="140"/>
        <v>545.25</v>
      </c>
      <c r="CC111" s="505">
        <v>1</v>
      </c>
      <c r="CD111" s="375" t="str">
        <f t="shared" si="141"/>
        <v>Good coverage</v>
      </c>
      <c r="CE111" s="474">
        <v>0</v>
      </c>
      <c r="CF111" s="513" t="s">
        <v>65</v>
      </c>
      <c r="CG111" s="512"/>
    </row>
    <row r="112" spans="2:85" s="40" customFormat="1" ht="30.75" customHeight="1" x14ac:dyDescent="0.25">
      <c r="B112" s="449" t="s">
        <v>219</v>
      </c>
      <c r="C112" s="450" t="s">
        <v>581</v>
      </c>
      <c r="D112" s="451" t="s">
        <v>260</v>
      </c>
      <c r="E112" s="450" t="s">
        <v>197</v>
      </c>
      <c r="F112" s="451">
        <v>96.807353000000006</v>
      </c>
      <c r="G112" s="451">
        <v>24.200361000000001</v>
      </c>
      <c r="H112" s="451" t="s">
        <v>449</v>
      </c>
      <c r="I112" s="451" t="s">
        <v>214</v>
      </c>
      <c r="J112" s="455">
        <v>88</v>
      </c>
      <c r="K112" s="455">
        <v>299</v>
      </c>
      <c r="L112" s="455">
        <v>238</v>
      </c>
      <c r="M112" s="362" t="str">
        <f t="shared" si="109"/>
        <v>2. Medium</v>
      </c>
      <c r="N112" s="701" t="s">
        <v>868</v>
      </c>
      <c r="O112" s="456" t="s">
        <v>235</v>
      </c>
      <c r="P112" s="463" t="s">
        <v>233</v>
      </c>
      <c r="Q112" s="382" t="str">
        <f t="shared" si="71"/>
        <v>Covered</v>
      </c>
      <c r="R112" s="464">
        <v>42459</v>
      </c>
      <c r="S112" s="465" t="s">
        <v>253</v>
      </c>
      <c r="T112" s="380" t="str">
        <f t="shared" si="72"/>
        <v>Documented</v>
      </c>
      <c r="U112" s="470">
        <v>0</v>
      </c>
      <c r="V112" s="455">
        <v>0</v>
      </c>
      <c r="W112" s="471" t="s">
        <v>19</v>
      </c>
      <c r="X112" s="470">
        <v>0</v>
      </c>
      <c r="Y112" s="455">
        <v>1</v>
      </c>
      <c r="Z112" s="471">
        <v>11745</v>
      </c>
      <c r="AA112" s="479">
        <v>0.01</v>
      </c>
      <c r="AB112" s="480">
        <v>0</v>
      </c>
      <c r="AC112" s="385">
        <f t="shared" si="114"/>
        <v>1</v>
      </c>
      <c r="AD112" s="364">
        <f t="shared" si="115"/>
        <v>238</v>
      </c>
      <c r="AE112" s="365">
        <f t="shared" si="116"/>
        <v>1</v>
      </c>
      <c r="AF112" s="366">
        <f t="shared" si="117"/>
        <v>238</v>
      </c>
      <c r="AG112" s="363">
        <f t="shared" si="110"/>
        <v>1</v>
      </c>
      <c r="AH112" s="366">
        <f t="shared" si="118"/>
        <v>238</v>
      </c>
      <c r="AI112" s="367" t="str">
        <f t="shared" si="111"/>
        <v>80-100%</v>
      </c>
      <c r="AJ112" s="363">
        <f t="shared" si="112"/>
        <v>0</v>
      </c>
      <c r="AK112" s="368">
        <f t="shared" si="119"/>
        <v>0</v>
      </c>
      <c r="AL112" s="366">
        <f t="shared" si="120"/>
        <v>0</v>
      </c>
      <c r="AM112" s="366">
        <f t="shared" si="121"/>
        <v>0</v>
      </c>
      <c r="AN112" s="366">
        <f t="shared" si="122"/>
        <v>2.38</v>
      </c>
      <c r="AO112" s="488">
        <v>1</v>
      </c>
      <c r="AP112" s="486">
        <f t="shared" si="123"/>
        <v>238</v>
      </c>
      <c r="AQ112" s="480"/>
      <c r="AR112" s="733">
        <v>21</v>
      </c>
      <c r="AS112" s="455">
        <v>9</v>
      </c>
      <c r="AT112" s="455">
        <v>11</v>
      </c>
      <c r="AU112" s="455" t="s">
        <v>290</v>
      </c>
      <c r="AV112" s="369">
        <f t="shared" si="124"/>
        <v>1</v>
      </c>
      <c r="AW112" s="366">
        <f t="shared" si="125"/>
        <v>238</v>
      </c>
      <c r="AX112" s="369">
        <f t="shared" si="113"/>
        <v>7.5630252100840289E-2</v>
      </c>
      <c r="AY112" s="366">
        <f t="shared" si="126"/>
        <v>17.999999999999989</v>
      </c>
      <c r="AZ112" s="369">
        <f t="shared" si="127"/>
        <v>0.92436974789915971</v>
      </c>
      <c r="BA112" s="366">
        <f t="shared" si="128"/>
        <v>220</v>
      </c>
      <c r="BB112" s="493">
        <v>0</v>
      </c>
      <c r="BC112" s="488">
        <v>1</v>
      </c>
      <c r="BD112" s="370">
        <f t="shared" si="129"/>
        <v>238</v>
      </c>
      <c r="BE112" s="371">
        <f t="shared" si="130"/>
        <v>0.90000000000000036</v>
      </c>
      <c r="BF112" s="455">
        <v>5</v>
      </c>
      <c r="BG112" s="455" t="s">
        <v>89</v>
      </c>
      <c r="BH112" s="369">
        <f t="shared" si="131"/>
        <v>1</v>
      </c>
      <c r="BI112" s="366">
        <f t="shared" si="132"/>
        <v>238</v>
      </c>
      <c r="BJ112" s="371">
        <f t="shared" si="133"/>
        <v>0</v>
      </c>
      <c r="BK112" s="494">
        <v>1</v>
      </c>
      <c r="BL112" s="366">
        <f t="shared" si="134"/>
        <v>238</v>
      </c>
      <c r="BM112" s="455">
        <v>5</v>
      </c>
      <c r="BN112" s="369">
        <f t="shared" si="135"/>
        <v>1</v>
      </c>
      <c r="BO112" s="371">
        <f t="shared" si="136"/>
        <v>0</v>
      </c>
      <c r="BP112" s="480">
        <v>1</v>
      </c>
      <c r="BQ112" s="501"/>
      <c r="BR112" s="503">
        <v>41779</v>
      </c>
      <c r="BS112" s="372" t="str">
        <f t="shared" si="107"/>
        <v>To be realised</v>
      </c>
      <c r="BT112" s="493">
        <v>70</v>
      </c>
      <c r="BU112" s="493">
        <v>6</v>
      </c>
      <c r="BV112" s="373">
        <f t="shared" si="137"/>
        <v>88</v>
      </c>
      <c r="BW112" s="374">
        <f t="shared" si="138"/>
        <v>0</v>
      </c>
      <c r="BX112" s="366">
        <f t="shared" si="139"/>
        <v>0</v>
      </c>
      <c r="BY112" s="387">
        <f t="shared" si="108"/>
        <v>8</v>
      </c>
      <c r="BZ112" s="505"/>
      <c r="CA112" s="480">
        <v>0.6</v>
      </c>
      <c r="CB112" s="389">
        <f t="shared" si="140"/>
        <v>142.79999999999998</v>
      </c>
      <c r="CC112" s="505">
        <v>1</v>
      </c>
      <c r="CD112" s="375" t="str">
        <f t="shared" si="141"/>
        <v>Excellent coverage</v>
      </c>
      <c r="CE112" s="474">
        <v>0</v>
      </c>
      <c r="CF112" s="513" t="s">
        <v>293</v>
      </c>
      <c r="CG112" s="512"/>
    </row>
    <row r="113" spans="2:85" s="40" customFormat="1" ht="30.75" customHeight="1" x14ac:dyDescent="0.25">
      <c r="B113" s="449" t="s">
        <v>219</v>
      </c>
      <c r="C113" s="450" t="s">
        <v>582</v>
      </c>
      <c r="D113" s="451" t="s">
        <v>260</v>
      </c>
      <c r="E113" s="450" t="s">
        <v>198</v>
      </c>
      <c r="F113" s="451">
        <v>96.807353000000006</v>
      </c>
      <c r="G113" s="451">
        <v>24.200367</v>
      </c>
      <c r="H113" s="451" t="s">
        <v>449</v>
      </c>
      <c r="I113" s="451" t="s">
        <v>214</v>
      </c>
      <c r="J113" s="455">
        <v>49</v>
      </c>
      <c r="K113" s="455">
        <v>174</v>
      </c>
      <c r="L113" s="455">
        <v>174</v>
      </c>
      <c r="M113" s="362" t="str">
        <f t="shared" si="109"/>
        <v>1. Small</v>
      </c>
      <c r="N113" s="701" t="s">
        <v>868</v>
      </c>
      <c r="O113" s="456" t="s">
        <v>231</v>
      </c>
      <c r="P113" s="463" t="s">
        <v>233</v>
      </c>
      <c r="Q113" s="382" t="str">
        <f t="shared" si="71"/>
        <v>Covered</v>
      </c>
      <c r="R113" s="464">
        <v>42459</v>
      </c>
      <c r="S113" s="465" t="s">
        <v>253</v>
      </c>
      <c r="T113" s="380" t="str">
        <f t="shared" si="72"/>
        <v>Documented</v>
      </c>
      <c r="U113" s="470">
        <v>0</v>
      </c>
      <c r="V113" s="455">
        <v>0</v>
      </c>
      <c r="W113" s="471" t="s">
        <v>19</v>
      </c>
      <c r="X113" s="470">
        <v>0</v>
      </c>
      <c r="Y113" s="455">
        <v>3</v>
      </c>
      <c r="Z113" s="471">
        <v>4000</v>
      </c>
      <c r="AA113" s="479">
        <v>0</v>
      </c>
      <c r="AB113" s="480">
        <v>0.21</v>
      </c>
      <c r="AC113" s="385">
        <f t="shared" si="114"/>
        <v>1</v>
      </c>
      <c r="AD113" s="364">
        <f t="shared" si="115"/>
        <v>174</v>
      </c>
      <c r="AE113" s="365">
        <f t="shared" si="116"/>
        <v>1</v>
      </c>
      <c r="AF113" s="366">
        <f t="shared" si="117"/>
        <v>174</v>
      </c>
      <c r="AG113" s="363">
        <f t="shared" si="110"/>
        <v>1</v>
      </c>
      <c r="AH113" s="366">
        <f t="shared" si="118"/>
        <v>174</v>
      </c>
      <c r="AI113" s="367" t="str">
        <f t="shared" si="111"/>
        <v>80-100%</v>
      </c>
      <c r="AJ113" s="363">
        <f t="shared" si="112"/>
        <v>0</v>
      </c>
      <c r="AK113" s="368">
        <f t="shared" si="119"/>
        <v>0</v>
      </c>
      <c r="AL113" s="366">
        <f t="shared" si="120"/>
        <v>0</v>
      </c>
      <c r="AM113" s="366">
        <f t="shared" si="121"/>
        <v>10.29</v>
      </c>
      <c r="AN113" s="366">
        <f t="shared" si="122"/>
        <v>0</v>
      </c>
      <c r="AO113" s="488">
        <v>1</v>
      </c>
      <c r="AP113" s="486">
        <f t="shared" si="123"/>
        <v>174</v>
      </c>
      <c r="AQ113" s="480"/>
      <c r="AR113" s="733">
        <v>9</v>
      </c>
      <c r="AS113" s="455">
        <v>6</v>
      </c>
      <c r="AT113" s="455">
        <v>10</v>
      </c>
      <c r="AU113" s="455" t="s">
        <v>89</v>
      </c>
      <c r="AV113" s="369">
        <f t="shared" si="124"/>
        <v>1</v>
      </c>
      <c r="AW113" s="366">
        <f t="shared" si="125"/>
        <v>174</v>
      </c>
      <c r="AX113" s="369">
        <f t="shared" si="113"/>
        <v>0</v>
      </c>
      <c r="AY113" s="366">
        <f t="shared" si="126"/>
        <v>0</v>
      </c>
      <c r="AZ113" s="369">
        <f t="shared" si="127"/>
        <v>1</v>
      </c>
      <c r="BA113" s="366">
        <f t="shared" si="128"/>
        <v>174</v>
      </c>
      <c r="BB113" s="493">
        <v>0</v>
      </c>
      <c r="BC113" s="488">
        <v>1</v>
      </c>
      <c r="BD113" s="370">
        <f t="shared" si="129"/>
        <v>174</v>
      </c>
      <c r="BE113" s="371">
        <f t="shared" si="130"/>
        <v>0</v>
      </c>
      <c r="BF113" s="455">
        <v>4</v>
      </c>
      <c r="BG113" s="455" t="s">
        <v>89</v>
      </c>
      <c r="BH113" s="369">
        <f t="shared" si="131"/>
        <v>1</v>
      </c>
      <c r="BI113" s="366">
        <f t="shared" si="132"/>
        <v>174</v>
      </c>
      <c r="BJ113" s="371">
        <f t="shared" si="133"/>
        <v>0</v>
      </c>
      <c r="BK113" s="494">
        <v>1</v>
      </c>
      <c r="BL113" s="366">
        <f t="shared" si="134"/>
        <v>174</v>
      </c>
      <c r="BM113" s="455">
        <v>2</v>
      </c>
      <c r="BN113" s="369">
        <f t="shared" si="135"/>
        <v>1</v>
      </c>
      <c r="BO113" s="371">
        <f t="shared" si="136"/>
        <v>0</v>
      </c>
      <c r="BP113" s="480">
        <v>1</v>
      </c>
      <c r="BQ113" s="501"/>
      <c r="BR113" s="503">
        <v>41779</v>
      </c>
      <c r="BS113" s="372" t="str">
        <f t="shared" si="107"/>
        <v>To be realised</v>
      </c>
      <c r="BT113" s="493">
        <v>54</v>
      </c>
      <c r="BU113" s="493">
        <v>6</v>
      </c>
      <c r="BV113" s="373">
        <f t="shared" si="137"/>
        <v>49</v>
      </c>
      <c r="BW113" s="374">
        <f t="shared" si="138"/>
        <v>0</v>
      </c>
      <c r="BX113" s="366">
        <f t="shared" si="139"/>
        <v>0</v>
      </c>
      <c r="BY113" s="387">
        <f t="shared" si="108"/>
        <v>8</v>
      </c>
      <c r="BZ113" s="505"/>
      <c r="CA113" s="480">
        <v>0.65</v>
      </c>
      <c r="CB113" s="389">
        <f t="shared" si="140"/>
        <v>113.10000000000001</v>
      </c>
      <c r="CC113" s="505">
        <v>1</v>
      </c>
      <c r="CD113" s="375" t="str">
        <f t="shared" si="141"/>
        <v>Excellent coverage</v>
      </c>
      <c r="CE113" s="474">
        <v>0</v>
      </c>
      <c r="CF113" s="513" t="s">
        <v>65</v>
      </c>
      <c r="CG113" s="512"/>
    </row>
    <row r="114" spans="2:85" s="40" customFormat="1" ht="30.75" customHeight="1" x14ac:dyDescent="0.2">
      <c r="B114" s="449" t="s">
        <v>176</v>
      </c>
      <c r="C114" s="450" t="s">
        <v>508</v>
      </c>
      <c r="D114" s="451" t="s">
        <v>260</v>
      </c>
      <c r="E114" s="450" t="s">
        <v>274</v>
      </c>
      <c r="F114" s="451">
        <v>97.238829999999993</v>
      </c>
      <c r="G114" s="451">
        <v>24.260719999999999</v>
      </c>
      <c r="H114" s="451" t="s">
        <v>449</v>
      </c>
      <c r="I114" s="451" t="s">
        <v>214</v>
      </c>
      <c r="J114" s="452">
        <v>210</v>
      </c>
      <c r="K114" s="452">
        <v>965</v>
      </c>
      <c r="L114" s="452">
        <v>965</v>
      </c>
      <c r="M114" s="362" t="str">
        <f t="shared" si="109"/>
        <v>2. Medium</v>
      </c>
      <c r="N114" s="701" t="s">
        <v>254</v>
      </c>
      <c r="O114" s="453" t="s">
        <v>231</v>
      </c>
      <c r="P114" s="461" t="s">
        <v>234</v>
      </c>
      <c r="Q114" s="382" t="str">
        <f t="shared" si="71"/>
        <v>Covered</v>
      </c>
      <c r="R114" s="462">
        <v>42247</v>
      </c>
      <c r="S114" s="453" t="s">
        <v>253</v>
      </c>
      <c r="T114" s="380" t="str">
        <f t="shared" si="72"/>
        <v>Documented</v>
      </c>
      <c r="U114" s="468">
        <v>0</v>
      </c>
      <c r="V114" s="452">
        <v>0</v>
      </c>
      <c r="W114" s="469" t="s">
        <v>19</v>
      </c>
      <c r="X114" s="468">
        <v>0</v>
      </c>
      <c r="Y114" s="474">
        <v>4</v>
      </c>
      <c r="Z114" s="475">
        <v>21600</v>
      </c>
      <c r="AA114" s="481">
        <v>0.8</v>
      </c>
      <c r="AB114" s="482">
        <v>0.11088082901554404</v>
      </c>
      <c r="AC114" s="385">
        <f t="shared" si="114"/>
        <v>1</v>
      </c>
      <c r="AD114" s="364">
        <f t="shared" si="115"/>
        <v>965</v>
      </c>
      <c r="AE114" s="365">
        <f t="shared" si="116"/>
        <v>1</v>
      </c>
      <c r="AF114" s="366">
        <f t="shared" si="117"/>
        <v>965</v>
      </c>
      <c r="AG114" s="363">
        <f t="shared" si="110"/>
        <v>1</v>
      </c>
      <c r="AH114" s="366">
        <f t="shared" si="118"/>
        <v>965</v>
      </c>
      <c r="AI114" s="367" t="str">
        <f t="shared" si="111"/>
        <v>80-100%</v>
      </c>
      <c r="AJ114" s="363">
        <f t="shared" si="112"/>
        <v>0</v>
      </c>
      <c r="AK114" s="368">
        <f t="shared" si="119"/>
        <v>0</v>
      </c>
      <c r="AL114" s="366">
        <f t="shared" si="120"/>
        <v>0</v>
      </c>
      <c r="AM114" s="366">
        <f t="shared" si="121"/>
        <v>23.28497409326425</v>
      </c>
      <c r="AN114" s="366">
        <f t="shared" si="122"/>
        <v>772</v>
      </c>
      <c r="AO114" s="485">
        <v>1</v>
      </c>
      <c r="AP114" s="486">
        <f t="shared" si="123"/>
        <v>965</v>
      </c>
      <c r="AQ114" s="475" t="s">
        <v>869</v>
      </c>
      <c r="AR114" s="732">
        <v>0</v>
      </c>
      <c r="AS114" s="452">
        <v>0</v>
      </c>
      <c r="AT114" s="452">
        <v>24</v>
      </c>
      <c r="AU114" s="452" t="s">
        <v>290</v>
      </c>
      <c r="AV114" s="369">
        <f t="shared" si="124"/>
        <v>0.49740932642487046</v>
      </c>
      <c r="AW114" s="366">
        <f t="shared" si="125"/>
        <v>480</v>
      </c>
      <c r="AX114" s="369">
        <f t="shared" si="113"/>
        <v>0</v>
      </c>
      <c r="AY114" s="366">
        <f t="shared" si="126"/>
        <v>0</v>
      </c>
      <c r="AZ114" s="369">
        <f t="shared" si="127"/>
        <v>0.49740932642487046</v>
      </c>
      <c r="BA114" s="366">
        <f t="shared" si="128"/>
        <v>480</v>
      </c>
      <c r="BB114" s="474">
        <v>0</v>
      </c>
      <c r="BC114" s="490">
        <v>0.52</v>
      </c>
      <c r="BD114" s="370">
        <f t="shared" si="129"/>
        <v>501.8</v>
      </c>
      <c r="BE114" s="371">
        <f t="shared" si="130"/>
        <v>24.25</v>
      </c>
      <c r="BF114" s="452">
        <v>3</v>
      </c>
      <c r="BG114" s="452" t="s">
        <v>292</v>
      </c>
      <c r="BH114" s="369">
        <f t="shared" si="131"/>
        <v>0.31088082901554404</v>
      </c>
      <c r="BI114" s="366">
        <f t="shared" si="132"/>
        <v>300</v>
      </c>
      <c r="BJ114" s="371">
        <f t="shared" si="133"/>
        <v>6.65</v>
      </c>
      <c r="BK114" s="490">
        <v>0.41</v>
      </c>
      <c r="BL114" s="366">
        <f t="shared" si="134"/>
        <v>395.65</v>
      </c>
      <c r="BM114" s="452">
        <v>7</v>
      </c>
      <c r="BN114" s="369">
        <f t="shared" si="135"/>
        <v>0.72538860103626945</v>
      </c>
      <c r="BO114" s="371">
        <f t="shared" si="136"/>
        <v>2.6500000000000004</v>
      </c>
      <c r="BP114" s="478">
        <v>0.73</v>
      </c>
      <c r="BQ114" s="500" t="s">
        <v>875</v>
      </c>
      <c r="BR114" s="502">
        <v>41788</v>
      </c>
      <c r="BS114" s="372" t="str">
        <f t="shared" si="107"/>
        <v>To be realised</v>
      </c>
      <c r="BT114" s="452">
        <v>212</v>
      </c>
      <c r="BU114" s="452">
        <v>6</v>
      </c>
      <c r="BV114" s="373">
        <f t="shared" si="137"/>
        <v>210</v>
      </c>
      <c r="BW114" s="374">
        <f t="shared" si="138"/>
        <v>0</v>
      </c>
      <c r="BX114" s="366">
        <f t="shared" si="139"/>
        <v>0</v>
      </c>
      <c r="BY114" s="387">
        <f t="shared" si="108"/>
        <v>7</v>
      </c>
      <c r="BZ114" s="468"/>
      <c r="CA114" s="478">
        <v>0.35453895639742672</v>
      </c>
      <c r="CB114" s="389">
        <f t="shared" si="140"/>
        <v>342.13009292351677</v>
      </c>
      <c r="CC114" s="468">
        <v>5</v>
      </c>
      <c r="CD114" s="375" t="str">
        <f t="shared" si="141"/>
        <v>Excellent coverage</v>
      </c>
      <c r="CE114" s="474">
        <v>0</v>
      </c>
      <c r="CF114" s="469" t="s">
        <v>65</v>
      </c>
      <c r="CG114" s="509"/>
    </row>
    <row r="115" spans="2:85" s="40" customFormat="1" ht="30.75" customHeight="1" x14ac:dyDescent="0.2">
      <c r="B115" s="449" t="s">
        <v>176</v>
      </c>
      <c r="C115" s="450" t="s">
        <v>508</v>
      </c>
      <c r="D115" s="451" t="s">
        <v>260</v>
      </c>
      <c r="E115" s="450" t="s">
        <v>636</v>
      </c>
      <c r="F115" s="451">
        <v>97.243579999999994</v>
      </c>
      <c r="G115" s="451">
        <v>24.260120000000001</v>
      </c>
      <c r="H115" s="451" t="s">
        <v>449</v>
      </c>
      <c r="I115" s="451" t="s">
        <v>214</v>
      </c>
      <c r="J115" s="452">
        <v>83</v>
      </c>
      <c r="K115" s="452">
        <v>434</v>
      </c>
      <c r="L115" s="452">
        <v>434</v>
      </c>
      <c r="M115" s="362" t="str">
        <f t="shared" si="109"/>
        <v>2. Medium</v>
      </c>
      <c r="N115" s="701" t="s">
        <v>254</v>
      </c>
      <c r="O115" s="453" t="s">
        <v>231</v>
      </c>
      <c r="P115" s="461" t="s">
        <v>234</v>
      </c>
      <c r="Q115" s="382" t="str">
        <f t="shared" si="71"/>
        <v>Covered</v>
      </c>
      <c r="R115" s="462">
        <v>42247</v>
      </c>
      <c r="S115" s="453" t="s">
        <v>253</v>
      </c>
      <c r="T115" s="380" t="str">
        <f t="shared" si="72"/>
        <v>Documented</v>
      </c>
      <c r="U115" s="468">
        <v>0</v>
      </c>
      <c r="V115" s="452">
        <v>0</v>
      </c>
      <c r="W115" s="469" t="s">
        <v>19</v>
      </c>
      <c r="X115" s="468">
        <v>0</v>
      </c>
      <c r="Y115" s="474">
        <v>1</v>
      </c>
      <c r="Z115" s="475">
        <v>14400</v>
      </c>
      <c r="AA115" s="481">
        <v>0.26666666666666666</v>
      </c>
      <c r="AB115" s="482">
        <v>8.5253456221198162E-2</v>
      </c>
      <c r="AC115" s="385">
        <f t="shared" si="114"/>
        <v>1</v>
      </c>
      <c r="AD115" s="364">
        <f t="shared" si="115"/>
        <v>434</v>
      </c>
      <c r="AE115" s="365">
        <f t="shared" si="116"/>
        <v>1</v>
      </c>
      <c r="AF115" s="366">
        <f t="shared" si="117"/>
        <v>434</v>
      </c>
      <c r="AG115" s="363">
        <f t="shared" si="110"/>
        <v>1</v>
      </c>
      <c r="AH115" s="366">
        <f t="shared" si="118"/>
        <v>434</v>
      </c>
      <c r="AI115" s="367" t="str">
        <f t="shared" si="111"/>
        <v>80-100%</v>
      </c>
      <c r="AJ115" s="363">
        <f t="shared" si="112"/>
        <v>0</v>
      </c>
      <c r="AK115" s="368">
        <f t="shared" si="119"/>
        <v>0</v>
      </c>
      <c r="AL115" s="366">
        <f t="shared" si="120"/>
        <v>8.4999999999999964E-2</v>
      </c>
      <c r="AM115" s="366">
        <f t="shared" si="121"/>
        <v>7.0760368663594475</v>
      </c>
      <c r="AN115" s="366">
        <f t="shared" si="122"/>
        <v>115.73333333333333</v>
      </c>
      <c r="AO115" s="485">
        <v>1</v>
      </c>
      <c r="AP115" s="486">
        <f t="shared" si="123"/>
        <v>434</v>
      </c>
      <c r="AQ115" s="475" t="s">
        <v>870</v>
      </c>
      <c r="AR115" s="732">
        <v>0</v>
      </c>
      <c r="AS115" s="452">
        <v>5</v>
      </c>
      <c r="AT115" s="452">
        <v>8</v>
      </c>
      <c r="AU115" s="452" t="s">
        <v>89</v>
      </c>
      <c r="AV115" s="369">
        <f t="shared" si="124"/>
        <v>0.59907834101382484</v>
      </c>
      <c r="AW115" s="366">
        <f t="shared" si="125"/>
        <v>260</v>
      </c>
      <c r="AX115" s="369">
        <f t="shared" si="113"/>
        <v>0.23041474654377875</v>
      </c>
      <c r="AY115" s="366">
        <f t="shared" si="126"/>
        <v>99.999999999999972</v>
      </c>
      <c r="AZ115" s="369">
        <f t="shared" si="127"/>
        <v>0.3686635944700461</v>
      </c>
      <c r="BA115" s="366">
        <f t="shared" si="128"/>
        <v>160</v>
      </c>
      <c r="BB115" s="474">
        <v>0</v>
      </c>
      <c r="BC115" s="490">
        <v>0.6</v>
      </c>
      <c r="BD115" s="370">
        <f t="shared" si="129"/>
        <v>260.39999999999998</v>
      </c>
      <c r="BE115" s="371">
        <f t="shared" si="130"/>
        <v>13.7</v>
      </c>
      <c r="BF115" s="452">
        <v>1</v>
      </c>
      <c r="BG115" s="452" t="s">
        <v>292</v>
      </c>
      <c r="BH115" s="369">
        <f t="shared" si="131"/>
        <v>0.2304147465437788</v>
      </c>
      <c r="BI115" s="366">
        <f t="shared" si="132"/>
        <v>100</v>
      </c>
      <c r="BJ115" s="371">
        <f t="shared" si="133"/>
        <v>3.34</v>
      </c>
      <c r="BK115" s="490">
        <v>0.23</v>
      </c>
      <c r="BL115" s="366">
        <f t="shared" si="134"/>
        <v>99.820000000000007</v>
      </c>
      <c r="BM115" s="452">
        <v>3</v>
      </c>
      <c r="BN115" s="369">
        <f t="shared" si="135"/>
        <v>0.69124423963133641</v>
      </c>
      <c r="BO115" s="371">
        <f t="shared" si="136"/>
        <v>1.3399999999999999</v>
      </c>
      <c r="BP115" s="478">
        <v>0.69</v>
      </c>
      <c r="BQ115" s="500"/>
      <c r="BR115" s="502">
        <v>41788</v>
      </c>
      <c r="BS115" s="372" t="str">
        <f t="shared" si="107"/>
        <v>To be realised</v>
      </c>
      <c r="BT115" s="452">
        <v>78</v>
      </c>
      <c r="BU115" s="452">
        <v>6</v>
      </c>
      <c r="BV115" s="373">
        <f t="shared" si="137"/>
        <v>83</v>
      </c>
      <c r="BW115" s="374">
        <f t="shared" si="138"/>
        <v>0</v>
      </c>
      <c r="BX115" s="366">
        <f t="shared" si="139"/>
        <v>0</v>
      </c>
      <c r="BY115" s="387">
        <f t="shared" si="108"/>
        <v>7</v>
      </c>
      <c r="BZ115" s="468"/>
      <c r="CA115" s="478">
        <v>1</v>
      </c>
      <c r="CB115" s="389">
        <f t="shared" si="140"/>
        <v>434</v>
      </c>
      <c r="CC115" s="468">
        <v>2</v>
      </c>
      <c r="CD115" s="375" t="str">
        <f t="shared" si="141"/>
        <v>Excellent coverage</v>
      </c>
      <c r="CE115" s="474">
        <v>0</v>
      </c>
      <c r="CF115" s="469" t="s">
        <v>65</v>
      </c>
      <c r="CG115" s="509"/>
    </row>
    <row r="116" spans="2:85" s="40" customFormat="1" ht="30.75" customHeight="1" x14ac:dyDescent="0.2">
      <c r="B116" s="449" t="s">
        <v>176</v>
      </c>
      <c r="C116" s="450" t="s">
        <v>514</v>
      </c>
      <c r="D116" s="451" t="s">
        <v>260</v>
      </c>
      <c r="E116" s="450" t="s">
        <v>674</v>
      </c>
      <c r="F116" s="451">
        <v>97.252650000000003</v>
      </c>
      <c r="G116" s="451">
        <v>24.222349999999999</v>
      </c>
      <c r="H116" s="451" t="s">
        <v>449</v>
      </c>
      <c r="I116" s="451" t="s">
        <v>214</v>
      </c>
      <c r="J116" s="455">
        <v>157</v>
      </c>
      <c r="K116" s="455">
        <v>749</v>
      </c>
      <c r="L116" s="455">
        <v>749</v>
      </c>
      <c r="M116" s="362" t="str">
        <f t="shared" si="109"/>
        <v>2. Medium</v>
      </c>
      <c r="N116" s="701" t="s">
        <v>254</v>
      </c>
      <c r="O116" s="453" t="s">
        <v>235</v>
      </c>
      <c r="P116" s="461" t="s">
        <v>234</v>
      </c>
      <c r="Q116" s="382" t="str">
        <f t="shared" si="71"/>
        <v>Covered</v>
      </c>
      <c r="R116" s="462">
        <v>42247</v>
      </c>
      <c r="S116" s="453" t="s">
        <v>253</v>
      </c>
      <c r="T116" s="380" t="str">
        <f t="shared" si="72"/>
        <v>Documented</v>
      </c>
      <c r="U116" s="468">
        <v>0</v>
      </c>
      <c r="V116" s="452">
        <v>0</v>
      </c>
      <c r="W116" s="469" t="s">
        <v>19</v>
      </c>
      <c r="X116" s="468">
        <v>1</v>
      </c>
      <c r="Y116" s="474">
        <v>0</v>
      </c>
      <c r="Z116" s="475">
        <v>18000</v>
      </c>
      <c r="AA116" s="481">
        <v>0</v>
      </c>
      <c r="AB116" s="482">
        <v>0.2136181575433912</v>
      </c>
      <c r="AC116" s="385">
        <f t="shared" si="114"/>
        <v>1</v>
      </c>
      <c r="AD116" s="364">
        <f t="shared" si="115"/>
        <v>749</v>
      </c>
      <c r="AE116" s="365">
        <f t="shared" si="116"/>
        <v>1</v>
      </c>
      <c r="AF116" s="366">
        <f t="shared" si="117"/>
        <v>749</v>
      </c>
      <c r="AG116" s="363">
        <f t="shared" si="110"/>
        <v>1</v>
      </c>
      <c r="AH116" s="366">
        <f t="shared" si="118"/>
        <v>749</v>
      </c>
      <c r="AI116" s="367" t="str">
        <f t="shared" si="111"/>
        <v>80-100%</v>
      </c>
      <c r="AJ116" s="363">
        <f t="shared" si="112"/>
        <v>0</v>
      </c>
      <c r="AK116" s="368">
        <f t="shared" si="119"/>
        <v>0</v>
      </c>
      <c r="AL116" s="366">
        <f t="shared" si="120"/>
        <v>0.87250000000000005</v>
      </c>
      <c r="AM116" s="366">
        <f t="shared" si="121"/>
        <v>33.538050734312421</v>
      </c>
      <c r="AN116" s="366">
        <f t="shared" si="122"/>
        <v>0</v>
      </c>
      <c r="AO116" s="485">
        <v>1</v>
      </c>
      <c r="AP116" s="486">
        <f t="shared" si="123"/>
        <v>749</v>
      </c>
      <c r="AQ116" s="475" t="s">
        <v>869</v>
      </c>
      <c r="AR116" s="732">
        <v>4</v>
      </c>
      <c r="AS116" s="452">
        <v>32</v>
      </c>
      <c r="AT116" s="452">
        <v>18</v>
      </c>
      <c r="AU116" s="452" t="s">
        <v>291</v>
      </c>
      <c r="AV116" s="369">
        <f t="shared" si="124"/>
        <v>1</v>
      </c>
      <c r="AW116" s="366">
        <f t="shared" si="125"/>
        <v>749</v>
      </c>
      <c r="AX116" s="369">
        <f t="shared" si="113"/>
        <v>0.51935914552736984</v>
      </c>
      <c r="AY116" s="366">
        <f t="shared" si="126"/>
        <v>389</v>
      </c>
      <c r="AZ116" s="369">
        <f t="shared" si="127"/>
        <v>0.48064085447263016</v>
      </c>
      <c r="BA116" s="366">
        <f t="shared" si="128"/>
        <v>360</v>
      </c>
      <c r="BB116" s="474">
        <v>0</v>
      </c>
      <c r="BC116" s="490">
        <v>1</v>
      </c>
      <c r="BD116" s="370">
        <f t="shared" si="129"/>
        <v>749</v>
      </c>
      <c r="BE116" s="371">
        <f t="shared" si="130"/>
        <v>19.450000000000003</v>
      </c>
      <c r="BF116" s="452">
        <v>7</v>
      </c>
      <c r="BG116" s="452" t="s">
        <v>291</v>
      </c>
      <c r="BH116" s="369">
        <f t="shared" si="131"/>
        <v>0.93457943925233644</v>
      </c>
      <c r="BI116" s="366">
        <f t="shared" si="132"/>
        <v>700</v>
      </c>
      <c r="BJ116" s="371">
        <f t="shared" si="133"/>
        <v>0.49000000000000021</v>
      </c>
      <c r="BK116" s="490">
        <v>1</v>
      </c>
      <c r="BL116" s="366">
        <f t="shared" si="134"/>
        <v>749</v>
      </c>
      <c r="BM116" s="452">
        <v>18</v>
      </c>
      <c r="BN116" s="369">
        <f t="shared" si="135"/>
        <v>1</v>
      </c>
      <c r="BO116" s="371">
        <f t="shared" si="136"/>
        <v>0</v>
      </c>
      <c r="BP116" s="478">
        <v>1</v>
      </c>
      <c r="BQ116" s="500" t="s">
        <v>876</v>
      </c>
      <c r="BR116" s="502">
        <v>41787</v>
      </c>
      <c r="BS116" s="372" t="str">
        <f t="shared" si="107"/>
        <v>To be realised</v>
      </c>
      <c r="BT116" s="452">
        <v>178</v>
      </c>
      <c r="BU116" s="452">
        <v>6</v>
      </c>
      <c r="BV116" s="373">
        <f t="shared" si="137"/>
        <v>157</v>
      </c>
      <c r="BW116" s="374">
        <f t="shared" si="138"/>
        <v>0</v>
      </c>
      <c r="BX116" s="366">
        <f t="shared" si="139"/>
        <v>0</v>
      </c>
      <c r="BY116" s="387">
        <f t="shared" si="108"/>
        <v>7</v>
      </c>
      <c r="BZ116" s="468"/>
      <c r="CA116" s="478">
        <v>0.22563417890520696</v>
      </c>
      <c r="CB116" s="389">
        <f t="shared" si="140"/>
        <v>169</v>
      </c>
      <c r="CC116" s="468">
        <v>7</v>
      </c>
      <c r="CD116" s="375" t="str">
        <f t="shared" si="141"/>
        <v>Excellent coverage</v>
      </c>
      <c r="CE116" s="474">
        <v>0</v>
      </c>
      <c r="CF116" s="469" t="s">
        <v>65</v>
      </c>
      <c r="CG116" s="509"/>
    </row>
    <row r="117" spans="2:85" s="40" customFormat="1" ht="30.75" customHeight="1" x14ac:dyDescent="0.2">
      <c r="B117" s="449" t="s">
        <v>176</v>
      </c>
      <c r="C117" s="450" t="s">
        <v>515</v>
      </c>
      <c r="D117" s="451" t="s">
        <v>260</v>
      </c>
      <c r="E117" s="450" t="s">
        <v>866</v>
      </c>
      <c r="F117" s="451">
        <v>97.228769999999997</v>
      </c>
      <c r="G117" s="451">
        <v>24.26502</v>
      </c>
      <c r="H117" s="451" t="s">
        <v>449</v>
      </c>
      <c r="I117" s="451" t="s">
        <v>214</v>
      </c>
      <c r="J117" s="455">
        <v>626</v>
      </c>
      <c r="K117" s="455">
        <v>3781</v>
      </c>
      <c r="L117" s="455">
        <v>3781</v>
      </c>
      <c r="M117" s="362" t="str">
        <f t="shared" si="109"/>
        <v>4. Big</v>
      </c>
      <c r="N117" s="701" t="s">
        <v>254</v>
      </c>
      <c r="O117" s="453" t="s">
        <v>235</v>
      </c>
      <c r="P117" s="461" t="s">
        <v>234</v>
      </c>
      <c r="Q117" s="382" t="str">
        <f t="shared" si="71"/>
        <v>Covered</v>
      </c>
      <c r="R117" s="462">
        <v>42247</v>
      </c>
      <c r="S117" s="453" t="s">
        <v>253</v>
      </c>
      <c r="T117" s="380" t="str">
        <f t="shared" si="72"/>
        <v>Documented</v>
      </c>
      <c r="U117" s="468">
        <v>0</v>
      </c>
      <c r="V117" s="452">
        <v>0</v>
      </c>
      <c r="W117" s="469" t="s">
        <v>19</v>
      </c>
      <c r="X117" s="468">
        <v>0</v>
      </c>
      <c r="Y117" s="474">
        <v>20</v>
      </c>
      <c r="Z117" s="475">
        <v>36000</v>
      </c>
      <c r="AA117" s="481">
        <v>1</v>
      </c>
      <c r="AB117" s="482">
        <v>8.1724411531340913E-2</v>
      </c>
      <c r="AC117" s="385">
        <f t="shared" si="114"/>
        <v>1</v>
      </c>
      <c r="AD117" s="364">
        <f t="shared" si="115"/>
        <v>3781</v>
      </c>
      <c r="AE117" s="365">
        <f t="shared" si="116"/>
        <v>1</v>
      </c>
      <c r="AF117" s="366">
        <f t="shared" si="117"/>
        <v>3781</v>
      </c>
      <c r="AG117" s="363">
        <f t="shared" si="110"/>
        <v>1</v>
      </c>
      <c r="AH117" s="366">
        <f t="shared" si="118"/>
        <v>3781</v>
      </c>
      <c r="AI117" s="367" t="str">
        <f t="shared" si="111"/>
        <v>80-100%</v>
      </c>
      <c r="AJ117" s="363">
        <f t="shared" si="112"/>
        <v>0</v>
      </c>
      <c r="AK117" s="368">
        <f t="shared" si="119"/>
        <v>0</v>
      </c>
      <c r="AL117" s="366">
        <f t="shared" si="120"/>
        <v>0</v>
      </c>
      <c r="AM117" s="366">
        <f t="shared" si="121"/>
        <v>51.159481618619409</v>
      </c>
      <c r="AN117" s="366">
        <f t="shared" si="122"/>
        <v>3781</v>
      </c>
      <c r="AO117" s="485">
        <v>1</v>
      </c>
      <c r="AP117" s="486">
        <f t="shared" si="123"/>
        <v>3781</v>
      </c>
      <c r="AQ117" s="475" t="s">
        <v>869</v>
      </c>
      <c r="AR117" s="732">
        <v>2</v>
      </c>
      <c r="AS117" s="452">
        <v>46</v>
      </c>
      <c r="AT117" s="452">
        <v>106</v>
      </c>
      <c r="AU117" s="452" t="s">
        <v>89</v>
      </c>
      <c r="AV117" s="369">
        <f t="shared" si="124"/>
        <v>0.8040201005025126</v>
      </c>
      <c r="AW117" s="366">
        <f t="shared" si="125"/>
        <v>3040</v>
      </c>
      <c r="AX117" s="369">
        <f t="shared" si="113"/>
        <v>0.24332187252049731</v>
      </c>
      <c r="AY117" s="366">
        <f t="shared" si="126"/>
        <v>920.00000000000034</v>
      </c>
      <c r="AZ117" s="369">
        <f t="shared" si="127"/>
        <v>0.5606982279820153</v>
      </c>
      <c r="BA117" s="366">
        <f t="shared" si="128"/>
        <v>2120</v>
      </c>
      <c r="BB117" s="474">
        <v>4</v>
      </c>
      <c r="BC117" s="490">
        <v>0.87</v>
      </c>
      <c r="BD117" s="370">
        <f t="shared" si="129"/>
        <v>3289.47</v>
      </c>
      <c r="BE117" s="371">
        <f t="shared" si="130"/>
        <v>87.050000000000011</v>
      </c>
      <c r="BF117" s="452">
        <v>10</v>
      </c>
      <c r="BG117" s="452" t="s">
        <v>292</v>
      </c>
      <c r="BH117" s="369">
        <f t="shared" si="131"/>
        <v>0.26448029621793179</v>
      </c>
      <c r="BI117" s="366">
        <f t="shared" si="132"/>
        <v>1000.0000000000001</v>
      </c>
      <c r="BJ117" s="371">
        <f t="shared" si="133"/>
        <v>27.810000000000002</v>
      </c>
      <c r="BK117" s="490">
        <v>0.26</v>
      </c>
      <c r="BL117" s="366">
        <f t="shared" si="134"/>
        <v>983.06000000000006</v>
      </c>
      <c r="BM117" s="452">
        <v>30</v>
      </c>
      <c r="BN117" s="369">
        <f t="shared" si="135"/>
        <v>0.79344088865379525</v>
      </c>
      <c r="BO117" s="371">
        <f t="shared" si="136"/>
        <v>7.8100000000000023</v>
      </c>
      <c r="BP117" s="478">
        <v>0.79</v>
      </c>
      <c r="BQ117" s="500" t="s">
        <v>877</v>
      </c>
      <c r="BR117" s="502">
        <v>41768</v>
      </c>
      <c r="BS117" s="372" t="str">
        <f t="shared" si="107"/>
        <v>To be realised</v>
      </c>
      <c r="BT117" s="452">
        <v>649</v>
      </c>
      <c r="BU117" s="452">
        <v>6</v>
      </c>
      <c r="BV117" s="373">
        <f t="shared" si="137"/>
        <v>626</v>
      </c>
      <c r="BW117" s="374">
        <f t="shared" si="138"/>
        <v>0</v>
      </c>
      <c r="BX117" s="366">
        <f t="shared" si="139"/>
        <v>0</v>
      </c>
      <c r="BY117" s="387">
        <f t="shared" si="108"/>
        <v>8</v>
      </c>
      <c r="BZ117" s="468"/>
      <c r="CA117" s="478">
        <v>0.12800846336947896</v>
      </c>
      <c r="CB117" s="389">
        <f t="shared" si="140"/>
        <v>483.99999999999994</v>
      </c>
      <c r="CC117" s="468">
        <v>11</v>
      </c>
      <c r="CD117" s="375" t="str">
        <f t="shared" si="141"/>
        <v>Excellent coverage</v>
      </c>
      <c r="CE117" s="474">
        <v>0</v>
      </c>
      <c r="CF117" s="469" t="s">
        <v>65</v>
      </c>
      <c r="CG117" s="509"/>
    </row>
    <row r="118" spans="2:85" s="40" customFormat="1" ht="30.75" customHeight="1" x14ac:dyDescent="0.2">
      <c r="B118" s="449" t="s">
        <v>176</v>
      </c>
      <c r="C118" s="450" t="s">
        <v>516</v>
      </c>
      <c r="D118" s="451" t="s">
        <v>260</v>
      </c>
      <c r="E118" s="450" t="s">
        <v>180</v>
      </c>
      <c r="F118" s="451">
        <v>97.227789999999999</v>
      </c>
      <c r="G118" s="451">
        <v>24.29138</v>
      </c>
      <c r="H118" s="451" t="s">
        <v>449</v>
      </c>
      <c r="I118" s="451" t="s">
        <v>214</v>
      </c>
      <c r="J118" s="455">
        <v>27</v>
      </c>
      <c r="K118" s="455">
        <v>111</v>
      </c>
      <c r="L118" s="455">
        <v>111</v>
      </c>
      <c r="M118" s="362" t="str">
        <f t="shared" si="109"/>
        <v>1. Small</v>
      </c>
      <c r="N118" s="701" t="s">
        <v>254</v>
      </c>
      <c r="O118" s="453" t="s">
        <v>276</v>
      </c>
      <c r="P118" s="461" t="s">
        <v>234</v>
      </c>
      <c r="Q118" s="382" t="str">
        <f t="shared" si="71"/>
        <v>Covered</v>
      </c>
      <c r="R118" s="462">
        <v>42247</v>
      </c>
      <c r="S118" s="453" t="s">
        <v>253</v>
      </c>
      <c r="T118" s="380" t="str">
        <f t="shared" si="72"/>
        <v>Documented</v>
      </c>
      <c r="U118" s="468">
        <v>0</v>
      </c>
      <c r="V118" s="452">
        <v>0</v>
      </c>
      <c r="W118" s="469" t="s">
        <v>19</v>
      </c>
      <c r="X118" s="468">
        <v>0</v>
      </c>
      <c r="Y118" s="474">
        <v>3</v>
      </c>
      <c r="Z118" s="475">
        <v>4000</v>
      </c>
      <c r="AA118" s="481">
        <v>0</v>
      </c>
      <c r="AB118" s="482">
        <v>0.25225225225225223</v>
      </c>
      <c r="AC118" s="385">
        <f t="shared" si="114"/>
        <v>1</v>
      </c>
      <c r="AD118" s="364">
        <f t="shared" si="115"/>
        <v>111</v>
      </c>
      <c r="AE118" s="365">
        <f t="shared" si="116"/>
        <v>1</v>
      </c>
      <c r="AF118" s="366">
        <f t="shared" si="117"/>
        <v>111</v>
      </c>
      <c r="AG118" s="363">
        <f t="shared" si="110"/>
        <v>1</v>
      </c>
      <c r="AH118" s="366">
        <f t="shared" si="118"/>
        <v>111</v>
      </c>
      <c r="AI118" s="367" t="str">
        <f t="shared" si="111"/>
        <v>80-100%</v>
      </c>
      <c r="AJ118" s="363">
        <f t="shared" si="112"/>
        <v>0</v>
      </c>
      <c r="AK118" s="368">
        <f t="shared" si="119"/>
        <v>0</v>
      </c>
      <c r="AL118" s="366">
        <f t="shared" si="120"/>
        <v>0</v>
      </c>
      <c r="AM118" s="366">
        <f t="shared" si="121"/>
        <v>6.8108108108108105</v>
      </c>
      <c r="AN118" s="366">
        <f t="shared" si="122"/>
        <v>0</v>
      </c>
      <c r="AO118" s="485">
        <v>1</v>
      </c>
      <c r="AP118" s="486">
        <f t="shared" si="123"/>
        <v>111</v>
      </c>
      <c r="AQ118" s="475" t="s">
        <v>870</v>
      </c>
      <c r="AR118" s="732">
        <v>24</v>
      </c>
      <c r="AS118" s="452">
        <v>8</v>
      </c>
      <c r="AT118" s="452">
        <v>10</v>
      </c>
      <c r="AU118" s="452" t="s">
        <v>290</v>
      </c>
      <c r="AV118" s="369">
        <f t="shared" si="124"/>
        <v>1</v>
      </c>
      <c r="AW118" s="366">
        <f t="shared" si="125"/>
        <v>111</v>
      </c>
      <c r="AX118" s="369">
        <f t="shared" si="113"/>
        <v>0</v>
      </c>
      <c r="AY118" s="366">
        <f t="shared" si="126"/>
        <v>0</v>
      </c>
      <c r="AZ118" s="369">
        <f t="shared" si="127"/>
        <v>1</v>
      </c>
      <c r="BA118" s="366">
        <f t="shared" si="128"/>
        <v>111</v>
      </c>
      <c r="BB118" s="474">
        <v>0</v>
      </c>
      <c r="BC118" s="490">
        <v>1</v>
      </c>
      <c r="BD118" s="370">
        <f t="shared" si="129"/>
        <v>111</v>
      </c>
      <c r="BE118" s="371">
        <f t="shared" si="130"/>
        <v>0</v>
      </c>
      <c r="BF118" s="452">
        <v>3</v>
      </c>
      <c r="BG118" s="452" t="s">
        <v>291</v>
      </c>
      <c r="BH118" s="369">
        <f t="shared" si="131"/>
        <v>1</v>
      </c>
      <c r="BI118" s="366">
        <f t="shared" si="132"/>
        <v>111</v>
      </c>
      <c r="BJ118" s="371">
        <f t="shared" si="133"/>
        <v>0</v>
      </c>
      <c r="BK118" s="490">
        <v>1</v>
      </c>
      <c r="BL118" s="366">
        <f t="shared" si="134"/>
        <v>111</v>
      </c>
      <c r="BM118" s="452">
        <v>3</v>
      </c>
      <c r="BN118" s="369">
        <f t="shared" si="135"/>
        <v>1</v>
      </c>
      <c r="BO118" s="371">
        <f t="shared" si="136"/>
        <v>0</v>
      </c>
      <c r="BP118" s="478">
        <v>1</v>
      </c>
      <c r="BQ118" s="500"/>
      <c r="BR118" s="502">
        <v>41800</v>
      </c>
      <c r="BS118" s="372" t="str">
        <f t="shared" si="107"/>
        <v>To be realised</v>
      </c>
      <c r="BT118" s="452">
        <v>42</v>
      </c>
      <c r="BU118" s="452">
        <v>6</v>
      </c>
      <c r="BV118" s="373">
        <f t="shared" si="137"/>
        <v>27</v>
      </c>
      <c r="BW118" s="374">
        <f t="shared" si="138"/>
        <v>0</v>
      </c>
      <c r="BX118" s="366">
        <f t="shared" si="139"/>
        <v>0</v>
      </c>
      <c r="BY118" s="387">
        <f t="shared" si="108"/>
        <v>7</v>
      </c>
      <c r="BZ118" s="468"/>
      <c r="CA118" s="478">
        <v>1</v>
      </c>
      <c r="CB118" s="389">
        <f t="shared" si="140"/>
        <v>111</v>
      </c>
      <c r="CC118" s="468">
        <v>2</v>
      </c>
      <c r="CD118" s="375" t="str">
        <f t="shared" si="141"/>
        <v>Excellent coverage</v>
      </c>
      <c r="CE118" s="474">
        <v>0</v>
      </c>
      <c r="CF118" s="469" t="s">
        <v>65</v>
      </c>
      <c r="CG118" s="509"/>
    </row>
    <row r="119" spans="2:85" s="40" customFormat="1" ht="30.75" customHeight="1" x14ac:dyDescent="0.2">
      <c r="B119" s="449" t="s">
        <v>184</v>
      </c>
      <c r="C119" s="450" t="s">
        <v>564</v>
      </c>
      <c r="D119" s="451" t="s">
        <v>261</v>
      </c>
      <c r="E119" s="450" t="s">
        <v>199</v>
      </c>
      <c r="F119" s="451">
        <v>97.568282999999994</v>
      </c>
      <c r="G119" s="451">
        <v>24.688167</v>
      </c>
      <c r="H119" s="451" t="s">
        <v>449</v>
      </c>
      <c r="I119" s="451" t="s">
        <v>222</v>
      </c>
      <c r="J119" s="455">
        <v>1548</v>
      </c>
      <c r="K119" s="455">
        <v>7247</v>
      </c>
      <c r="L119" s="455">
        <v>7247</v>
      </c>
      <c r="M119" s="362" t="str">
        <f t="shared" si="109"/>
        <v>5. Massive</v>
      </c>
      <c r="N119" s="701" t="s">
        <v>254</v>
      </c>
      <c r="O119" s="453" t="s">
        <v>231</v>
      </c>
      <c r="P119" s="461" t="s">
        <v>235</v>
      </c>
      <c r="Q119" s="382" t="str">
        <f t="shared" si="71"/>
        <v>Covered</v>
      </c>
      <c r="R119" s="462">
        <v>42247</v>
      </c>
      <c r="S119" s="453" t="s">
        <v>253</v>
      </c>
      <c r="T119" s="380" t="str">
        <f t="shared" si="72"/>
        <v>Documented</v>
      </c>
      <c r="U119" s="468">
        <v>0</v>
      </c>
      <c r="V119" s="452">
        <v>0</v>
      </c>
      <c r="W119" s="469" t="s">
        <v>19</v>
      </c>
      <c r="X119" s="468">
        <v>5</v>
      </c>
      <c r="Y119" s="474">
        <v>0</v>
      </c>
      <c r="Z119" s="475">
        <v>97500</v>
      </c>
      <c r="AA119" s="481">
        <v>0</v>
      </c>
      <c r="AB119" s="482">
        <v>0</v>
      </c>
      <c r="AC119" s="385">
        <f t="shared" si="114"/>
        <v>1</v>
      </c>
      <c r="AD119" s="364">
        <f t="shared" si="115"/>
        <v>7247</v>
      </c>
      <c r="AE119" s="365">
        <f t="shared" si="116"/>
        <v>1</v>
      </c>
      <c r="AF119" s="366">
        <f t="shared" si="117"/>
        <v>7247</v>
      </c>
      <c r="AG119" s="363">
        <f t="shared" si="110"/>
        <v>1</v>
      </c>
      <c r="AH119" s="366">
        <f t="shared" si="118"/>
        <v>7247</v>
      </c>
      <c r="AI119" s="367" t="str">
        <f t="shared" si="111"/>
        <v>80-100%</v>
      </c>
      <c r="AJ119" s="363">
        <f t="shared" si="112"/>
        <v>0</v>
      </c>
      <c r="AK119" s="368">
        <f t="shared" si="119"/>
        <v>0</v>
      </c>
      <c r="AL119" s="366">
        <f t="shared" si="120"/>
        <v>13.1175</v>
      </c>
      <c r="AM119" s="366">
        <f t="shared" si="121"/>
        <v>0</v>
      </c>
      <c r="AN119" s="366">
        <f t="shared" si="122"/>
        <v>0</v>
      </c>
      <c r="AO119" s="485">
        <v>1</v>
      </c>
      <c r="AP119" s="486">
        <f t="shared" si="123"/>
        <v>7247</v>
      </c>
      <c r="AQ119" s="489"/>
      <c r="AR119" s="732">
        <v>12</v>
      </c>
      <c r="AS119" s="452">
        <v>25</v>
      </c>
      <c r="AT119" s="452">
        <v>465</v>
      </c>
      <c r="AU119" s="452" t="s">
        <v>290</v>
      </c>
      <c r="AV119" s="369">
        <f t="shared" si="124"/>
        <v>1</v>
      </c>
      <c r="AW119" s="366">
        <f t="shared" si="125"/>
        <v>7247</v>
      </c>
      <c r="AX119" s="369">
        <f t="shared" si="113"/>
        <v>0</v>
      </c>
      <c r="AY119" s="366">
        <f t="shared" si="126"/>
        <v>0</v>
      </c>
      <c r="AZ119" s="369">
        <f t="shared" si="127"/>
        <v>1</v>
      </c>
      <c r="BA119" s="366">
        <f t="shared" si="128"/>
        <v>7247</v>
      </c>
      <c r="BB119" s="474">
        <v>0</v>
      </c>
      <c r="BC119" s="490">
        <v>1</v>
      </c>
      <c r="BD119" s="370">
        <f t="shared" si="129"/>
        <v>7247</v>
      </c>
      <c r="BE119" s="371">
        <f t="shared" si="130"/>
        <v>0</v>
      </c>
      <c r="BF119" s="452">
        <v>50</v>
      </c>
      <c r="BG119" s="452" t="s">
        <v>89</v>
      </c>
      <c r="BH119" s="369">
        <f t="shared" si="131"/>
        <v>0.68994066510280116</v>
      </c>
      <c r="BI119" s="366">
        <f t="shared" si="132"/>
        <v>5000</v>
      </c>
      <c r="BJ119" s="371">
        <f t="shared" si="133"/>
        <v>22.47</v>
      </c>
      <c r="BK119" s="490">
        <v>0.69</v>
      </c>
      <c r="BL119" s="366">
        <f t="shared" si="134"/>
        <v>5000.4299999999994</v>
      </c>
      <c r="BM119" s="452">
        <v>102</v>
      </c>
      <c r="BN119" s="369">
        <f t="shared" si="135"/>
        <v>1</v>
      </c>
      <c r="BO119" s="371">
        <f t="shared" si="136"/>
        <v>0</v>
      </c>
      <c r="BP119" s="478">
        <v>1</v>
      </c>
      <c r="BQ119" s="500"/>
      <c r="BR119" s="502">
        <v>41557</v>
      </c>
      <c r="BS119" s="372" t="str">
        <f t="shared" si="107"/>
        <v>To be realised</v>
      </c>
      <c r="BT119" s="452">
        <v>1646</v>
      </c>
      <c r="BU119" s="452">
        <v>6</v>
      </c>
      <c r="BV119" s="373">
        <f t="shared" si="137"/>
        <v>1548</v>
      </c>
      <c r="BW119" s="374">
        <f t="shared" si="138"/>
        <v>0</v>
      </c>
      <c r="BX119" s="366">
        <f t="shared" si="139"/>
        <v>0</v>
      </c>
      <c r="BY119" s="387">
        <f t="shared" si="108"/>
        <v>15</v>
      </c>
      <c r="BZ119" s="468"/>
      <c r="CA119" s="478">
        <v>0.14405961087346489</v>
      </c>
      <c r="CB119" s="389">
        <f t="shared" si="140"/>
        <v>1044</v>
      </c>
      <c r="CC119" s="468">
        <v>17</v>
      </c>
      <c r="CD119" s="375" t="str">
        <f t="shared" si="141"/>
        <v>Excellent coverage</v>
      </c>
      <c r="CE119" s="474">
        <v>0</v>
      </c>
      <c r="CF119" s="469" t="s">
        <v>65</v>
      </c>
      <c r="CG119" s="509"/>
    </row>
    <row r="120" spans="2:85" s="40" customFormat="1" ht="30.75" customHeight="1" x14ac:dyDescent="0.2">
      <c r="B120" s="449" t="s">
        <v>184</v>
      </c>
      <c r="C120" s="450" t="s">
        <v>566</v>
      </c>
      <c r="D120" s="451" t="s">
        <v>266</v>
      </c>
      <c r="E120" s="450" t="s">
        <v>188</v>
      </c>
      <c r="F120" s="451">
        <v>97.718582999999995</v>
      </c>
      <c r="G120" s="451">
        <v>24.200972</v>
      </c>
      <c r="H120" s="451" t="s">
        <v>449</v>
      </c>
      <c r="I120" s="451" t="s">
        <v>214</v>
      </c>
      <c r="J120" s="455">
        <v>30</v>
      </c>
      <c r="K120" s="455">
        <v>182</v>
      </c>
      <c r="L120" s="455">
        <v>128</v>
      </c>
      <c r="M120" s="362" t="str">
        <f t="shared" si="109"/>
        <v>1. Small</v>
      </c>
      <c r="N120" s="701" t="s">
        <v>254</v>
      </c>
      <c r="O120" s="453" t="s">
        <v>235</v>
      </c>
      <c r="P120" s="461" t="s">
        <v>234</v>
      </c>
      <c r="Q120" s="382" t="str">
        <f t="shared" si="71"/>
        <v>Covered</v>
      </c>
      <c r="R120" s="462">
        <v>42247</v>
      </c>
      <c r="S120" s="453" t="s">
        <v>253</v>
      </c>
      <c r="T120" s="380" t="str">
        <f t="shared" si="72"/>
        <v>Documented</v>
      </c>
      <c r="U120" s="468">
        <v>0</v>
      </c>
      <c r="V120" s="452">
        <v>0</v>
      </c>
      <c r="W120" s="469" t="s">
        <v>19</v>
      </c>
      <c r="X120" s="468">
        <v>0</v>
      </c>
      <c r="Y120" s="474">
        <v>1</v>
      </c>
      <c r="Z120" s="475">
        <v>3000</v>
      </c>
      <c r="AA120" s="481">
        <v>0</v>
      </c>
      <c r="AB120" s="482">
        <v>0.12087912087912088</v>
      </c>
      <c r="AC120" s="385">
        <f t="shared" si="114"/>
        <v>1</v>
      </c>
      <c r="AD120" s="364">
        <f t="shared" si="115"/>
        <v>128</v>
      </c>
      <c r="AE120" s="365">
        <f t="shared" si="116"/>
        <v>1</v>
      </c>
      <c r="AF120" s="366">
        <f t="shared" si="117"/>
        <v>128</v>
      </c>
      <c r="AG120" s="363">
        <f t="shared" si="110"/>
        <v>1</v>
      </c>
      <c r="AH120" s="366">
        <f t="shared" si="118"/>
        <v>128</v>
      </c>
      <c r="AI120" s="367" t="str">
        <f t="shared" si="111"/>
        <v>80-100%</v>
      </c>
      <c r="AJ120" s="363">
        <f t="shared" si="112"/>
        <v>0</v>
      </c>
      <c r="AK120" s="368">
        <f t="shared" si="119"/>
        <v>0</v>
      </c>
      <c r="AL120" s="366">
        <f t="shared" si="120"/>
        <v>0</v>
      </c>
      <c r="AM120" s="366">
        <f t="shared" si="121"/>
        <v>3.6263736263736264</v>
      </c>
      <c r="AN120" s="366">
        <f t="shared" si="122"/>
        <v>0</v>
      </c>
      <c r="AO120" s="485">
        <v>1</v>
      </c>
      <c r="AP120" s="486">
        <f t="shared" si="123"/>
        <v>128</v>
      </c>
      <c r="AQ120" s="475"/>
      <c r="AR120" s="732">
        <v>2</v>
      </c>
      <c r="AS120" s="455">
        <v>0</v>
      </c>
      <c r="AT120" s="455">
        <v>10</v>
      </c>
      <c r="AU120" s="452" t="s">
        <v>89</v>
      </c>
      <c r="AV120" s="369">
        <f t="shared" si="124"/>
        <v>1</v>
      </c>
      <c r="AW120" s="366">
        <f t="shared" si="125"/>
        <v>128</v>
      </c>
      <c r="AX120" s="369">
        <f t="shared" si="113"/>
        <v>0</v>
      </c>
      <c r="AY120" s="366">
        <f t="shared" si="126"/>
        <v>0</v>
      </c>
      <c r="AZ120" s="369">
        <f t="shared" si="127"/>
        <v>1</v>
      </c>
      <c r="BA120" s="366">
        <f t="shared" si="128"/>
        <v>128</v>
      </c>
      <c r="BB120" s="474">
        <v>0</v>
      </c>
      <c r="BC120" s="490">
        <v>1</v>
      </c>
      <c r="BD120" s="370">
        <f t="shared" si="129"/>
        <v>128</v>
      </c>
      <c r="BE120" s="371">
        <f t="shared" si="130"/>
        <v>0</v>
      </c>
      <c r="BF120" s="452">
        <v>1</v>
      </c>
      <c r="BG120" s="452" t="s">
        <v>291</v>
      </c>
      <c r="BH120" s="369">
        <f t="shared" si="131"/>
        <v>0.78125</v>
      </c>
      <c r="BI120" s="366">
        <f t="shared" si="132"/>
        <v>100</v>
      </c>
      <c r="BJ120" s="371">
        <f t="shared" si="133"/>
        <v>0.82000000000000006</v>
      </c>
      <c r="BK120" s="490">
        <v>0.78</v>
      </c>
      <c r="BL120" s="366">
        <f t="shared" si="134"/>
        <v>99.84</v>
      </c>
      <c r="BM120" s="452">
        <v>6</v>
      </c>
      <c r="BN120" s="369">
        <f t="shared" si="135"/>
        <v>1</v>
      </c>
      <c r="BO120" s="371">
        <f t="shared" si="136"/>
        <v>0</v>
      </c>
      <c r="BP120" s="478">
        <v>1</v>
      </c>
      <c r="BQ120" s="500"/>
      <c r="BR120" s="502">
        <v>41794</v>
      </c>
      <c r="BS120" s="372" t="str">
        <f t="shared" si="107"/>
        <v>To be realised</v>
      </c>
      <c r="BT120" s="452">
        <v>29</v>
      </c>
      <c r="BU120" s="452">
        <v>6</v>
      </c>
      <c r="BV120" s="373">
        <f t="shared" si="137"/>
        <v>30</v>
      </c>
      <c r="BW120" s="374">
        <f t="shared" si="138"/>
        <v>0</v>
      </c>
      <c r="BX120" s="366">
        <f t="shared" si="139"/>
        <v>0</v>
      </c>
      <c r="BY120" s="387">
        <f t="shared" si="108"/>
        <v>7</v>
      </c>
      <c r="BZ120" s="468"/>
      <c r="CA120" s="478">
        <v>1</v>
      </c>
      <c r="CB120" s="389">
        <f t="shared" si="140"/>
        <v>128</v>
      </c>
      <c r="CC120" s="468">
        <v>1</v>
      </c>
      <c r="CD120" s="375" t="str">
        <f t="shared" si="141"/>
        <v>Excellent coverage</v>
      </c>
      <c r="CE120" s="474">
        <v>0</v>
      </c>
      <c r="CF120" s="469" t="s">
        <v>65</v>
      </c>
      <c r="CG120" s="509"/>
    </row>
    <row r="121" spans="2:85" s="40" customFormat="1" ht="30.75" customHeight="1" x14ac:dyDescent="0.2">
      <c r="B121" s="449" t="s">
        <v>184</v>
      </c>
      <c r="C121" s="450" t="s">
        <v>567</v>
      </c>
      <c r="D121" s="451" t="s">
        <v>266</v>
      </c>
      <c r="E121" s="450" t="s">
        <v>189</v>
      </c>
      <c r="F121" s="451">
        <v>97.724566999999993</v>
      </c>
      <c r="G121" s="451">
        <v>24.205417000000001</v>
      </c>
      <c r="H121" s="451" t="s">
        <v>449</v>
      </c>
      <c r="I121" s="451" t="s">
        <v>214</v>
      </c>
      <c r="J121" s="455">
        <v>69</v>
      </c>
      <c r="K121" s="455">
        <v>369</v>
      </c>
      <c r="L121" s="455">
        <v>107</v>
      </c>
      <c r="M121" s="362" t="str">
        <f t="shared" si="109"/>
        <v>2. Medium</v>
      </c>
      <c r="N121" s="701" t="s">
        <v>254</v>
      </c>
      <c r="O121" s="453" t="s">
        <v>231</v>
      </c>
      <c r="P121" s="461" t="s">
        <v>234</v>
      </c>
      <c r="Q121" s="382" t="str">
        <f t="shared" si="71"/>
        <v>Covered</v>
      </c>
      <c r="R121" s="462">
        <v>42247</v>
      </c>
      <c r="S121" s="453" t="s">
        <v>253</v>
      </c>
      <c r="T121" s="380" t="str">
        <f t="shared" si="72"/>
        <v>Documented</v>
      </c>
      <c r="U121" s="468">
        <v>0</v>
      </c>
      <c r="V121" s="452">
        <v>0</v>
      </c>
      <c r="W121" s="469" t="s">
        <v>19</v>
      </c>
      <c r="X121" s="468">
        <v>0</v>
      </c>
      <c r="Y121" s="474">
        <v>1</v>
      </c>
      <c r="Z121" s="475">
        <v>25200</v>
      </c>
      <c r="AA121" s="481">
        <v>0</v>
      </c>
      <c r="AB121" s="482">
        <v>0.12466124661246612</v>
      </c>
      <c r="AC121" s="385">
        <f t="shared" si="114"/>
        <v>1</v>
      </c>
      <c r="AD121" s="364">
        <f t="shared" si="115"/>
        <v>107</v>
      </c>
      <c r="AE121" s="365">
        <f t="shared" si="116"/>
        <v>1</v>
      </c>
      <c r="AF121" s="366">
        <f t="shared" si="117"/>
        <v>107</v>
      </c>
      <c r="AG121" s="363">
        <f t="shared" si="110"/>
        <v>1</v>
      </c>
      <c r="AH121" s="366">
        <f t="shared" si="118"/>
        <v>107</v>
      </c>
      <c r="AI121" s="367" t="str">
        <f t="shared" si="111"/>
        <v>80-100%</v>
      </c>
      <c r="AJ121" s="363">
        <f t="shared" si="112"/>
        <v>0</v>
      </c>
      <c r="AK121" s="368">
        <f t="shared" si="119"/>
        <v>0</v>
      </c>
      <c r="AL121" s="366">
        <f t="shared" si="120"/>
        <v>0</v>
      </c>
      <c r="AM121" s="366">
        <f t="shared" si="121"/>
        <v>8.6016260162601625</v>
      </c>
      <c r="AN121" s="366">
        <f t="shared" si="122"/>
        <v>0</v>
      </c>
      <c r="AO121" s="485">
        <v>1</v>
      </c>
      <c r="AP121" s="486">
        <f t="shared" si="123"/>
        <v>107</v>
      </c>
      <c r="AQ121" s="475" t="s">
        <v>870</v>
      </c>
      <c r="AR121" s="732">
        <v>8</v>
      </c>
      <c r="AS121" s="455">
        <v>8</v>
      </c>
      <c r="AT121" s="455">
        <v>12</v>
      </c>
      <c r="AU121" s="452" t="s">
        <v>291</v>
      </c>
      <c r="AV121" s="369">
        <f t="shared" si="124"/>
        <v>1</v>
      </c>
      <c r="AW121" s="366">
        <f t="shared" si="125"/>
        <v>107</v>
      </c>
      <c r="AX121" s="369">
        <f t="shared" si="113"/>
        <v>0</v>
      </c>
      <c r="AY121" s="366">
        <f t="shared" si="126"/>
        <v>0</v>
      </c>
      <c r="AZ121" s="369">
        <f t="shared" si="127"/>
        <v>1</v>
      </c>
      <c r="BA121" s="366">
        <f t="shared" si="128"/>
        <v>107</v>
      </c>
      <c r="BB121" s="474">
        <v>0</v>
      </c>
      <c r="BC121" s="490">
        <v>1</v>
      </c>
      <c r="BD121" s="370">
        <f t="shared" si="129"/>
        <v>107</v>
      </c>
      <c r="BE121" s="371">
        <f t="shared" si="130"/>
        <v>0</v>
      </c>
      <c r="BF121" s="452">
        <v>2</v>
      </c>
      <c r="BG121" s="452" t="s">
        <v>89</v>
      </c>
      <c r="BH121" s="369">
        <f t="shared" si="131"/>
        <v>1</v>
      </c>
      <c r="BI121" s="366">
        <f t="shared" si="132"/>
        <v>107</v>
      </c>
      <c r="BJ121" s="371">
        <f t="shared" si="133"/>
        <v>1.69</v>
      </c>
      <c r="BK121" s="490">
        <v>1</v>
      </c>
      <c r="BL121" s="366">
        <f t="shared" si="134"/>
        <v>107</v>
      </c>
      <c r="BM121" s="452">
        <v>5</v>
      </c>
      <c r="BN121" s="369">
        <f t="shared" si="135"/>
        <v>1</v>
      </c>
      <c r="BO121" s="371">
        <f t="shared" si="136"/>
        <v>0</v>
      </c>
      <c r="BP121" s="478">
        <v>1</v>
      </c>
      <c r="BQ121" s="500"/>
      <c r="BR121" s="502">
        <v>41794</v>
      </c>
      <c r="BS121" s="372" t="str">
        <f t="shared" si="107"/>
        <v>To be realised</v>
      </c>
      <c r="BT121" s="452">
        <v>55</v>
      </c>
      <c r="BU121" s="452">
        <v>6</v>
      </c>
      <c r="BV121" s="373">
        <f t="shared" si="137"/>
        <v>69</v>
      </c>
      <c r="BW121" s="374">
        <f t="shared" si="138"/>
        <v>0</v>
      </c>
      <c r="BX121" s="366">
        <f t="shared" si="139"/>
        <v>0</v>
      </c>
      <c r="BY121" s="387">
        <f t="shared" si="108"/>
        <v>7</v>
      </c>
      <c r="BZ121" s="468"/>
      <c r="CA121" s="478">
        <v>0.91221374045801529</v>
      </c>
      <c r="CB121" s="389">
        <f t="shared" si="140"/>
        <v>97.60687022900764</v>
      </c>
      <c r="CC121" s="468">
        <v>3</v>
      </c>
      <c r="CD121" s="375" t="str">
        <f t="shared" si="141"/>
        <v>Excellent coverage</v>
      </c>
      <c r="CE121" s="474">
        <v>0</v>
      </c>
      <c r="CF121" s="469" t="s">
        <v>65</v>
      </c>
      <c r="CG121" s="509"/>
    </row>
    <row r="122" spans="2:85" s="40" customFormat="1" ht="30.75" customHeight="1" x14ac:dyDescent="0.2">
      <c r="B122" s="449" t="s">
        <v>184</v>
      </c>
      <c r="C122" s="450" t="s">
        <v>568</v>
      </c>
      <c r="D122" s="451" t="s">
        <v>266</v>
      </c>
      <c r="E122" s="450" t="s">
        <v>637</v>
      </c>
      <c r="F122" s="451">
        <v>97.717133000000004</v>
      </c>
      <c r="G122" s="451">
        <v>24.200433</v>
      </c>
      <c r="H122" s="451" t="s">
        <v>449</v>
      </c>
      <c r="I122" s="451" t="s">
        <v>214</v>
      </c>
      <c r="J122" s="455">
        <v>74</v>
      </c>
      <c r="K122" s="455">
        <v>412</v>
      </c>
      <c r="L122" s="455">
        <v>412</v>
      </c>
      <c r="M122" s="362" t="str">
        <f t="shared" si="109"/>
        <v>2. Medium</v>
      </c>
      <c r="N122" s="701" t="s">
        <v>254</v>
      </c>
      <c r="O122" s="453" t="s">
        <v>235</v>
      </c>
      <c r="P122" s="461" t="s">
        <v>234</v>
      </c>
      <c r="Q122" s="382" t="str">
        <f t="shared" si="71"/>
        <v>Covered</v>
      </c>
      <c r="R122" s="462">
        <v>42247</v>
      </c>
      <c r="S122" s="453" t="s">
        <v>253</v>
      </c>
      <c r="T122" s="380" t="str">
        <f t="shared" si="72"/>
        <v>Documented</v>
      </c>
      <c r="U122" s="468">
        <v>0</v>
      </c>
      <c r="V122" s="452">
        <v>0</v>
      </c>
      <c r="W122" s="469" t="s">
        <v>19</v>
      </c>
      <c r="X122" s="468">
        <v>0</v>
      </c>
      <c r="Y122" s="474">
        <v>1</v>
      </c>
      <c r="Z122" s="475">
        <v>8400</v>
      </c>
      <c r="AA122" s="481">
        <v>0</v>
      </c>
      <c r="AB122" s="482">
        <v>0.16990291262135923</v>
      </c>
      <c r="AC122" s="385">
        <f t="shared" si="114"/>
        <v>1</v>
      </c>
      <c r="AD122" s="364">
        <f t="shared" si="115"/>
        <v>412</v>
      </c>
      <c r="AE122" s="365">
        <f t="shared" si="116"/>
        <v>1</v>
      </c>
      <c r="AF122" s="366">
        <f t="shared" si="117"/>
        <v>412</v>
      </c>
      <c r="AG122" s="363">
        <f t="shared" si="110"/>
        <v>1</v>
      </c>
      <c r="AH122" s="366">
        <f t="shared" si="118"/>
        <v>412</v>
      </c>
      <c r="AI122" s="367" t="str">
        <f t="shared" si="111"/>
        <v>80-100%</v>
      </c>
      <c r="AJ122" s="363">
        <f t="shared" si="112"/>
        <v>0</v>
      </c>
      <c r="AK122" s="368">
        <f t="shared" si="119"/>
        <v>0</v>
      </c>
      <c r="AL122" s="366">
        <f t="shared" si="120"/>
        <v>3.0000000000000027E-2</v>
      </c>
      <c r="AM122" s="366">
        <f t="shared" si="121"/>
        <v>12.572815533980583</v>
      </c>
      <c r="AN122" s="366">
        <f t="shared" si="122"/>
        <v>0</v>
      </c>
      <c r="AO122" s="485">
        <v>1</v>
      </c>
      <c r="AP122" s="486">
        <f t="shared" si="123"/>
        <v>412</v>
      </c>
      <c r="AQ122" s="475" t="s">
        <v>870</v>
      </c>
      <c r="AR122" s="732">
        <v>0</v>
      </c>
      <c r="AS122" s="455">
        <v>0</v>
      </c>
      <c r="AT122" s="455">
        <v>12</v>
      </c>
      <c r="AU122" s="452" t="s">
        <v>291</v>
      </c>
      <c r="AV122" s="369">
        <f t="shared" si="124"/>
        <v>0.58252427184466016</v>
      </c>
      <c r="AW122" s="366">
        <f t="shared" si="125"/>
        <v>239.99999999999997</v>
      </c>
      <c r="AX122" s="369">
        <f t="shared" si="113"/>
        <v>0</v>
      </c>
      <c r="AY122" s="366">
        <f t="shared" si="126"/>
        <v>0</v>
      </c>
      <c r="AZ122" s="369">
        <f t="shared" si="127"/>
        <v>0.58252427184466016</v>
      </c>
      <c r="BA122" s="366">
        <f t="shared" si="128"/>
        <v>239.99999999999997</v>
      </c>
      <c r="BB122" s="474">
        <v>0</v>
      </c>
      <c r="BC122" s="490">
        <v>0.57999999999999996</v>
      </c>
      <c r="BD122" s="370">
        <f t="shared" si="129"/>
        <v>238.95999999999998</v>
      </c>
      <c r="BE122" s="371">
        <f t="shared" si="130"/>
        <v>8.6000000000000014</v>
      </c>
      <c r="BF122" s="452">
        <v>1</v>
      </c>
      <c r="BG122" s="452" t="s">
        <v>89</v>
      </c>
      <c r="BH122" s="369">
        <f t="shared" si="131"/>
        <v>0.24271844660194175</v>
      </c>
      <c r="BI122" s="366">
        <f t="shared" si="132"/>
        <v>100</v>
      </c>
      <c r="BJ122" s="371">
        <f t="shared" si="133"/>
        <v>3.12</v>
      </c>
      <c r="BK122" s="490">
        <v>0.24</v>
      </c>
      <c r="BL122" s="366">
        <f t="shared" si="134"/>
        <v>98.88</v>
      </c>
      <c r="BM122" s="452">
        <v>4</v>
      </c>
      <c r="BN122" s="369">
        <f t="shared" si="135"/>
        <v>0.970873786407767</v>
      </c>
      <c r="BO122" s="371">
        <f t="shared" si="136"/>
        <v>0.12000000000000011</v>
      </c>
      <c r="BP122" s="478">
        <v>0.97</v>
      </c>
      <c r="BQ122" s="500"/>
      <c r="BR122" s="502">
        <v>41796</v>
      </c>
      <c r="BS122" s="372" t="str">
        <f t="shared" si="107"/>
        <v>To be realised</v>
      </c>
      <c r="BT122" s="452">
        <v>113</v>
      </c>
      <c r="BU122" s="452">
        <v>6</v>
      </c>
      <c r="BV122" s="373">
        <f t="shared" si="137"/>
        <v>74</v>
      </c>
      <c r="BW122" s="374">
        <f t="shared" si="138"/>
        <v>0</v>
      </c>
      <c r="BX122" s="366">
        <f t="shared" si="139"/>
        <v>0</v>
      </c>
      <c r="BY122" s="387">
        <f t="shared" si="108"/>
        <v>7</v>
      </c>
      <c r="BZ122" s="468"/>
      <c r="CA122" s="478">
        <v>1</v>
      </c>
      <c r="CB122" s="389">
        <f t="shared" si="140"/>
        <v>412</v>
      </c>
      <c r="CC122" s="468">
        <v>4</v>
      </c>
      <c r="CD122" s="375" t="str">
        <f t="shared" si="141"/>
        <v>Excellent coverage</v>
      </c>
      <c r="CE122" s="474">
        <v>0</v>
      </c>
      <c r="CF122" s="469" t="s">
        <v>65</v>
      </c>
      <c r="CG122" s="509"/>
    </row>
    <row r="123" spans="2:85" s="40" customFormat="1" ht="30.75" customHeight="1" x14ac:dyDescent="0.2">
      <c r="B123" s="449" t="s">
        <v>184</v>
      </c>
      <c r="C123" s="450" t="s">
        <v>568</v>
      </c>
      <c r="D123" s="451" t="s">
        <v>266</v>
      </c>
      <c r="E123" s="450" t="s">
        <v>638</v>
      </c>
      <c r="F123" s="451">
        <v>97.715400000000002</v>
      </c>
      <c r="G123" s="451">
        <v>24.20083</v>
      </c>
      <c r="H123" s="451" t="s">
        <v>449</v>
      </c>
      <c r="I123" s="451" t="s">
        <v>214</v>
      </c>
      <c r="J123" s="455">
        <v>40</v>
      </c>
      <c r="K123" s="455">
        <v>220</v>
      </c>
      <c r="L123" s="455">
        <v>220</v>
      </c>
      <c r="M123" s="362" t="str">
        <f t="shared" si="109"/>
        <v>1. Small</v>
      </c>
      <c r="N123" s="701" t="s">
        <v>254</v>
      </c>
      <c r="O123" s="453" t="s">
        <v>235</v>
      </c>
      <c r="P123" s="461" t="s">
        <v>234</v>
      </c>
      <c r="Q123" s="382" t="str">
        <f t="shared" si="71"/>
        <v>Covered</v>
      </c>
      <c r="R123" s="462">
        <v>42247</v>
      </c>
      <c r="S123" s="453" t="s">
        <v>253</v>
      </c>
      <c r="T123" s="380" t="str">
        <f t="shared" si="72"/>
        <v>Documented</v>
      </c>
      <c r="U123" s="468">
        <v>0</v>
      </c>
      <c r="V123" s="452">
        <v>0</v>
      </c>
      <c r="W123" s="469" t="s">
        <v>19</v>
      </c>
      <c r="X123" s="468">
        <v>0</v>
      </c>
      <c r="Y123" s="474">
        <v>1</v>
      </c>
      <c r="Z123" s="475">
        <v>4000</v>
      </c>
      <c r="AA123" s="481">
        <v>0</v>
      </c>
      <c r="AB123" s="482">
        <v>0.15454545454545454</v>
      </c>
      <c r="AC123" s="385">
        <f t="shared" si="114"/>
        <v>1</v>
      </c>
      <c r="AD123" s="364">
        <f t="shared" si="115"/>
        <v>220</v>
      </c>
      <c r="AE123" s="365">
        <f t="shared" si="116"/>
        <v>1</v>
      </c>
      <c r="AF123" s="366">
        <f t="shared" si="117"/>
        <v>220</v>
      </c>
      <c r="AG123" s="363">
        <f t="shared" si="110"/>
        <v>1</v>
      </c>
      <c r="AH123" s="366">
        <f t="shared" si="118"/>
        <v>220</v>
      </c>
      <c r="AI123" s="367" t="str">
        <f t="shared" si="111"/>
        <v>80-100%</v>
      </c>
      <c r="AJ123" s="363">
        <f t="shared" si="112"/>
        <v>0</v>
      </c>
      <c r="AK123" s="368">
        <f t="shared" si="119"/>
        <v>0</v>
      </c>
      <c r="AL123" s="366">
        <f t="shared" si="120"/>
        <v>0</v>
      </c>
      <c r="AM123" s="366">
        <f t="shared" si="121"/>
        <v>6.1818181818181817</v>
      </c>
      <c r="AN123" s="366">
        <f t="shared" si="122"/>
        <v>0</v>
      </c>
      <c r="AO123" s="485">
        <v>1</v>
      </c>
      <c r="AP123" s="486">
        <f t="shared" si="123"/>
        <v>220</v>
      </c>
      <c r="AQ123" s="475"/>
      <c r="AR123" s="732">
        <v>34</v>
      </c>
      <c r="AS123" s="455">
        <v>2</v>
      </c>
      <c r="AT123" s="455">
        <v>8</v>
      </c>
      <c r="AU123" s="452" t="s">
        <v>290</v>
      </c>
      <c r="AV123" s="369">
        <f t="shared" si="124"/>
        <v>0.90909090909090906</v>
      </c>
      <c r="AW123" s="366">
        <f t="shared" si="125"/>
        <v>200</v>
      </c>
      <c r="AX123" s="369">
        <f t="shared" si="113"/>
        <v>0.18181818181818177</v>
      </c>
      <c r="AY123" s="366">
        <f t="shared" si="126"/>
        <v>39.999999999999986</v>
      </c>
      <c r="AZ123" s="369">
        <f t="shared" si="127"/>
        <v>0.72727272727272729</v>
      </c>
      <c r="BA123" s="366">
        <f t="shared" si="128"/>
        <v>160</v>
      </c>
      <c r="BB123" s="474">
        <v>0</v>
      </c>
      <c r="BC123" s="490">
        <v>0.91</v>
      </c>
      <c r="BD123" s="370">
        <f t="shared" si="129"/>
        <v>200.20000000000002</v>
      </c>
      <c r="BE123" s="371">
        <f t="shared" si="130"/>
        <v>3</v>
      </c>
      <c r="BF123" s="452">
        <v>1</v>
      </c>
      <c r="BG123" s="452" t="s">
        <v>89</v>
      </c>
      <c r="BH123" s="369">
        <f t="shared" si="131"/>
        <v>0.45454545454545453</v>
      </c>
      <c r="BI123" s="366">
        <f t="shared" si="132"/>
        <v>100</v>
      </c>
      <c r="BJ123" s="371">
        <f t="shared" si="133"/>
        <v>1.2000000000000002</v>
      </c>
      <c r="BK123" s="490">
        <v>0.45</v>
      </c>
      <c r="BL123" s="366">
        <f t="shared" si="134"/>
        <v>99</v>
      </c>
      <c r="BM123" s="452">
        <v>4</v>
      </c>
      <c r="BN123" s="369">
        <f t="shared" si="135"/>
        <v>1</v>
      </c>
      <c r="BO123" s="371">
        <f t="shared" si="136"/>
        <v>0</v>
      </c>
      <c r="BP123" s="478">
        <v>1</v>
      </c>
      <c r="BQ123" s="500"/>
      <c r="BR123" s="502">
        <v>41796</v>
      </c>
      <c r="BS123" s="372" t="str">
        <f t="shared" si="107"/>
        <v>To be realised</v>
      </c>
      <c r="BT123" s="452">
        <v>35</v>
      </c>
      <c r="BU123" s="452">
        <v>6</v>
      </c>
      <c r="BV123" s="373">
        <f t="shared" si="137"/>
        <v>40</v>
      </c>
      <c r="BW123" s="374">
        <f t="shared" si="138"/>
        <v>0</v>
      </c>
      <c r="BX123" s="366">
        <f t="shared" si="139"/>
        <v>0</v>
      </c>
      <c r="BY123" s="387">
        <f t="shared" si="108"/>
        <v>7</v>
      </c>
      <c r="BZ123" s="468"/>
      <c r="CA123" s="478">
        <v>1</v>
      </c>
      <c r="CB123" s="389">
        <f t="shared" si="140"/>
        <v>220</v>
      </c>
      <c r="CC123" s="468">
        <v>1</v>
      </c>
      <c r="CD123" s="375" t="str">
        <f t="shared" si="141"/>
        <v>Excellent coverage</v>
      </c>
      <c r="CE123" s="474">
        <v>0</v>
      </c>
      <c r="CF123" s="469" t="s">
        <v>65</v>
      </c>
      <c r="CG123" s="509"/>
    </row>
    <row r="124" spans="2:85" s="40" customFormat="1" ht="30.75" customHeight="1" x14ac:dyDescent="0.2">
      <c r="B124" s="449" t="s">
        <v>184</v>
      </c>
      <c r="C124" s="450" t="s">
        <v>568</v>
      </c>
      <c r="D124" s="451" t="s">
        <v>266</v>
      </c>
      <c r="E124" s="450" t="s">
        <v>639</v>
      </c>
      <c r="F124" s="451">
        <v>97.716260000000005</v>
      </c>
      <c r="G124" s="451">
        <v>24.20411</v>
      </c>
      <c r="H124" s="451" t="s">
        <v>449</v>
      </c>
      <c r="I124" s="451" t="s">
        <v>214</v>
      </c>
      <c r="J124" s="455">
        <v>21</v>
      </c>
      <c r="K124" s="455">
        <v>115</v>
      </c>
      <c r="L124" s="455">
        <v>115</v>
      </c>
      <c r="M124" s="362" t="str">
        <f t="shared" si="109"/>
        <v>1. Small</v>
      </c>
      <c r="N124" s="701" t="s">
        <v>254</v>
      </c>
      <c r="O124" s="453" t="s">
        <v>235</v>
      </c>
      <c r="P124" s="461" t="s">
        <v>234</v>
      </c>
      <c r="Q124" s="382" t="str">
        <f t="shared" si="71"/>
        <v>Covered</v>
      </c>
      <c r="R124" s="462">
        <v>42247</v>
      </c>
      <c r="S124" s="453" t="s">
        <v>253</v>
      </c>
      <c r="T124" s="380" t="str">
        <f t="shared" si="72"/>
        <v>Documented</v>
      </c>
      <c r="U124" s="468">
        <v>0</v>
      </c>
      <c r="V124" s="452">
        <v>0</v>
      </c>
      <c r="W124" s="469" t="s">
        <v>19</v>
      </c>
      <c r="X124" s="468">
        <v>0</v>
      </c>
      <c r="Y124" s="474">
        <v>1</v>
      </c>
      <c r="Z124" s="475">
        <v>1500</v>
      </c>
      <c r="AA124" s="481">
        <v>0</v>
      </c>
      <c r="AB124" s="482">
        <v>0.18260869565217391</v>
      </c>
      <c r="AC124" s="385">
        <f t="shared" si="114"/>
        <v>1</v>
      </c>
      <c r="AD124" s="364">
        <f t="shared" si="115"/>
        <v>115</v>
      </c>
      <c r="AE124" s="365">
        <f t="shared" si="116"/>
        <v>1</v>
      </c>
      <c r="AF124" s="366">
        <f t="shared" si="117"/>
        <v>115</v>
      </c>
      <c r="AG124" s="363">
        <f t="shared" si="110"/>
        <v>1</v>
      </c>
      <c r="AH124" s="366">
        <f t="shared" si="118"/>
        <v>115</v>
      </c>
      <c r="AI124" s="367" t="str">
        <f t="shared" si="111"/>
        <v>80-100%</v>
      </c>
      <c r="AJ124" s="363">
        <f t="shared" si="112"/>
        <v>0</v>
      </c>
      <c r="AK124" s="368">
        <f t="shared" si="119"/>
        <v>0</v>
      </c>
      <c r="AL124" s="366">
        <f t="shared" si="120"/>
        <v>0</v>
      </c>
      <c r="AM124" s="366">
        <f t="shared" si="121"/>
        <v>3.8347826086956522</v>
      </c>
      <c r="AN124" s="366">
        <f t="shared" si="122"/>
        <v>0</v>
      </c>
      <c r="AO124" s="485">
        <v>1</v>
      </c>
      <c r="AP124" s="486">
        <f t="shared" si="123"/>
        <v>115</v>
      </c>
      <c r="AQ124" s="475"/>
      <c r="AR124" s="732">
        <v>30</v>
      </c>
      <c r="AS124" s="455">
        <v>2</v>
      </c>
      <c r="AT124" s="455">
        <v>4</v>
      </c>
      <c r="AU124" s="452" t="s">
        <v>89</v>
      </c>
      <c r="AV124" s="369">
        <f t="shared" si="124"/>
        <v>1</v>
      </c>
      <c r="AW124" s="366">
        <f t="shared" si="125"/>
        <v>115</v>
      </c>
      <c r="AX124" s="369">
        <f t="shared" si="113"/>
        <v>0.30434782608695654</v>
      </c>
      <c r="AY124" s="366">
        <f t="shared" si="126"/>
        <v>35</v>
      </c>
      <c r="AZ124" s="369">
        <f t="shared" si="127"/>
        <v>0.69565217391304346</v>
      </c>
      <c r="BA124" s="366">
        <f t="shared" si="128"/>
        <v>80</v>
      </c>
      <c r="BB124" s="474">
        <v>0</v>
      </c>
      <c r="BC124" s="490">
        <v>1</v>
      </c>
      <c r="BD124" s="370">
        <f t="shared" si="129"/>
        <v>115</v>
      </c>
      <c r="BE124" s="371">
        <f t="shared" si="130"/>
        <v>1.75</v>
      </c>
      <c r="BF124" s="452">
        <v>1</v>
      </c>
      <c r="BG124" s="452" t="s">
        <v>89</v>
      </c>
      <c r="BH124" s="369">
        <f t="shared" si="131"/>
        <v>0.86956521739130432</v>
      </c>
      <c r="BI124" s="366">
        <f t="shared" si="132"/>
        <v>100</v>
      </c>
      <c r="BJ124" s="371">
        <f t="shared" si="133"/>
        <v>0.14999999999999991</v>
      </c>
      <c r="BK124" s="490">
        <v>0.87</v>
      </c>
      <c r="BL124" s="366">
        <f t="shared" si="134"/>
        <v>100.05</v>
      </c>
      <c r="BM124" s="452">
        <v>1</v>
      </c>
      <c r="BN124" s="369">
        <f t="shared" si="135"/>
        <v>0.86956521739130432</v>
      </c>
      <c r="BO124" s="371">
        <f t="shared" si="136"/>
        <v>0.14999999999999991</v>
      </c>
      <c r="BP124" s="478">
        <v>0.87</v>
      </c>
      <c r="BQ124" s="500"/>
      <c r="BR124" s="502">
        <v>41796</v>
      </c>
      <c r="BS124" s="372" t="str">
        <f t="shared" si="107"/>
        <v>To be realised</v>
      </c>
      <c r="BT124" s="452">
        <v>22</v>
      </c>
      <c r="BU124" s="452">
        <v>6</v>
      </c>
      <c r="BV124" s="373">
        <f t="shared" si="137"/>
        <v>21</v>
      </c>
      <c r="BW124" s="374">
        <f t="shared" si="138"/>
        <v>0</v>
      </c>
      <c r="BX124" s="366">
        <f t="shared" si="139"/>
        <v>0</v>
      </c>
      <c r="BY124" s="387">
        <f t="shared" si="108"/>
        <v>7</v>
      </c>
      <c r="BZ124" s="468"/>
      <c r="CA124" s="478">
        <v>1</v>
      </c>
      <c r="CB124" s="389">
        <f t="shared" si="140"/>
        <v>115</v>
      </c>
      <c r="CC124" s="468">
        <v>1</v>
      </c>
      <c r="CD124" s="375" t="str">
        <f t="shared" si="141"/>
        <v>Excellent coverage</v>
      </c>
      <c r="CE124" s="474">
        <v>0</v>
      </c>
      <c r="CF124" s="469" t="s">
        <v>65</v>
      </c>
      <c r="CG124" s="509"/>
    </row>
    <row r="125" spans="2:85" s="40" customFormat="1" ht="30.75" customHeight="1" x14ac:dyDescent="0.25">
      <c r="B125" s="449" t="s">
        <v>184</v>
      </c>
      <c r="C125" s="450" t="s">
        <v>568</v>
      </c>
      <c r="D125" s="451" t="s">
        <v>266</v>
      </c>
      <c r="E125" s="450" t="s">
        <v>753</v>
      </c>
      <c r="F125" s="451">
        <v>97.714839999999995</v>
      </c>
      <c r="G125" s="451">
        <v>24.20757</v>
      </c>
      <c r="H125" s="451" t="s">
        <v>449</v>
      </c>
      <c r="I125" s="451" t="s">
        <v>214</v>
      </c>
      <c r="J125" s="455">
        <v>52</v>
      </c>
      <c r="K125" s="455">
        <v>248</v>
      </c>
      <c r="L125" s="455">
        <v>248</v>
      </c>
      <c r="M125" s="362" t="str">
        <f t="shared" si="109"/>
        <v>2. Medium</v>
      </c>
      <c r="N125" s="701" t="s">
        <v>254</v>
      </c>
      <c r="O125" s="456" t="s">
        <v>235</v>
      </c>
      <c r="P125" s="463" t="s">
        <v>234</v>
      </c>
      <c r="Q125" s="382" t="str">
        <f t="shared" si="71"/>
        <v>Covered</v>
      </c>
      <c r="R125" s="464">
        <v>42247</v>
      </c>
      <c r="S125" s="465" t="s">
        <v>253</v>
      </c>
      <c r="T125" s="380" t="str">
        <f t="shared" si="72"/>
        <v>Documented</v>
      </c>
      <c r="U125" s="468">
        <v>0</v>
      </c>
      <c r="V125" s="452">
        <v>0</v>
      </c>
      <c r="W125" s="471" t="s">
        <v>19</v>
      </c>
      <c r="X125" s="470">
        <v>0</v>
      </c>
      <c r="Y125" s="455">
        <v>1</v>
      </c>
      <c r="Z125" s="471">
        <v>4000</v>
      </c>
      <c r="AA125" s="479">
        <v>0</v>
      </c>
      <c r="AB125" s="480">
        <v>0.16532258064516128</v>
      </c>
      <c r="AC125" s="385">
        <f t="shared" si="114"/>
        <v>1</v>
      </c>
      <c r="AD125" s="364">
        <f t="shared" si="115"/>
        <v>248</v>
      </c>
      <c r="AE125" s="365">
        <f t="shared" si="116"/>
        <v>1</v>
      </c>
      <c r="AF125" s="366">
        <f t="shared" si="117"/>
        <v>248</v>
      </c>
      <c r="AG125" s="363">
        <f t="shared" si="110"/>
        <v>1</v>
      </c>
      <c r="AH125" s="366">
        <f t="shared" si="118"/>
        <v>248</v>
      </c>
      <c r="AI125" s="367" t="str">
        <f t="shared" si="111"/>
        <v>80-100%</v>
      </c>
      <c r="AJ125" s="363">
        <f t="shared" si="112"/>
        <v>0</v>
      </c>
      <c r="AK125" s="368">
        <f t="shared" si="119"/>
        <v>0</v>
      </c>
      <c r="AL125" s="366">
        <f t="shared" si="120"/>
        <v>0</v>
      </c>
      <c r="AM125" s="366">
        <f t="shared" si="121"/>
        <v>8.5967741935483861</v>
      </c>
      <c r="AN125" s="366">
        <f t="shared" si="122"/>
        <v>0</v>
      </c>
      <c r="AO125" s="488">
        <v>1</v>
      </c>
      <c r="AP125" s="486">
        <f t="shared" si="123"/>
        <v>248</v>
      </c>
      <c r="AQ125" s="475"/>
      <c r="AR125" s="733">
        <v>2</v>
      </c>
      <c r="AS125" s="455">
        <v>0</v>
      </c>
      <c r="AT125" s="455">
        <v>10</v>
      </c>
      <c r="AU125" s="452" t="s">
        <v>89</v>
      </c>
      <c r="AV125" s="369">
        <f t="shared" si="124"/>
        <v>0.80645161290322576</v>
      </c>
      <c r="AW125" s="366">
        <f t="shared" si="125"/>
        <v>200</v>
      </c>
      <c r="AX125" s="369">
        <f t="shared" si="113"/>
        <v>0</v>
      </c>
      <c r="AY125" s="366">
        <f t="shared" si="126"/>
        <v>0</v>
      </c>
      <c r="AZ125" s="369">
        <f t="shared" si="127"/>
        <v>0.80645161290322576</v>
      </c>
      <c r="BA125" s="366">
        <f t="shared" si="128"/>
        <v>200</v>
      </c>
      <c r="BB125" s="493"/>
      <c r="BC125" s="488">
        <v>0.81</v>
      </c>
      <c r="BD125" s="370">
        <f t="shared" si="129"/>
        <v>200.88000000000002</v>
      </c>
      <c r="BE125" s="371">
        <f t="shared" si="130"/>
        <v>2.4000000000000004</v>
      </c>
      <c r="BF125" s="455">
        <v>2</v>
      </c>
      <c r="BG125" s="455" t="s">
        <v>89</v>
      </c>
      <c r="BH125" s="369">
        <f t="shared" si="131"/>
        <v>0.80645161290322576</v>
      </c>
      <c r="BI125" s="366">
        <f t="shared" si="132"/>
        <v>200</v>
      </c>
      <c r="BJ125" s="371">
        <f t="shared" si="133"/>
        <v>0.48</v>
      </c>
      <c r="BK125" s="494">
        <v>0.81</v>
      </c>
      <c r="BL125" s="366">
        <f t="shared" si="134"/>
        <v>200.88000000000002</v>
      </c>
      <c r="BM125" s="455">
        <v>2</v>
      </c>
      <c r="BN125" s="369">
        <f t="shared" si="135"/>
        <v>0.80645161290322576</v>
      </c>
      <c r="BO125" s="371">
        <f t="shared" si="136"/>
        <v>0.48</v>
      </c>
      <c r="BP125" s="495">
        <v>0.84</v>
      </c>
      <c r="BQ125" s="501"/>
      <c r="BR125" s="503">
        <v>41796</v>
      </c>
      <c r="BS125" s="372" t="str">
        <f t="shared" si="107"/>
        <v>To be realised</v>
      </c>
      <c r="BT125" s="493">
        <v>47</v>
      </c>
      <c r="BU125" s="493">
        <v>6</v>
      </c>
      <c r="BV125" s="373">
        <f t="shared" si="137"/>
        <v>52</v>
      </c>
      <c r="BW125" s="374">
        <f t="shared" si="138"/>
        <v>0</v>
      </c>
      <c r="BX125" s="366">
        <f t="shared" si="139"/>
        <v>0</v>
      </c>
      <c r="BY125" s="387">
        <f t="shared" si="108"/>
        <v>7</v>
      </c>
      <c r="BZ125" s="504"/>
      <c r="CA125" s="480">
        <v>1</v>
      </c>
      <c r="CB125" s="389">
        <f t="shared" si="140"/>
        <v>248</v>
      </c>
      <c r="CC125" s="505">
        <v>1</v>
      </c>
      <c r="CD125" s="375" t="str">
        <f t="shared" si="141"/>
        <v>Excellent coverage</v>
      </c>
      <c r="CE125" s="474">
        <v>0</v>
      </c>
      <c r="CF125" s="469" t="s">
        <v>65</v>
      </c>
      <c r="CG125" s="511"/>
    </row>
    <row r="126" spans="2:85" s="40" customFormat="1" ht="30.75" customHeight="1" x14ac:dyDescent="0.2">
      <c r="B126" s="449" t="s">
        <v>184</v>
      </c>
      <c r="C126" s="450" t="s">
        <v>697</v>
      </c>
      <c r="D126" s="451" t="s">
        <v>266</v>
      </c>
      <c r="E126" s="450" t="s">
        <v>316</v>
      </c>
      <c r="F126" s="451">
        <v>97.724483000000006</v>
      </c>
      <c r="G126" s="451">
        <v>24.205417000000001</v>
      </c>
      <c r="H126" s="451" t="s">
        <v>449</v>
      </c>
      <c r="I126" s="451" t="s">
        <v>214</v>
      </c>
      <c r="J126" s="455">
        <v>50</v>
      </c>
      <c r="K126" s="455">
        <v>295</v>
      </c>
      <c r="L126" s="452">
        <v>295</v>
      </c>
      <c r="M126" s="362" t="str">
        <f t="shared" si="109"/>
        <v>1. Small</v>
      </c>
      <c r="N126" s="701" t="s">
        <v>254</v>
      </c>
      <c r="O126" s="453" t="s">
        <v>235</v>
      </c>
      <c r="P126" s="461" t="s">
        <v>234</v>
      </c>
      <c r="Q126" s="382" t="str">
        <f t="shared" si="71"/>
        <v>Covered</v>
      </c>
      <c r="R126" s="462">
        <v>42247</v>
      </c>
      <c r="S126" s="453" t="s">
        <v>253</v>
      </c>
      <c r="T126" s="380" t="str">
        <f t="shared" si="72"/>
        <v>Documented</v>
      </c>
      <c r="U126" s="468">
        <v>0</v>
      </c>
      <c r="V126" s="452">
        <v>0</v>
      </c>
      <c r="W126" s="469" t="s">
        <v>19</v>
      </c>
      <c r="X126" s="468">
        <v>1</v>
      </c>
      <c r="Y126" s="474">
        <v>1</v>
      </c>
      <c r="Z126" s="475">
        <v>3000</v>
      </c>
      <c r="AA126" s="481">
        <v>0</v>
      </c>
      <c r="AB126" s="482">
        <v>0.16610169491525423</v>
      </c>
      <c r="AC126" s="385">
        <f t="shared" si="114"/>
        <v>1</v>
      </c>
      <c r="AD126" s="364">
        <f t="shared" si="115"/>
        <v>295</v>
      </c>
      <c r="AE126" s="365">
        <f t="shared" si="116"/>
        <v>1</v>
      </c>
      <c r="AF126" s="366">
        <f t="shared" si="117"/>
        <v>295</v>
      </c>
      <c r="AG126" s="363">
        <f t="shared" si="110"/>
        <v>1</v>
      </c>
      <c r="AH126" s="366">
        <f t="shared" si="118"/>
        <v>295</v>
      </c>
      <c r="AI126" s="367" t="str">
        <f t="shared" si="111"/>
        <v>80-100%</v>
      </c>
      <c r="AJ126" s="363">
        <f t="shared" si="112"/>
        <v>0</v>
      </c>
      <c r="AK126" s="368">
        <f t="shared" si="119"/>
        <v>0</v>
      </c>
      <c r="AL126" s="366">
        <f t="shared" si="120"/>
        <v>0</v>
      </c>
      <c r="AM126" s="366">
        <f t="shared" si="121"/>
        <v>8.3050847457627111</v>
      </c>
      <c r="AN126" s="366">
        <f t="shared" si="122"/>
        <v>0</v>
      </c>
      <c r="AO126" s="485">
        <v>1</v>
      </c>
      <c r="AP126" s="486">
        <f t="shared" si="123"/>
        <v>295</v>
      </c>
      <c r="AQ126" s="475"/>
      <c r="AR126" s="732">
        <v>1</v>
      </c>
      <c r="AS126" s="455">
        <v>10</v>
      </c>
      <c r="AT126" s="455">
        <v>12</v>
      </c>
      <c r="AU126" s="452" t="s">
        <v>89</v>
      </c>
      <c r="AV126" s="369">
        <f t="shared" si="124"/>
        <v>1</v>
      </c>
      <c r="AW126" s="366">
        <f t="shared" si="125"/>
        <v>295</v>
      </c>
      <c r="AX126" s="369">
        <f t="shared" si="113"/>
        <v>0.18644067796610164</v>
      </c>
      <c r="AY126" s="366">
        <f t="shared" si="126"/>
        <v>54.999999999999986</v>
      </c>
      <c r="AZ126" s="369">
        <f t="shared" si="127"/>
        <v>0.81355932203389836</v>
      </c>
      <c r="BA126" s="366">
        <f t="shared" si="128"/>
        <v>240.00000000000003</v>
      </c>
      <c r="BB126" s="474">
        <v>0</v>
      </c>
      <c r="BC126" s="490">
        <v>1</v>
      </c>
      <c r="BD126" s="370">
        <f t="shared" si="129"/>
        <v>295</v>
      </c>
      <c r="BE126" s="371">
        <f t="shared" si="130"/>
        <v>2.75</v>
      </c>
      <c r="BF126" s="452">
        <v>3</v>
      </c>
      <c r="BG126" s="452" t="s">
        <v>291</v>
      </c>
      <c r="BH126" s="369">
        <f t="shared" si="131"/>
        <v>1</v>
      </c>
      <c r="BI126" s="366">
        <f t="shared" si="132"/>
        <v>295</v>
      </c>
      <c r="BJ126" s="371">
        <f t="shared" si="133"/>
        <v>0</v>
      </c>
      <c r="BK126" s="490">
        <v>1</v>
      </c>
      <c r="BL126" s="366">
        <f t="shared" si="134"/>
        <v>295</v>
      </c>
      <c r="BM126" s="452">
        <v>4</v>
      </c>
      <c r="BN126" s="369">
        <f t="shared" si="135"/>
        <v>1</v>
      </c>
      <c r="BO126" s="371">
        <f t="shared" si="136"/>
        <v>0</v>
      </c>
      <c r="BP126" s="478">
        <v>1</v>
      </c>
      <c r="BQ126" s="500"/>
      <c r="BR126" s="502">
        <v>41795</v>
      </c>
      <c r="BS126" s="372" t="str">
        <f t="shared" si="107"/>
        <v>To be realised</v>
      </c>
      <c r="BT126" s="452">
        <v>48</v>
      </c>
      <c r="BU126" s="452">
        <v>6</v>
      </c>
      <c r="BV126" s="373">
        <f t="shared" si="137"/>
        <v>50</v>
      </c>
      <c r="BW126" s="374">
        <f t="shared" si="138"/>
        <v>0</v>
      </c>
      <c r="BX126" s="366">
        <f t="shared" si="139"/>
        <v>0</v>
      </c>
      <c r="BY126" s="387">
        <f t="shared" si="108"/>
        <v>7</v>
      </c>
      <c r="BZ126" s="468"/>
      <c r="CA126" s="478">
        <v>0.66101694915254239</v>
      </c>
      <c r="CB126" s="389">
        <f t="shared" si="140"/>
        <v>195</v>
      </c>
      <c r="CC126" s="468">
        <v>2</v>
      </c>
      <c r="CD126" s="375" t="str">
        <f t="shared" si="141"/>
        <v>Excellent coverage</v>
      </c>
      <c r="CE126" s="474">
        <v>0</v>
      </c>
      <c r="CF126" s="469" t="s">
        <v>65</v>
      </c>
      <c r="CG126" s="509"/>
    </row>
    <row r="127" spans="2:85" s="40" customFormat="1" ht="30.75" customHeight="1" x14ac:dyDescent="0.2">
      <c r="B127" s="449" t="s">
        <v>184</v>
      </c>
      <c r="C127" s="450" t="s">
        <v>698</v>
      </c>
      <c r="D127" s="451" t="s">
        <v>266</v>
      </c>
      <c r="E127" s="450" t="s">
        <v>317</v>
      </c>
      <c r="F127" s="451">
        <v>97.710864000000001</v>
      </c>
      <c r="G127" s="451">
        <v>24.207332999999998</v>
      </c>
      <c r="H127" s="451" t="s">
        <v>449</v>
      </c>
      <c r="I127" s="451" t="s">
        <v>214</v>
      </c>
      <c r="J127" s="452">
        <v>48</v>
      </c>
      <c r="K127" s="452">
        <v>285</v>
      </c>
      <c r="L127" s="452">
        <v>285</v>
      </c>
      <c r="M127" s="362" t="str">
        <f t="shared" si="109"/>
        <v>1. Small</v>
      </c>
      <c r="N127" s="701" t="s">
        <v>254</v>
      </c>
      <c r="O127" s="453" t="s">
        <v>235</v>
      </c>
      <c r="P127" s="461" t="s">
        <v>234</v>
      </c>
      <c r="Q127" s="382" t="str">
        <f t="shared" si="71"/>
        <v>Covered</v>
      </c>
      <c r="R127" s="462">
        <v>42247</v>
      </c>
      <c r="S127" s="453" t="s">
        <v>253</v>
      </c>
      <c r="T127" s="380" t="str">
        <f t="shared" si="72"/>
        <v>Documented</v>
      </c>
      <c r="U127" s="468">
        <v>0</v>
      </c>
      <c r="V127" s="452">
        <v>0</v>
      </c>
      <c r="W127" s="469" t="s">
        <v>19</v>
      </c>
      <c r="X127" s="468">
        <v>1</v>
      </c>
      <c r="Y127" s="474">
        <v>1</v>
      </c>
      <c r="Z127" s="475">
        <v>3000</v>
      </c>
      <c r="AA127" s="481">
        <v>0</v>
      </c>
      <c r="AB127" s="482">
        <v>0.16140350877192983</v>
      </c>
      <c r="AC127" s="385">
        <f t="shared" si="114"/>
        <v>1</v>
      </c>
      <c r="AD127" s="364">
        <f t="shared" si="115"/>
        <v>285</v>
      </c>
      <c r="AE127" s="365">
        <f t="shared" si="116"/>
        <v>1</v>
      </c>
      <c r="AF127" s="366">
        <f t="shared" si="117"/>
        <v>285</v>
      </c>
      <c r="AG127" s="363">
        <f t="shared" si="110"/>
        <v>1</v>
      </c>
      <c r="AH127" s="366">
        <f t="shared" si="118"/>
        <v>285</v>
      </c>
      <c r="AI127" s="367" t="str">
        <f t="shared" si="111"/>
        <v>80-100%</v>
      </c>
      <c r="AJ127" s="363">
        <f t="shared" si="112"/>
        <v>0</v>
      </c>
      <c r="AK127" s="368">
        <f t="shared" si="119"/>
        <v>0</v>
      </c>
      <c r="AL127" s="366">
        <f t="shared" si="120"/>
        <v>0</v>
      </c>
      <c r="AM127" s="366">
        <f t="shared" si="121"/>
        <v>7.7473684210526317</v>
      </c>
      <c r="AN127" s="366">
        <f t="shared" si="122"/>
        <v>0</v>
      </c>
      <c r="AO127" s="485">
        <v>1</v>
      </c>
      <c r="AP127" s="486">
        <f t="shared" si="123"/>
        <v>285</v>
      </c>
      <c r="AQ127" s="475"/>
      <c r="AR127" s="732">
        <v>33</v>
      </c>
      <c r="AS127" s="452">
        <v>0</v>
      </c>
      <c r="AT127" s="452">
        <v>20</v>
      </c>
      <c r="AU127" s="452" t="s">
        <v>292</v>
      </c>
      <c r="AV127" s="369">
        <f t="shared" si="124"/>
        <v>1</v>
      </c>
      <c r="AW127" s="366">
        <f t="shared" si="125"/>
        <v>285</v>
      </c>
      <c r="AX127" s="369">
        <f t="shared" si="113"/>
        <v>0</v>
      </c>
      <c r="AY127" s="366">
        <f t="shared" si="126"/>
        <v>0</v>
      </c>
      <c r="AZ127" s="369">
        <f t="shared" si="127"/>
        <v>1</v>
      </c>
      <c r="BA127" s="366">
        <f t="shared" si="128"/>
        <v>285</v>
      </c>
      <c r="BB127" s="474">
        <v>0</v>
      </c>
      <c r="BC127" s="490">
        <v>1</v>
      </c>
      <c r="BD127" s="370">
        <f t="shared" si="129"/>
        <v>285</v>
      </c>
      <c r="BE127" s="371">
        <f t="shared" si="130"/>
        <v>0</v>
      </c>
      <c r="BF127" s="452">
        <v>3</v>
      </c>
      <c r="BG127" s="452" t="s">
        <v>291</v>
      </c>
      <c r="BH127" s="369">
        <f t="shared" si="131"/>
        <v>1</v>
      </c>
      <c r="BI127" s="366">
        <f t="shared" si="132"/>
        <v>285</v>
      </c>
      <c r="BJ127" s="371">
        <f t="shared" si="133"/>
        <v>0</v>
      </c>
      <c r="BK127" s="490">
        <v>1</v>
      </c>
      <c r="BL127" s="366">
        <f t="shared" si="134"/>
        <v>285</v>
      </c>
      <c r="BM127" s="452">
        <v>11</v>
      </c>
      <c r="BN127" s="369">
        <f t="shared" si="135"/>
        <v>1</v>
      </c>
      <c r="BO127" s="371">
        <f t="shared" si="136"/>
        <v>0</v>
      </c>
      <c r="BP127" s="478">
        <v>1</v>
      </c>
      <c r="BQ127" s="500"/>
      <c r="BR127" s="502">
        <v>41795</v>
      </c>
      <c r="BS127" s="372" t="str">
        <f t="shared" si="107"/>
        <v>To be realised</v>
      </c>
      <c r="BT127" s="452">
        <v>33</v>
      </c>
      <c r="BU127" s="452">
        <v>6</v>
      </c>
      <c r="BV127" s="373">
        <f t="shared" si="137"/>
        <v>48</v>
      </c>
      <c r="BW127" s="374">
        <f t="shared" si="138"/>
        <v>0</v>
      </c>
      <c r="BX127" s="366">
        <f t="shared" si="139"/>
        <v>0</v>
      </c>
      <c r="BY127" s="387">
        <f t="shared" si="108"/>
        <v>7</v>
      </c>
      <c r="BZ127" s="468"/>
      <c r="CA127" s="478">
        <v>1</v>
      </c>
      <c r="CB127" s="389">
        <f t="shared" si="140"/>
        <v>285</v>
      </c>
      <c r="CC127" s="468">
        <v>1</v>
      </c>
      <c r="CD127" s="375" t="str">
        <f t="shared" si="141"/>
        <v>Excellent coverage</v>
      </c>
      <c r="CE127" s="474">
        <v>0</v>
      </c>
      <c r="CF127" s="469" t="s">
        <v>65</v>
      </c>
      <c r="CG127" s="509"/>
    </row>
    <row r="128" spans="2:85" s="40" customFormat="1" ht="30.75" customHeight="1" x14ac:dyDescent="0.2">
      <c r="B128" s="449" t="s">
        <v>184</v>
      </c>
      <c r="C128" s="450" t="s">
        <v>573</v>
      </c>
      <c r="D128" s="451" t="s">
        <v>260</v>
      </c>
      <c r="E128" s="450" t="s">
        <v>465</v>
      </c>
      <c r="F128" s="451">
        <v>97.337649999999996</v>
      </c>
      <c r="G128" s="451">
        <v>24.242049999999999</v>
      </c>
      <c r="H128" s="451" t="s">
        <v>449</v>
      </c>
      <c r="I128" s="451" t="s">
        <v>214</v>
      </c>
      <c r="J128" s="455">
        <v>75</v>
      </c>
      <c r="K128" s="455">
        <v>406</v>
      </c>
      <c r="L128" s="452">
        <v>406</v>
      </c>
      <c r="M128" s="362" t="str">
        <f t="shared" ref="M128:M159" si="142">IF(J128&gt;50,IF(J128&gt;250,IF(J128&gt;500,IF(J128&gt;1000,"5. Massive","4. Big"),"3. Large"),"2. Medium"),"1. Small")</f>
        <v>2. Medium</v>
      </c>
      <c r="N128" s="701" t="s">
        <v>254</v>
      </c>
      <c r="O128" s="453" t="s">
        <v>235</v>
      </c>
      <c r="P128" s="461" t="s">
        <v>234</v>
      </c>
      <c r="Q128" s="382" t="str">
        <f t="shared" si="71"/>
        <v>Covered</v>
      </c>
      <c r="R128" s="462">
        <v>42247</v>
      </c>
      <c r="S128" s="453" t="s">
        <v>253</v>
      </c>
      <c r="T128" s="380" t="str">
        <f t="shared" si="72"/>
        <v>Documented</v>
      </c>
      <c r="U128" s="468">
        <v>0</v>
      </c>
      <c r="V128" s="452">
        <v>0</v>
      </c>
      <c r="W128" s="469" t="s">
        <v>19</v>
      </c>
      <c r="X128" s="468">
        <v>0</v>
      </c>
      <c r="Y128" s="474">
        <v>1</v>
      </c>
      <c r="Z128" s="475">
        <v>7200</v>
      </c>
      <c r="AA128" s="481">
        <v>1</v>
      </c>
      <c r="AB128" s="482">
        <v>0.15270935960591134</v>
      </c>
      <c r="AC128" s="385">
        <f t="shared" si="114"/>
        <v>1</v>
      </c>
      <c r="AD128" s="364">
        <f t="shared" si="115"/>
        <v>406</v>
      </c>
      <c r="AE128" s="365">
        <f t="shared" si="116"/>
        <v>1</v>
      </c>
      <c r="AF128" s="366">
        <f t="shared" si="117"/>
        <v>406</v>
      </c>
      <c r="AG128" s="363">
        <f t="shared" ref="AG128:AG159" si="143">IF(AB128=0,AC128,IF(AB128&lt;AC128,AC128,AB128))</f>
        <v>1</v>
      </c>
      <c r="AH128" s="366">
        <f t="shared" si="118"/>
        <v>406</v>
      </c>
      <c r="AI128" s="367" t="str">
        <f t="shared" ref="AI128:AI159" si="144">IF(AC128&gt;0.15,IF(AC128&gt;0.3,IF(AC128&gt;0.45,IF(AC128&gt;0.6,IF(AC128&gt;0.8,"80-100%","60-80%"),"45-60%"),"30-45%"),"15-30%"),"0-10%")</f>
        <v>80-100%</v>
      </c>
      <c r="AJ128" s="363">
        <f t="shared" ref="AJ128:AJ159" si="145">IF((AC128-AE128)&lt; 0, 0, AC128-AE128)</f>
        <v>0</v>
      </c>
      <c r="AK128" s="368">
        <f t="shared" si="119"/>
        <v>0</v>
      </c>
      <c r="AL128" s="366">
        <f t="shared" si="120"/>
        <v>1.4999999999999902E-2</v>
      </c>
      <c r="AM128" s="366">
        <f t="shared" si="121"/>
        <v>11.453201970443351</v>
      </c>
      <c r="AN128" s="366">
        <f t="shared" si="122"/>
        <v>406</v>
      </c>
      <c r="AO128" s="485">
        <v>1</v>
      </c>
      <c r="AP128" s="486">
        <f t="shared" si="123"/>
        <v>406</v>
      </c>
      <c r="AQ128" s="475" t="s">
        <v>870</v>
      </c>
      <c r="AR128" s="732">
        <v>0</v>
      </c>
      <c r="AS128" s="455">
        <v>0</v>
      </c>
      <c r="AT128" s="455">
        <v>15</v>
      </c>
      <c r="AU128" s="452" t="s">
        <v>291</v>
      </c>
      <c r="AV128" s="369">
        <f t="shared" si="124"/>
        <v>0.73891625615763545</v>
      </c>
      <c r="AW128" s="366">
        <f t="shared" si="125"/>
        <v>300</v>
      </c>
      <c r="AX128" s="369">
        <f t="shared" ref="AX128:AX154" si="146">AV128-AZ128</f>
        <v>0</v>
      </c>
      <c r="AY128" s="366">
        <f t="shared" si="126"/>
        <v>0</v>
      </c>
      <c r="AZ128" s="369">
        <f t="shared" si="127"/>
        <v>0.73891625615763545</v>
      </c>
      <c r="BA128" s="366">
        <f t="shared" si="128"/>
        <v>300</v>
      </c>
      <c r="BB128" s="474">
        <v>0</v>
      </c>
      <c r="BC128" s="490">
        <v>0.74</v>
      </c>
      <c r="BD128" s="370">
        <f t="shared" si="129"/>
        <v>300.44</v>
      </c>
      <c r="BE128" s="371">
        <f t="shared" si="130"/>
        <v>5.3000000000000007</v>
      </c>
      <c r="BF128" s="452">
        <v>3</v>
      </c>
      <c r="BG128" s="452" t="s">
        <v>291</v>
      </c>
      <c r="BH128" s="369">
        <f t="shared" si="131"/>
        <v>0.73891625615763545</v>
      </c>
      <c r="BI128" s="366">
        <f t="shared" si="132"/>
        <v>300</v>
      </c>
      <c r="BJ128" s="371">
        <f t="shared" si="133"/>
        <v>1.0599999999999996</v>
      </c>
      <c r="BK128" s="490">
        <v>0.74</v>
      </c>
      <c r="BL128" s="366">
        <f t="shared" si="134"/>
        <v>300.44</v>
      </c>
      <c r="BM128" s="452">
        <v>5</v>
      </c>
      <c r="BN128" s="369">
        <f t="shared" si="135"/>
        <v>1</v>
      </c>
      <c r="BO128" s="371">
        <f t="shared" si="136"/>
        <v>0</v>
      </c>
      <c r="BP128" s="478">
        <v>1</v>
      </c>
      <c r="BQ128" s="500"/>
      <c r="BR128" s="502">
        <v>41745</v>
      </c>
      <c r="BS128" s="372" t="str">
        <f t="shared" si="107"/>
        <v>To be realised</v>
      </c>
      <c r="BT128" s="452">
        <v>9</v>
      </c>
      <c r="BU128" s="452">
        <v>6</v>
      </c>
      <c r="BV128" s="373">
        <f t="shared" si="137"/>
        <v>75</v>
      </c>
      <c r="BW128" s="374">
        <f t="shared" si="138"/>
        <v>0</v>
      </c>
      <c r="BX128" s="366">
        <f t="shared" si="139"/>
        <v>0</v>
      </c>
      <c r="BY128" s="387">
        <f t="shared" si="108"/>
        <v>9</v>
      </c>
      <c r="BZ128" s="468"/>
      <c r="CA128" s="478">
        <v>0.62315270935960587</v>
      </c>
      <c r="CB128" s="389">
        <f t="shared" si="140"/>
        <v>252.99999999999997</v>
      </c>
      <c r="CC128" s="468">
        <v>3</v>
      </c>
      <c r="CD128" s="375" t="str">
        <f t="shared" si="141"/>
        <v>Excellent coverage</v>
      </c>
      <c r="CE128" s="474">
        <v>0</v>
      </c>
      <c r="CF128" s="469" t="s">
        <v>65</v>
      </c>
      <c r="CG128" s="509"/>
    </row>
    <row r="129" spans="2:85" s="40" customFormat="1" ht="30.75" customHeight="1" x14ac:dyDescent="0.2">
      <c r="B129" s="449" t="s">
        <v>184</v>
      </c>
      <c r="C129" s="450" t="s">
        <v>575</v>
      </c>
      <c r="D129" s="451" t="s">
        <v>260</v>
      </c>
      <c r="E129" s="450" t="s">
        <v>195</v>
      </c>
      <c r="F129" s="451">
        <v>97.347740000000002</v>
      </c>
      <c r="G129" s="451">
        <v>24.253769999999999</v>
      </c>
      <c r="H129" s="451" t="s">
        <v>449</v>
      </c>
      <c r="I129" s="451" t="s">
        <v>214</v>
      </c>
      <c r="J129" s="455">
        <v>25</v>
      </c>
      <c r="K129" s="455">
        <v>92</v>
      </c>
      <c r="L129" s="452">
        <v>92</v>
      </c>
      <c r="M129" s="362" t="str">
        <f t="shared" si="142"/>
        <v>1. Small</v>
      </c>
      <c r="N129" s="701" t="s">
        <v>254</v>
      </c>
      <c r="O129" s="453" t="s">
        <v>276</v>
      </c>
      <c r="P129" s="461" t="s">
        <v>234</v>
      </c>
      <c r="Q129" s="382" t="str">
        <f t="shared" ref="Q129:Q180" si="147">IF(P129="None","Not covered","Covered")</f>
        <v>Covered</v>
      </c>
      <c r="R129" s="462">
        <v>42247</v>
      </c>
      <c r="S129" s="453" t="s">
        <v>253</v>
      </c>
      <c r="T129" s="380" t="str">
        <f t="shared" ref="T129:T180" si="148">IF(S129="Not documented","Not documented","Documented")</f>
        <v>Documented</v>
      </c>
      <c r="U129" s="468">
        <v>0</v>
      </c>
      <c r="V129" s="452">
        <v>0</v>
      </c>
      <c r="W129" s="469" t="s">
        <v>19</v>
      </c>
      <c r="X129" s="468">
        <v>0</v>
      </c>
      <c r="Y129" s="474">
        <v>0</v>
      </c>
      <c r="Z129" s="475">
        <v>1800</v>
      </c>
      <c r="AA129" s="481">
        <v>0</v>
      </c>
      <c r="AB129" s="482">
        <v>0.17391304347826086</v>
      </c>
      <c r="AC129" s="385">
        <f t="shared" si="114"/>
        <v>1</v>
      </c>
      <c r="AD129" s="364">
        <f t="shared" si="115"/>
        <v>92</v>
      </c>
      <c r="AE129" s="365">
        <f t="shared" si="116"/>
        <v>1</v>
      </c>
      <c r="AF129" s="366">
        <f t="shared" si="117"/>
        <v>92</v>
      </c>
      <c r="AG129" s="363">
        <f t="shared" si="143"/>
        <v>1</v>
      </c>
      <c r="AH129" s="366">
        <f t="shared" si="118"/>
        <v>92</v>
      </c>
      <c r="AI129" s="367" t="str">
        <f t="shared" si="144"/>
        <v>80-100%</v>
      </c>
      <c r="AJ129" s="363">
        <f t="shared" si="145"/>
        <v>0</v>
      </c>
      <c r="AK129" s="368">
        <f t="shared" si="119"/>
        <v>0</v>
      </c>
      <c r="AL129" s="366">
        <f t="shared" si="120"/>
        <v>0.23</v>
      </c>
      <c r="AM129" s="366">
        <f t="shared" si="121"/>
        <v>4.3478260869565215</v>
      </c>
      <c r="AN129" s="366">
        <f t="shared" si="122"/>
        <v>0</v>
      </c>
      <c r="AO129" s="485">
        <v>1</v>
      </c>
      <c r="AP129" s="486">
        <f t="shared" si="123"/>
        <v>92</v>
      </c>
      <c r="AQ129" s="475"/>
      <c r="AR129" s="732">
        <v>64</v>
      </c>
      <c r="AS129" s="455">
        <v>1</v>
      </c>
      <c r="AT129" s="455">
        <v>3</v>
      </c>
      <c r="AU129" s="452" t="s">
        <v>290</v>
      </c>
      <c r="AV129" s="369">
        <f t="shared" si="124"/>
        <v>0.86956521739130432</v>
      </c>
      <c r="AW129" s="366">
        <f t="shared" si="125"/>
        <v>80</v>
      </c>
      <c r="AX129" s="369">
        <f t="shared" si="146"/>
        <v>0.21739130434782605</v>
      </c>
      <c r="AY129" s="366">
        <f t="shared" si="126"/>
        <v>19.999999999999996</v>
      </c>
      <c r="AZ129" s="369">
        <f t="shared" si="127"/>
        <v>0.65217391304347827</v>
      </c>
      <c r="BA129" s="366">
        <f t="shared" si="128"/>
        <v>60</v>
      </c>
      <c r="BB129" s="474">
        <v>0</v>
      </c>
      <c r="BC129" s="490">
        <v>0.87</v>
      </c>
      <c r="BD129" s="370">
        <f t="shared" si="129"/>
        <v>80.040000000000006</v>
      </c>
      <c r="BE129" s="371">
        <f t="shared" si="130"/>
        <v>1.5999999999999996</v>
      </c>
      <c r="BF129" s="452">
        <v>1</v>
      </c>
      <c r="BG129" s="452" t="s">
        <v>89</v>
      </c>
      <c r="BH129" s="369">
        <f t="shared" si="131"/>
        <v>1</v>
      </c>
      <c r="BI129" s="366">
        <f t="shared" si="132"/>
        <v>92</v>
      </c>
      <c r="BJ129" s="371">
        <f t="shared" si="133"/>
        <v>0</v>
      </c>
      <c r="BK129" s="490">
        <v>1</v>
      </c>
      <c r="BL129" s="366">
        <f t="shared" si="134"/>
        <v>92</v>
      </c>
      <c r="BM129" s="452">
        <v>2</v>
      </c>
      <c r="BN129" s="369">
        <f t="shared" si="135"/>
        <v>1</v>
      </c>
      <c r="BO129" s="371">
        <f t="shared" si="136"/>
        <v>0</v>
      </c>
      <c r="BP129" s="478">
        <v>1</v>
      </c>
      <c r="BQ129" s="500"/>
      <c r="BR129" s="502">
        <v>41785</v>
      </c>
      <c r="BS129" s="372" t="str">
        <f t="shared" si="107"/>
        <v>To be realised</v>
      </c>
      <c r="BT129" s="452">
        <v>23</v>
      </c>
      <c r="BU129" s="452">
        <v>6</v>
      </c>
      <c r="BV129" s="373">
        <f t="shared" si="137"/>
        <v>25</v>
      </c>
      <c r="BW129" s="374">
        <f t="shared" si="138"/>
        <v>0</v>
      </c>
      <c r="BX129" s="366">
        <f t="shared" si="139"/>
        <v>0</v>
      </c>
      <c r="BY129" s="387">
        <f t="shared" si="108"/>
        <v>7</v>
      </c>
      <c r="BZ129" s="468"/>
      <c r="CA129" s="478">
        <v>1</v>
      </c>
      <c r="CB129" s="389">
        <f t="shared" si="140"/>
        <v>92</v>
      </c>
      <c r="CC129" s="468">
        <v>1</v>
      </c>
      <c r="CD129" s="375" t="str">
        <f t="shared" si="141"/>
        <v>Excellent coverage</v>
      </c>
      <c r="CE129" s="474">
        <v>0</v>
      </c>
      <c r="CF129" s="469" t="s">
        <v>65</v>
      </c>
      <c r="CG129" s="509"/>
    </row>
    <row r="130" spans="2:85" s="40" customFormat="1" ht="30.75" customHeight="1" x14ac:dyDescent="0.2">
      <c r="B130" s="449" t="s">
        <v>182</v>
      </c>
      <c r="C130" s="450" t="s">
        <v>551</v>
      </c>
      <c r="D130" s="451" t="s">
        <v>266</v>
      </c>
      <c r="E130" s="450" t="s">
        <v>312</v>
      </c>
      <c r="F130" s="451">
        <v>97.710989999999995</v>
      </c>
      <c r="G130" s="451">
        <v>24.181640000000002</v>
      </c>
      <c r="H130" s="451" t="s">
        <v>449</v>
      </c>
      <c r="I130" s="451" t="s">
        <v>214</v>
      </c>
      <c r="J130" s="455">
        <v>282</v>
      </c>
      <c r="K130" s="455">
        <v>1214</v>
      </c>
      <c r="L130" s="452">
        <v>1203</v>
      </c>
      <c r="M130" s="362" t="str">
        <f t="shared" si="142"/>
        <v>3. Large</v>
      </c>
      <c r="N130" s="701" t="s">
        <v>323</v>
      </c>
      <c r="O130" s="453" t="s">
        <v>235</v>
      </c>
      <c r="P130" s="461" t="s">
        <v>630</v>
      </c>
      <c r="Q130" s="382" t="str">
        <f t="shared" si="147"/>
        <v>Covered</v>
      </c>
      <c r="R130" s="462">
        <v>42247</v>
      </c>
      <c r="S130" s="453" t="s">
        <v>253</v>
      </c>
      <c r="T130" s="380" t="str">
        <f t="shared" si="148"/>
        <v>Documented</v>
      </c>
      <c r="U130" s="468">
        <v>0</v>
      </c>
      <c r="V130" s="452">
        <v>0</v>
      </c>
      <c r="W130" s="469" t="s">
        <v>19</v>
      </c>
      <c r="X130" s="468">
        <v>2</v>
      </c>
      <c r="Y130" s="474">
        <v>0</v>
      </c>
      <c r="Z130" s="475">
        <v>36000</v>
      </c>
      <c r="AA130" s="481">
        <v>0</v>
      </c>
      <c r="AB130" s="482">
        <v>0</v>
      </c>
      <c r="AC130" s="385">
        <f t="shared" ref="AC130:AC161" si="149">IF((((U130/15)+((V130/30)/15)+X130*400+Y130*500+(Z130/15))/L130)&gt;1,1,(((U130/15)+((V130/30)/15)+X130*400+Y130*500+(Z130/15))/L130))</f>
        <v>1</v>
      </c>
      <c r="AD130" s="364">
        <f t="shared" ref="AD130:AD161" si="150">AC130*L130</f>
        <v>1203</v>
      </c>
      <c r="AE130" s="365">
        <f t="shared" ref="AE130:AE161" si="151">IF(((X130*400+Y130*500+(Z130/15))/L130)&gt;1,1,(X130*400+Y130*500+(Z130/15))/L130)</f>
        <v>1</v>
      </c>
      <c r="AF130" s="366">
        <f t="shared" ref="AF130:AF161" si="152">AE130*L130</f>
        <v>1203</v>
      </c>
      <c r="AG130" s="363">
        <f t="shared" si="143"/>
        <v>1</v>
      </c>
      <c r="AH130" s="366">
        <f t="shared" ref="AH130:AH161" si="153">AG130*L130</f>
        <v>1203</v>
      </c>
      <c r="AI130" s="367" t="str">
        <f t="shared" si="144"/>
        <v>80-100%</v>
      </c>
      <c r="AJ130" s="363">
        <f t="shared" si="145"/>
        <v>0</v>
      </c>
      <c r="AK130" s="368">
        <f t="shared" ref="AK130:AK161" si="154">AJ130*L130</f>
        <v>0</v>
      </c>
      <c r="AL130" s="366">
        <f t="shared" ref="AL130:AL161" si="155">IF(L130/400-(X130+Y130)&lt;0,0,L130/400-(X130+Y130))</f>
        <v>1.0074999999999998</v>
      </c>
      <c r="AM130" s="366">
        <f t="shared" ref="AM130:AM161" si="156">AB130*J130</f>
        <v>0</v>
      </c>
      <c r="AN130" s="366">
        <f t="shared" ref="AN130:AN161" si="157">AA130*L130</f>
        <v>0</v>
      </c>
      <c r="AO130" s="485">
        <v>1</v>
      </c>
      <c r="AP130" s="486">
        <f t="shared" ref="AP130:AP161" si="158">AO130*L130</f>
        <v>1203</v>
      </c>
      <c r="AQ130" s="475"/>
      <c r="AR130" s="732">
        <v>12</v>
      </c>
      <c r="AS130" s="455">
        <v>19</v>
      </c>
      <c r="AT130" s="455">
        <v>38</v>
      </c>
      <c r="AU130" s="452" t="s">
        <v>290</v>
      </c>
      <c r="AV130" s="369">
        <f t="shared" ref="AV130:AV161" si="159">IF((((AS130+AT130)*20)/L130)&gt;1,1,(((AS130+AT130)*20)/L130))</f>
        <v>0.94763092269326688</v>
      </c>
      <c r="AW130" s="366">
        <f t="shared" ref="AW130:AW161" si="160">AV130*L130</f>
        <v>1140</v>
      </c>
      <c r="AX130" s="369">
        <f t="shared" si="146"/>
        <v>0.31587697423108896</v>
      </c>
      <c r="AY130" s="366">
        <f t="shared" ref="AY130:AY161" si="161">AX130*L130</f>
        <v>380</v>
      </c>
      <c r="AZ130" s="369">
        <f t="shared" ref="AZ130:AZ161" si="162">IF(((AT130*20)/L130)&gt;1,1,((AT130*20)/L130))</f>
        <v>0.63175394846217792</v>
      </c>
      <c r="BA130" s="366">
        <f t="shared" ref="BA130:BA161" si="163">AZ130*L130</f>
        <v>760</v>
      </c>
      <c r="BB130" s="474">
        <v>6</v>
      </c>
      <c r="BC130" s="490">
        <v>1</v>
      </c>
      <c r="BD130" s="370">
        <f t="shared" ref="BD130:BD161" si="164">BC130*L130</f>
        <v>1203</v>
      </c>
      <c r="BE130" s="371">
        <f t="shared" ref="BE130:BE161" si="165">IF((L130/20-AT130+BB130)&lt;0,0,(L130/20-AT130+BB130))</f>
        <v>28.15</v>
      </c>
      <c r="BF130" s="452">
        <v>6</v>
      </c>
      <c r="BG130" s="452" t="s">
        <v>291</v>
      </c>
      <c r="BH130" s="369">
        <f t="shared" ref="BH130:BH161" si="166">IF((BF130*100/L130)&gt;1,1,(BF130*100/L130))</f>
        <v>0.49875311720698257</v>
      </c>
      <c r="BI130" s="366">
        <f t="shared" ref="BI130:BI161" si="167">BH130*L130</f>
        <v>600</v>
      </c>
      <c r="BJ130" s="371">
        <f t="shared" ref="BJ130:BJ161" si="168">IF(K130/100-BF130&lt;0,0,K130/100-BF130)</f>
        <v>6.1400000000000006</v>
      </c>
      <c r="BK130" s="490">
        <v>0.5</v>
      </c>
      <c r="BL130" s="366">
        <f t="shared" ref="BL130:BL161" si="169">BK130*L130</f>
        <v>601.5</v>
      </c>
      <c r="BM130" s="452">
        <v>19</v>
      </c>
      <c r="BN130" s="369">
        <f t="shared" ref="BN130:BN161" si="170">IF((BM130*100/L130)&gt;1,1,(BM130*100/L130))</f>
        <v>1</v>
      </c>
      <c r="BO130" s="371">
        <f t="shared" ref="BO130:BO161" si="171">IF(K130/100-BM130&lt;0,0,K130/100-BM130)</f>
        <v>0</v>
      </c>
      <c r="BP130" s="478">
        <v>1</v>
      </c>
      <c r="BQ130" s="500" t="s">
        <v>878</v>
      </c>
      <c r="BR130" s="502">
        <v>42055</v>
      </c>
      <c r="BS130" s="372">
        <f t="shared" si="107"/>
        <v>42420</v>
      </c>
      <c r="BT130" s="452">
        <v>285</v>
      </c>
      <c r="BU130" s="452">
        <v>3</v>
      </c>
      <c r="BV130" s="373">
        <f t="shared" ref="BV130:BV161" si="172">IF(BS130="n/a",0,IF(BS130="To be realised",J130,IF((J130-BT130)&lt;0,0,(J130-BT130))))</f>
        <v>0</v>
      </c>
      <c r="BW130" s="374">
        <f t="shared" ref="BW130:BW161" si="173">IF(BV130=0,1,(J130-BV130)/J130)</f>
        <v>1</v>
      </c>
      <c r="BX130" s="366">
        <f t="shared" ref="BX130:BX161" si="174">BW130*L130</f>
        <v>1203</v>
      </c>
      <c r="BY130" s="387">
        <f t="shared" si="108"/>
        <v>1</v>
      </c>
      <c r="BZ130" s="468"/>
      <c r="CA130" s="478">
        <v>1</v>
      </c>
      <c r="CB130" s="389">
        <f t="shared" ref="CB130:CB161" si="175">CA130*L130</f>
        <v>1203</v>
      </c>
      <c r="CC130" s="468">
        <v>2</v>
      </c>
      <c r="CD130" s="375" t="str">
        <f t="shared" ref="CD130:CD161" si="176">IF(CC130=0,"No coverage",IF(L130/CC130&gt;1000,"Low coverage",IF(L130/CC130&gt;750,"Average coverage",IF(L130/CC130&gt;500,"Good coverage","Excellent coverage"))))</f>
        <v>Good coverage</v>
      </c>
      <c r="CE130" s="474">
        <v>0</v>
      </c>
      <c r="CF130" s="469" t="s">
        <v>65</v>
      </c>
      <c r="CG130" s="509"/>
    </row>
    <row r="131" spans="2:85" s="40" customFormat="1" ht="30.75" customHeight="1" x14ac:dyDescent="0.2">
      <c r="B131" s="449" t="s">
        <v>182</v>
      </c>
      <c r="C131" s="450" t="s">
        <v>552</v>
      </c>
      <c r="D131" s="451" t="s">
        <v>266</v>
      </c>
      <c r="E131" s="450" t="s">
        <v>313</v>
      </c>
      <c r="F131" s="451">
        <v>97.710989999999995</v>
      </c>
      <c r="G131" s="451">
        <v>24.181640000000002</v>
      </c>
      <c r="H131" s="451" t="s">
        <v>449</v>
      </c>
      <c r="I131" s="451" t="s">
        <v>214</v>
      </c>
      <c r="J131" s="455">
        <v>132</v>
      </c>
      <c r="K131" s="455">
        <v>618</v>
      </c>
      <c r="L131" s="452">
        <v>604</v>
      </c>
      <c r="M131" s="362" t="str">
        <f t="shared" si="142"/>
        <v>2. Medium</v>
      </c>
      <c r="N131" s="701" t="s">
        <v>323</v>
      </c>
      <c r="O131" s="453" t="s">
        <v>231</v>
      </c>
      <c r="P131" s="461" t="s">
        <v>630</v>
      </c>
      <c r="Q131" s="382" t="str">
        <f t="shared" si="147"/>
        <v>Covered</v>
      </c>
      <c r="R131" s="462">
        <v>42247</v>
      </c>
      <c r="S131" s="453" t="s">
        <v>253</v>
      </c>
      <c r="T131" s="380" t="str">
        <f t="shared" si="148"/>
        <v>Documented</v>
      </c>
      <c r="U131" s="468">
        <v>0</v>
      </c>
      <c r="V131" s="452">
        <v>0</v>
      </c>
      <c r="W131" s="469" t="s">
        <v>19</v>
      </c>
      <c r="X131" s="468">
        <v>1</v>
      </c>
      <c r="Y131" s="474">
        <v>0</v>
      </c>
      <c r="Z131" s="475">
        <v>13500</v>
      </c>
      <c r="AA131" s="481">
        <v>0</v>
      </c>
      <c r="AB131" s="482">
        <v>0</v>
      </c>
      <c r="AC131" s="385">
        <f t="shared" si="149"/>
        <v>1</v>
      </c>
      <c r="AD131" s="364">
        <f t="shared" si="150"/>
        <v>604</v>
      </c>
      <c r="AE131" s="365">
        <f t="shared" si="151"/>
        <v>1</v>
      </c>
      <c r="AF131" s="366">
        <f t="shared" si="152"/>
        <v>604</v>
      </c>
      <c r="AG131" s="363">
        <f t="shared" si="143"/>
        <v>1</v>
      </c>
      <c r="AH131" s="366">
        <f t="shared" si="153"/>
        <v>604</v>
      </c>
      <c r="AI131" s="367" t="str">
        <f t="shared" si="144"/>
        <v>80-100%</v>
      </c>
      <c r="AJ131" s="363">
        <f t="shared" si="145"/>
        <v>0</v>
      </c>
      <c r="AK131" s="368">
        <f t="shared" si="154"/>
        <v>0</v>
      </c>
      <c r="AL131" s="366">
        <f t="shared" si="155"/>
        <v>0.51</v>
      </c>
      <c r="AM131" s="366">
        <f t="shared" si="156"/>
        <v>0</v>
      </c>
      <c r="AN131" s="366">
        <f t="shared" si="157"/>
        <v>0</v>
      </c>
      <c r="AO131" s="485">
        <v>1</v>
      </c>
      <c r="AP131" s="486">
        <f t="shared" si="158"/>
        <v>604</v>
      </c>
      <c r="AQ131" s="489"/>
      <c r="AR131" s="732">
        <v>14</v>
      </c>
      <c r="AS131" s="455">
        <v>9</v>
      </c>
      <c r="AT131" s="455">
        <v>16</v>
      </c>
      <c r="AU131" s="452" t="s">
        <v>292</v>
      </c>
      <c r="AV131" s="369">
        <f t="shared" si="159"/>
        <v>0.82781456953642385</v>
      </c>
      <c r="AW131" s="366">
        <f t="shared" si="160"/>
        <v>500</v>
      </c>
      <c r="AX131" s="369">
        <f t="shared" si="146"/>
        <v>0.29801324503311255</v>
      </c>
      <c r="AY131" s="366">
        <f t="shared" si="161"/>
        <v>179.99999999999997</v>
      </c>
      <c r="AZ131" s="369">
        <f t="shared" si="162"/>
        <v>0.5298013245033113</v>
      </c>
      <c r="BA131" s="366">
        <f t="shared" si="163"/>
        <v>320</v>
      </c>
      <c r="BB131" s="474">
        <v>0</v>
      </c>
      <c r="BC131" s="490">
        <v>1</v>
      </c>
      <c r="BD131" s="370">
        <f t="shared" si="164"/>
        <v>604</v>
      </c>
      <c r="BE131" s="371">
        <f t="shared" si="165"/>
        <v>14.2</v>
      </c>
      <c r="BF131" s="452">
        <v>4</v>
      </c>
      <c r="BG131" s="452" t="s">
        <v>291</v>
      </c>
      <c r="BH131" s="369">
        <f t="shared" si="166"/>
        <v>0.66225165562913912</v>
      </c>
      <c r="BI131" s="366">
        <f t="shared" si="167"/>
        <v>400.00000000000006</v>
      </c>
      <c r="BJ131" s="371">
        <f t="shared" si="168"/>
        <v>2.1799999999999997</v>
      </c>
      <c r="BK131" s="490">
        <v>0.83</v>
      </c>
      <c r="BL131" s="366">
        <f t="shared" si="169"/>
        <v>501.32</v>
      </c>
      <c r="BM131" s="452">
        <v>9</v>
      </c>
      <c r="BN131" s="369">
        <f t="shared" si="170"/>
        <v>1</v>
      </c>
      <c r="BO131" s="371">
        <f t="shared" si="171"/>
        <v>0</v>
      </c>
      <c r="BP131" s="478">
        <v>1</v>
      </c>
      <c r="BQ131" s="500" t="s">
        <v>878</v>
      </c>
      <c r="BR131" s="502">
        <v>42055</v>
      </c>
      <c r="BS131" s="372">
        <f t="shared" si="107"/>
        <v>42420</v>
      </c>
      <c r="BT131" s="452">
        <v>135</v>
      </c>
      <c r="BU131" s="452">
        <v>3</v>
      </c>
      <c r="BV131" s="373">
        <f t="shared" si="172"/>
        <v>0</v>
      </c>
      <c r="BW131" s="374">
        <f t="shared" si="173"/>
        <v>1</v>
      </c>
      <c r="BX131" s="366">
        <f t="shared" si="174"/>
        <v>604</v>
      </c>
      <c r="BY131" s="387">
        <f t="shared" si="108"/>
        <v>1</v>
      </c>
      <c r="BZ131" s="468"/>
      <c r="CA131" s="478">
        <v>1</v>
      </c>
      <c r="CB131" s="389">
        <f t="shared" si="175"/>
        <v>604</v>
      </c>
      <c r="CC131" s="468">
        <v>1</v>
      </c>
      <c r="CD131" s="375" t="str">
        <f t="shared" si="176"/>
        <v>Good coverage</v>
      </c>
      <c r="CE131" s="474">
        <v>0</v>
      </c>
      <c r="CF131" s="704" t="s">
        <v>65</v>
      </c>
      <c r="CG131" s="509"/>
    </row>
    <row r="132" spans="2:85" s="40" customFormat="1" ht="30.75" customHeight="1" x14ac:dyDescent="0.25">
      <c r="B132" s="449" t="s">
        <v>184</v>
      </c>
      <c r="C132" s="450" t="s">
        <v>562</v>
      </c>
      <c r="D132" s="451" t="s">
        <v>260</v>
      </c>
      <c r="E132" s="450" t="s">
        <v>727</v>
      </c>
      <c r="F132" s="451">
        <v>97.344350000000006</v>
      </c>
      <c r="G132" s="451">
        <v>24.25067</v>
      </c>
      <c r="H132" s="451" t="s">
        <v>460</v>
      </c>
      <c r="I132" s="451" t="s">
        <v>214</v>
      </c>
      <c r="J132" s="455">
        <v>394</v>
      </c>
      <c r="K132" s="455">
        <v>1504</v>
      </c>
      <c r="L132" s="455">
        <v>1504</v>
      </c>
      <c r="M132" s="362" t="str">
        <f t="shared" si="142"/>
        <v>3. Large</v>
      </c>
      <c r="N132" s="701" t="s">
        <v>323</v>
      </c>
      <c r="O132" s="456"/>
      <c r="P132" s="463" t="s">
        <v>630</v>
      </c>
      <c r="Q132" s="382" t="str">
        <f t="shared" si="147"/>
        <v>Covered</v>
      </c>
      <c r="R132" s="464">
        <v>42247</v>
      </c>
      <c r="S132" s="465" t="s">
        <v>253</v>
      </c>
      <c r="T132" s="380" t="str">
        <f t="shared" si="148"/>
        <v>Documented</v>
      </c>
      <c r="U132" s="470">
        <v>0</v>
      </c>
      <c r="V132" s="455">
        <v>0</v>
      </c>
      <c r="W132" s="471" t="s">
        <v>19</v>
      </c>
      <c r="X132" s="470">
        <v>150</v>
      </c>
      <c r="Y132" s="455">
        <v>63</v>
      </c>
      <c r="Z132" s="471">
        <v>0</v>
      </c>
      <c r="AA132" s="479">
        <v>0</v>
      </c>
      <c r="AB132" s="480">
        <v>0</v>
      </c>
      <c r="AC132" s="385">
        <f t="shared" si="149"/>
        <v>1</v>
      </c>
      <c r="AD132" s="364">
        <f t="shared" si="150"/>
        <v>1504</v>
      </c>
      <c r="AE132" s="365">
        <f t="shared" si="151"/>
        <v>1</v>
      </c>
      <c r="AF132" s="366">
        <f t="shared" si="152"/>
        <v>1504</v>
      </c>
      <c r="AG132" s="363">
        <f t="shared" si="143"/>
        <v>1</v>
      </c>
      <c r="AH132" s="366">
        <f t="shared" si="153"/>
        <v>1504</v>
      </c>
      <c r="AI132" s="367" t="str">
        <f t="shared" si="144"/>
        <v>80-100%</v>
      </c>
      <c r="AJ132" s="363">
        <f t="shared" si="145"/>
        <v>0</v>
      </c>
      <c r="AK132" s="368">
        <f t="shared" si="154"/>
        <v>0</v>
      </c>
      <c r="AL132" s="366">
        <f t="shared" si="155"/>
        <v>0</v>
      </c>
      <c r="AM132" s="366">
        <f t="shared" si="156"/>
        <v>0</v>
      </c>
      <c r="AN132" s="366">
        <f t="shared" si="157"/>
        <v>0</v>
      </c>
      <c r="AO132" s="488">
        <v>1</v>
      </c>
      <c r="AP132" s="486">
        <f t="shared" si="158"/>
        <v>1504</v>
      </c>
      <c r="AQ132" s="480" t="s">
        <v>871</v>
      </c>
      <c r="AR132" s="733">
        <v>0</v>
      </c>
      <c r="AS132" s="455">
        <v>276</v>
      </c>
      <c r="AT132" s="455">
        <v>9</v>
      </c>
      <c r="AU132" s="455" t="s">
        <v>89</v>
      </c>
      <c r="AV132" s="369">
        <f t="shared" si="159"/>
        <v>1</v>
      </c>
      <c r="AW132" s="366">
        <f t="shared" si="160"/>
        <v>1504</v>
      </c>
      <c r="AX132" s="369">
        <f t="shared" si="146"/>
        <v>0.88031914893617025</v>
      </c>
      <c r="AY132" s="366">
        <f t="shared" si="161"/>
        <v>1324</v>
      </c>
      <c r="AZ132" s="369">
        <f t="shared" si="162"/>
        <v>0.11968085106382979</v>
      </c>
      <c r="BA132" s="366">
        <f t="shared" si="163"/>
        <v>180</v>
      </c>
      <c r="BB132" s="493">
        <v>0</v>
      </c>
      <c r="BC132" s="488">
        <v>1</v>
      </c>
      <c r="BD132" s="370">
        <f t="shared" si="164"/>
        <v>1504</v>
      </c>
      <c r="BE132" s="371">
        <f t="shared" si="165"/>
        <v>66.2</v>
      </c>
      <c r="BF132" s="455">
        <v>213</v>
      </c>
      <c r="BG132" s="455" t="s">
        <v>89</v>
      </c>
      <c r="BH132" s="369">
        <f t="shared" si="166"/>
        <v>1</v>
      </c>
      <c r="BI132" s="366">
        <f t="shared" si="167"/>
        <v>1504</v>
      </c>
      <c r="BJ132" s="371">
        <f t="shared" si="168"/>
        <v>0</v>
      </c>
      <c r="BK132" s="494">
        <v>1</v>
      </c>
      <c r="BL132" s="366">
        <f t="shared" si="169"/>
        <v>1504</v>
      </c>
      <c r="BM132" s="455">
        <v>0</v>
      </c>
      <c r="BN132" s="369">
        <f t="shared" si="170"/>
        <v>0</v>
      </c>
      <c r="BO132" s="371">
        <f t="shared" si="171"/>
        <v>15.04</v>
      </c>
      <c r="BP132" s="480">
        <v>0</v>
      </c>
      <c r="BQ132" s="501"/>
      <c r="BR132" s="503">
        <v>41992</v>
      </c>
      <c r="BS132" s="372">
        <f t="shared" si="107"/>
        <v>42357</v>
      </c>
      <c r="BT132" s="493">
        <v>334</v>
      </c>
      <c r="BU132" s="493">
        <v>0</v>
      </c>
      <c r="BV132" s="373">
        <f t="shared" si="172"/>
        <v>60</v>
      </c>
      <c r="BW132" s="374">
        <f t="shared" si="173"/>
        <v>0.84771573604060912</v>
      </c>
      <c r="BX132" s="366">
        <f t="shared" si="174"/>
        <v>1274.9644670050761</v>
      </c>
      <c r="BY132" s="387">
        <f t="shared" si="108"/>
        <v>6</v>
      </c>
      <c r="BZ132" s="505"/>
      <c r="CA132" s="480">
        <v>1</v>
      </c>
      <c r="CB132" s="389">
        <f t="shared" si="175"/>
        <v>1504</v>
      </c>
      <c r="CC132" s="505">
        <v>4</v>
      </c>
      <c r="CD132" s="375" t="str">
        <f t="shared" si="176"/>
        <v>Excellent coverage</v>
      </c>
      <c r="CE132" s="474">
        <v>0</v>
      </c>
      <c r="CF132" s="513" t="s">
        <v>65</v>
      </c>
      <c r="CG132" s="512"/>
    </row>
    <row r="133" spans="2:85" s="40" customFormat="1" ht="30.75" customHeight="1" x14ac:dyDescent="0.25">
      <c r="B133" s="449" t="s">
        <v>176</v>
      </c>
      <c r="C133" s="450" t="s">
        <v>702</v>
      </c>
      <c r="D133" s="451" t="s">
        <v>260</v>
      </c>
      <c r="E133" s="450" t="s">
        <v>728</v>
      </c>
      <c r="F133" s="451">
        <v>97.228769999999997</v>
      </c>
      <c r="G133" s="451">
        <v>24.26502</v>
      </c>
      <c r="H133" s="451" t="s">
        <v>460</v>
      </c>
      <c r="I133" s="451" t="s">
        <v>214</v>
      </c>
      <c r="J133" s="455">
        <v>216</v>
      </c>
      <c r="K133" s="455">
        <v>965</v>
      </c>
      <c r="L133" s="455">
        <v>965</v>
      </c>
      <c r="M133" s="362" t="str">
        <f t="shared" si="142"/>
        <v>2. Medium</v>
      </c>
      <c r="N133" s="701" t="s">
        <v>323</v>
      </c>
      <c r="O133" s="456"/>
      <c r="P133" s="463" t="s">
        <v>630</v>
      </c>
      <c r="Q133" s="382" t="str">
        <f t="shared" si="147"/>
        <v>Covered</v>
      </c>
      <c r="R133" s="464">
        <v>42247</v>
      </c>
      <c r="S133" s="465" t="s">
        <v>253</v>
      </c>
      <c r="T133" s="380" t="str">
        <f t="shared" si="148"/>
        <v>Documented</v>
      </c>
      <c r="U133" s="470">
        <v>0</v>
      </c>
      <c r="V133" s="455">
        <v>0</v>
      </c>
      <c r="W133" s="471" t="s">
        <v>19</v>
      </c>
      <c r="X133" s="470">
        <v>40</v>
      </c>
      <c r="Y133" s="455">
        <v>105</v>
      </c>
      <c r="Z133" s="471">
        <v>0</v>
      </c>
      <c r="AA133" s="479">
        <v>0</v>
      </c>
      <c r="AB133" s="480">
        <v>0</v>
      </c>
      <c r="AC133" s="385">
        <f t="shared" si="149"/>
        <v>1</v>
      </c>
      <c r="AD133" s="364">
        <f t="shared" si="150"/>
        <v>965</v>
      </c>
      <c r="AE133" s="365">
        <f t="shared" si="151"/>
        <v>1</v>
      </c>
      <c r="AF133" s="366">
        <f t="shared" si="152"/>
        <v>965</v>
      </c>
      <c r="AG133" s="363">
        <f t="shared" si="143"/>
        <v>1</v>
      </c>
      <c r="AH133" s="366">
        <f t="shared" si="153"/>
        <v>965</v>
      </c>
      <c r="AI133" s="367" t="str">
        <f t="shared" si="144"/>
        <v>80-100%</v>
      </c>
      <c r="AJ133" s="363">
        <f t="shared" si="145"/>
        <v>0</v>
      </c>
      <c r="AK133" s="368">
        <f t="shared" si="154"/>
        <v>0</v>
      </c>
      <c r="AL133" s="366">
        <f t="shared" si="155"/>
        <v>0</v>
      </c>
      <c r="AM133" s="366">
        <f t="shared" si="156"/>
        <v>0</v>
      </c>
      <c r="AN133" s="366">
        <f t="shared" si="157"/>
        <v>0</v>
      </c>
      <c r="AO133" s="488">
        <v>1</v>
      </c>
      <c r="AP133" s="486">
        <f t="shared" si="158"/>
        <v>965</v>
      </c>
      <c r="AQ133" s="480" t="s">
        <v>871</v>
      </c>
      <c r="AR133" s="733">
        <v>0</v>
      </c>
      <c r="AS133" s="455">
        <v>100</v>
      </c>
      <c r="AT133" s="455">
        <v>12</v>
      </c>
      <c r="AU133" s="455" t="s">
        <v>89</v>
      </c>
      <c r="AV133" s="369">
        <f t="shared" si="159"/>
        <v>1</v>
      </c>
      <c r="AW133" s="366">
        <f t="shared" si="160"/>
        <v>965</v>
      </c>
      <c r="AX133" s="369">
        <f t="shared" si="146"/>
        <v>0.75129533678756477</v>
      </c>
      <c r="AY133" s="366">
        <f t="shared" si="161"/>
        <v>725</v>
      </c>
      <c r="AZ133" s="369">
        <f t="shared" si="162"/>
        <v>0.24870466321243523</v>
      </c>
      <c r="BA133" s="366">
        <f t="shared" si="163"/>
        <v>240</v>
      </c>
      <c r="BB133" s="493">
        <v>0</v>
      </c>
      <c r="BC133" s="488">
        <v>1</v>
      </c>
      <c r="BD133" s="370">
        <f t="shared" si="164"/>
        <v>965</v>
      </c>
      <c r="BE133" s="371">
        <f t="shared" si="165"/>
        <v>36.25</v>
      </c>
      <c r="BF133" s="455">
        <v>163</v>
      </c>
      <c r="BG133" s="455" t="s">
        <v>89</v>
      </c>
      <c r="BH133" s="369">
        <f t="shared" si="166"/>
        <v>1</v>
      </c>
      <c r="BI133" s="366">
        <f t="shared" si="167"/>
        <v>965</v>
      </c>
      <c r="BJ133" s="371">
        <f t="shared" si="168"/>
        <v>0</v>
      </c>
      <c r="BK133" s="494">
        <v>1</v>
      </c>
      <c r="BL133" s="366">
        <f t="shared" si="169"/>
        <v>965</v>
      </c>
      <c r="BM133" s="455">
        <v>0</v>
      </c>
      <c r="BN133" s="369">
        <f t="shared" si="170"/>
        <v>0</v>
      </c>
      <c r="BO133" s="371">
        <f t="shared" si="171"/>
        <v>9.65</v>
      </c>
      <c r="BP133" s="480">
        <v>0</v>
      </c>
      <c r="BQ133" s="501"/>
      <c r="BR133" s="503">
        <v>42173</v>
      </c>
      <c r="BS133" s="372">
        <f t="shared" si="107"/>
        <v>42538</v>
      </c>
      <c r="BT133" s="493">
        <v>118</v>
      </c>
      <c r="BU133" s="493">
        <v>0</v>
      </c>
      <c r="BV133" s="373">
        <f t="shared" si="172"/>
        <v>98</v>
      </c>
      <c r="BW133" s="374">
        <f t="shared" si="173"/>
        <v>0.54629629629629628</v>
      </c>
      <c r="BX133" s="366">
        <f t="shared" si="174"/>
        <v>527.17592592592587</v>
      </c>
      <c r="BY133" s="387">
        <f t="shared" si="108"/>
        <v>0</v>
      </c>
      <c r="BZ133" s="505"/>
      <c r="CA133" s="480">
        <v>1</v>
      </c>
      <c r="CB133" s="389">
        <f t="shared" si="175"/>
        <v>965</v>
      </c>
      <c r="CC133" s="505">
        <v>4</v>
      </c>
      <c r="CD133" s="375" t="str">
        <f t="shared" si="176"/>
        <v>Excellent coverage</v>
      </c>
      <c r="CE133" s="474">
        <v>0</v>
      </c>
      <c r="CF133" s="513" t="s">
        <v>65</v>
      </c>
      <c r="CG133" s="512"/>
    </row>
    <row r="134" spans="2:85" s="40" customFormat="1" ht="30.75" customHeight="1" x14ac:dyDescent="0.25">
      <c r="B134" s="449" t="s">
        <v>182</v>
      </c>
      <c r="C134" s="450" t="s">
        <v>548</v>
      </c>
      <c r="D134" s="451" t="s">
        <v>266</v>
      </c>
      <c r="E134" s="450" t="s">
        <v>616</v>
      </c>
      <c r="F134" s="451">
        <v>97.609832999999995</v>
      </c>
      <c r="G134" s="451">
        <v>24.002433</v>
      </c>
      <c r="H134" s="451" t="s">
        <v>449</v>
      </c>
      <c r="I134" s="451" t="s">
        <v>222</v>
      </c>
      <c r="J134" s="455">
        <v>169</v>
      </c>
      <c r="K134" s="455">
        <v>742</v>
      </c>
      <c r="L134" s="455">
        <v>742</v>
      </c>
      <c r="M134" s="362" t="str">
        <f t="shared" si="142"/>
        <v>2. Medium</v>
      </c>
      <c r="N134" s="701" t="s">
        <v>411</v>
      </c>
      <c r="O134" s="456" t="s">
        <v>231</v>
      </c>
      <c r="P134" s="463" t="s">
        <v>285</v>
      </c>
      <c r="Q134" s="382" t="str">
        <f t="shared" si="147"/>
        <v>Covered</v>
      </c>
      <c r="R134" s="464">
        <v>42247</v>
      </c>
      <c r="S134" s="465" t="s">
        <v>253</v>
      </c>
      <c r="T134" s="380" t="str">
        <f t="shared" si="148"/>
        <v>Documented</v>
      </c>
      <c r="U134" s="470">
        <v>0</v>
      </c>
      <c r="V134" s="455">
        <v>0</v>
      </c>
      <c r="W134" s="471" t="s">
        <v>19</v>
      </c>
      <c r="X134" s="470">
        <v>2</v>
      </c>
      <c r="Y134" s="455">
        <v>0</v>
      </c>
      <c r="Z134" s="471">
        <v>81090</v>
      </c>
      <c r="AA134" s="479">
        <v>0</v>
      </c>
      <c r="AB134" s="480">
        <v>0.95</v>
      </c>
      <c r="AC134" s="385">
        <f t="shared" si="149"/>
        <v>1</v>
      </c>
      <c r="AD134" s="364">
        <f t="shared" si="150"/>
        <v>742</v>
      </c>
      <c r="AE134" s="365">
        <f t="shared" si="151"/>
        <v>1</v>
      </c>
      <c r="AF134" s="366">
        <f t="shared" si="152"/>
        <v>742</v>
      </c>
      <c r="AG134" s="363">
        <f t="shared" si="143"/>
        <v>1</v>
      </c>
      <c r="AH134" s="366">
        <f t="shared" si="153"/>
        <v>742</v>
      </c>
      <c r="AI134" s="367" t="str">
        <f t="shared" si="144"/>
        <v>80-100%</v>
      </c>
      <c r="AJ134" s="363">
        <f t="shared" si="145"/>
        <v>0</v>
      </c>
      <c r="AK134" s="368">
        <f t="shared" si="154"/>
        <v>0</v>
      </c>
      <c r="AL134" s="366">
        <f t="shared" si="155"/>
        <v>0</v>
      </c>
      <c r="AM134" s="366">
        <f t="shared" si="156"/>
        <v>160.54999999999998</v>
      </c>
      <c r="AN134" s="366">
        <f t="shared" si="157"/>
        <v>0</v>
      </c>
      <c r="AO134" s="488">
        <v>1</v>
      </c>
      <c r="AP134" s="486">
        <f t="shared" si="158"/>
        <v>742</v>
      </c>
      <c r="AQ134" s="480"/>
      <c r="AR134" s="733">
        <v>0</v>
      </c>
      <c r="AS134" s="455">
        <v>42</v>
      </c>
      <c r="AT134" s="455">
        <v>14</v>
      </c>
      <c r="AU134" s="455" t="s">
        <v>89</v>
      </c>
      <c r="AV134" s="369">
        <f t="shared" si="159"/>
        <v>1</v>
      </c>
      <c r="AW134" s="366">
        <f t="shared" si="160"/>
        <v>742</v>
      </c>
      <c r="AX134" s="369">
        <f t="shared" si="146"/>
        <v>0.62264150943396224</v>
      </c>
      <c r="AY134" s="366">
        <f t="shared" si="161"/>
        <v>462</v>
      </c>
      <c r="AZ134" s="369">
        <f t="shared" si="162"/>
        <v>0.37735849056603776</v>
      </c>
      <c r="BA134" s="366">
        <f t="shared" si="163"/>
        <v>280</v>
      </c>
      <c r="BB134" s="493">
        <v>0</v>
      </c>
      <c r="BC134" s="488">
        <v>1</v>
      </c>
      <c r="BD134" s="370">
        <f t="shared" si="164"/>
        <v>742</v>
      </c>
      <c r="BE134" s="371">
        <f t="shared" si="165"/>
        <v>23.1</v>
      </c>
      <c r="BF134" s="455">
        <v>4</v>
      </c>
      <c r="BG134" s="455" t="s">
        <v>89</v>
      </c>
      <c r="BH134" s="369">
        <f t="shared" si="166"/>
        <v>0.53908355795148244</v>
      </c>
      <c r="BI134" s="366">
        <f t="shared" si="167"/>
        <v>399.99999999999994</v>
      </c>
      <c r="BJ134" s="371">
        <f t="shared" si="168"/>
        <v>3.42</v>
      </c>
      <c r="BK134" s="494">
        <v>0.54</v>
      </c>
      <c r="BL134" s="366">
        <f t="shared" si="169"/>
        <v>400.68</v>
      </c>
      <c r="BM134" s="455">
        <v>1</v>
      </c>
      <c r="BN134" s="369">
        <f t="shared" si="170"/>
        <v>0.13477088948787061</v>
      </c>
      <c r="BO134" s="371">
        <f t="shared" si="171"/>
        <v>6.42</v>
      </c>
      <c r="BP134" s="480">
        <v>0.13</v>
      </c>
      <c r="BQ134" s="501"/>
      <c r="BR134" s="503">
        <v>41726</v>
      </c>
      <c r="BS134" s="372" t="str">
        <f t="shared" si="107"/>
        <v>To be realised</v>
      </c>
      <c r="BT134" s="493">
        <v>166</v>
      </c>
      <c r="BU134" s="493">
        <v>3</v>
      </c>
      <c r="BV134" s="373">
        <f t="shared" si="172"/>
        <v>169</v>
      </c>
      <c r="BW134" s="374">
        <f t="shared" si="173"/>
        <v>0</v>
      </c>
      <c r="BX134" s="366">
        <f t="shared" si="174"/>
        <v>0</v>
      </c>
      <c r="BY134" s="387">
        <f t="shared" si="108"/>
        <v>12</v>
      </c>
      <c r="BZ134" s="505"/>
      <c r="CA134" s="480">
        <v>0.2</v>
      </c>
      <c r="CB134" s="389">
        <f t="shared" si="175"/>
        <v>148.4</v>
      </c>
      <c r="CC134" s="505">
        <v>7</v>
      </c>
      <c r="CD134" s="375" t="str">
        <f t="shared" si="176"/>
        <v>Excellent coverage</v>
      </c>
      <c r="CE134" s="474">
        <v>0</v>
      </c>
      <c r="CF134" s="513" t="s">
        <v>293</v>
      </c>
      <c r="CG134" s="512"/>
    </row>
    <row r="135" spans="2:85" s="40" customFormat="1" ht="30.75" customHeight="1" x14ac:dyDescent="0.25">
      <c r="B135" s="449" t="s">
        <v>182</v>
      </c>
      <c r="C135" s="450" t="s">
        <v>549</v>
      </c>
      <c r="D135" s="451" t="s">
        <v>266</v>
      </c>
      <c r="E135" s="450" t="s">
        <v>617</v>
      </c>
      <c r="F135" s="451">
        <v>97.609832999999995</v>
      </c>
      <c r="G135" s="451">
        <v>24.002433</v>
      </c>
      <c r="H135" s="451" t="s">
        <v>449</v>
      </c>
      <c r="I135" s="451" t="s">
        <v>222</v>
      </c>
      <c r="J135" s="455">
        <v>207</v>
      </c>
      <c r="K135" s="455">
        <v>878</v>
      </c>
      <c r="L135" s="455">
        <v>878</v>
      </c>
      <c r="M135" s="362" t="str">
        <f t="shared" si="142"/>
        <v>2. Medium</v>
      </c>
      <c r="N135" s="701" t="s">
        <v>411</v>
      </c>
      <c r="O135" s="456" t="s">
        <v>278</v>
      </c>
      <c r="P135" s="463" t="s">
        <v>285</v>
      </c>
      <c r="Q135" s="382" t="str">
        <f t="shared" si="147"/>
        <v>Covered</v>
      </c>
      <c r="R135" s="464">
        <v>42247</v>
      </c>
      <c r="S135" s="465" t="s">
        <v>253</v>
      </c>
      <c r="T135" s="380" t="str">
        <f t="shared" si="148"/>
        <v>Documented</v>
      </c>
      <c r="U135" s="470">
        <v>0</v>
      </c>
      <c r="V135" s="455">
        <v>0</v>
      </c>
      <c r="W135" s="471" t="s">
        <v>19</v>
      </c>
      <c r="X135" s="470">
        <v>3</v>
      </c>
      <c r="Y135" s="455">
        <v>0</v>
      </c>
      <c r="Z135" s="471">
        <v>38340</v>
      </c>
      <c r="AA135" s="479">
        <v>0</v>
      </c>
      <c r="AB135" s="480">
        <v>0.45</v>
      </c>
      <c r="AC135" s="385">
        <f t="shared" si="149"/>
        <v>1</v>
      </c>
      <c r="AD135" s="364">
        <f t="shared" si="150"/>
        <v>878</v>
      </c>
      <c r="AE135" s="365">
        <f t="shared" si="151"/>
        <v>1</v>
      </c>
      <c r="AF135" s="366">
        <f t="shared" si="152"/>
        <v>878</v>
      </c>
      <c r="AG135" s="363">
        <f t="shared" si="143"/>
        <v>1</v>
      </c>
      <c r="AH135" s="366">
        <f t="shared" si="153"/>
        <v>878</v>
      </c>
      <c r="AI135" s="367" t="str">
        <f t="shared" si="144"/>
        <v>80-100%</v>
      </c>
      <c r="AJ135" s="363">
        <f t="shared" si="145"/>
        <v>0</v>
      </c>
      <c r="AK135" s="368">
        <f t="shared" si="154"/>
        <v>0</v>
      </c>
      <c r="AL135" s="366">
        <f t="shared" si="155"/>
        <v>0</v>
      </c>
      <c r="AM135" s="366">
        <f t="shared" si="156"/>
        <v>93.15</v>
      </c>
      <c r="AN135" s="366">
        <f t="shared" si="157"/>
        <v>0</v>
      </c>
      <c r="AO135" s="488">
        <v>1</v>
      </c>
      <c r="AP135" s="486">
        <f t="shared" si="158"/>
        <v>878</v>
      </c>
      <c r="AQ135" s="480"/>
      <c r="AR135" s="733">
        <v>0</v>
      </c>
      <c r="AS135" s="455">
        <v>21</v>
      </c>
      <c r="AT135" s="455">
        <v>31</v>
      </c>
      <c r="AU135" s="455" t="s">
        <v>89</v>
      </c>
      <c r="AV135" s="369">
        <f t="shared" si="159"/>
        <v>1</v>
      </c>
      <c r="AW135" s="366">
        <f t="shared" si="160"/>
        <v>878</v>
      </c>
      <c r="AX135" s="369">
        <f t="shared" si="146"/>
        <v>0.29384965831435084</v>
      </c>
      <c r="AY135" s="366">
        <f t="shared" si="161"/>
        <v>258.00000000000006</v>
      </c>
      <c r="AZ135" s="369">
        <f t="shared" si="162"/>
        <v>0.70615034168564916</v>
      </c>
      <c r="BA135" s="366">
        <f t="shared" si="163"/>
        <v>620</v>
      </c>
      <c r="BB135" s="493">
        <v>0</v>
      </c>
      <c r="BC135" s="488">
        <v>1</v>
      </c>
      <c r="BD135" s="370">
        <f t="shared" si="164"/>
        <v>878</v>
      </c>
      <c r="BE135" s="371">
        <f t="shared" si="165"/>
        <v>12.899999999999999</v>
      </c>
      <c r="BF135" s="455">
        <v>3</v>
      </c>
      <c r="BG135" s="455" t="s">
        <v>291</v>
      </c>
      <c r="BH135" s="369">
        <f t="shared" si="166"/>
        <v>0.34168564920273348</v>
      </c>
      <c r="BI135" s="366">
        <f t="shared" si="167"/>
        <v>300</v>
      </c>
      <c r="BJ135" s="371">
        <f t="shared" si="168"/>
        <v>5.7799999999999994</v>
      </c>
      <c r="BK135" s="494">
        <v>0.34</v>
      </c>
      <c r="BL135" s="366">
        <f t="shared" si="169"/>
        <v>298.52000000000004</v>
      </c>
      <c r="BM135" s="455">
        <v>3</v>
      </c>
      <c r="BN135" s="369">
        <f t="shared" si="170"/>
        <v>0.34168564920273348</v>
      </c>
      <c r="BO135" s="371">
        <f t="shared" si="171"/>
        <v>5.7799999999999994</v>
      </c>
      <c r="BP135" s="480">
        <v>0.34</v>
      </c>
      <c r="BQ135" s="501"/>
      <c r="BR135" s="503">
        <v>41996</v>
      </c>
      <c r="BS135" s="372">
        <f t="shared" si="107"/>
        <v>42361</v>
      </c>
      <c r="BT135" s="493">
        <v>206</v>
      </c>
      <c r="BU135" s="493">
        <v>0</v>
      </c>
      <c r="BV135" s="373">
        <f t="shared" si="172"/>
        <v>1</v>
      </c>
      <c r="BW135" s="374">
        <f t="shared" si="173"/>
        <v>0.99516908212560384</v>
      </c>
      <c r="BX135" s="366">
        <f t="shared" si="174"/>
        <v>873.75845410628017</v>
      </c>
      <c r="BY135" s="387">
        <f t="shared" si="108"/>
        <v>6</v>
      </c>
      <c r="BZ135" s="505"/>
      <c r="CA135" s="480">
        <v>0.25</v>
      </c>
      <c r="CB135" s="389">
        <f t="shared" si="175"/>
        <v>219.5</v>
      </c>
      <c r="CC135" s="505">
        <v>12</v>
      </c>
      <c r="CD135" s="375" t="str">
        <f t="shared" si="176"/>
        <v>Excellent coverage</v>
      </c>
      <c r="CE135" s="474">
        <v>0</v>
      </c>
      <c r="CF135" s="513" t="s">
        <v>66</v>
      </c>
      <c r="CG135" s="512"/>
    </row>
    <row r="136" spans="2:85" s="40" customFormat="1" ht="30.75" customHeight="1" x14ac:dyDescent="0.25">
      <c r="B136" s="449" t="s">
        <v>182</v>
      </c>
      <c r="C136" s="450" t="s">
        <v>548</v>
      </c>
      <c r="D136" s="451" t="s">
        <v>266</v>
      </c>
      <c r="E136" s="450" t="s">
        <v>726</v>
      </c>
      <c r="F136" s="451">
        <v>97.602490000000003</v>
      </c>
      <c r="G136" s="451">
        <v>24.000039999999998</v>
      </c>
      <c r="H136" s="451" t="s">
        <v>449</v>
      </c>
      <c r="I136" s="451" t="s">
        <v>222</v>
      </c>
      <c r="J136" s="455">
        <v>53</v>
      </c>
      <c r="K136" s="455">
        <v>201</v>
      </c>
      <c r="L136" s="455">
        <v>201</v>
      </c>
      <c r="M136" s="362" t="str">
        <f t="shared" si="142"/>
        <v>2. Medium</v>
      </c>
      <c r="N136" s="701" t="s">
        <v>411</v>
      </c>
      <c r="O136" s="456"/>
      <c r="P136" s="463" t="s">
        <v>285</v>
      </c>
      <c r="Q136" s="382" t="str">
        <f t="shared" si="147"/>
        <v>Covered</v>
      </c>
      <c r="R136" s="464">
        <v>42247</v>
      </c>
      <c r="S136" s="465" t="s">
        <v>253</v>
      </c>
      <c r="T136" s="380" t="str">
        <f t="shared" si="148"/>
        <v>Documented</v>
      </c>
      <c r="U136" s="470">
        <v>0</v>
      </c>
      <c r="V136" s="455">
        <v>0</v>
      </c>
      <c r="W136" s="471" t="s">
        <v>19</v>
      </c>
      <c r="X136" s="470">
        <v>1</v>
      </c>
      <c r="Y136" s="455">
        <v>0</v>
      </c>
      <c r="Z136" s="471">
        <v>10000</v>
      </c>
      <c r="AA136" s="479">
        <v>0</v>
      </c>
      <c r="AB136" s="480">
        <v>0</v>
      </c>
      <c r="AC136" s="385">
        <f t="shared" si="149"/>
        <v>1</v>
      </c>
      <c r="AD136" s="364">
        <f t="shared" si="150"/>
        <v>201</v>
      </c>
      <c r="AE136" s="365">
        <f t="shared" si="151"/>
        <v>1</v>
      </c>
      <c r="AF136" s="366">
        <f t="shared" si="152"/>
        <v>201</v>
      </c>
      <c r="AG136" s="363">
        <f t="shared" si="143"/>
        <v>1</v>
      </c>
      <c r="AH136" s="366">
        <f t="shared" si="153"/>
        <v>201</v>
      </c>
      <c r="AI136" s="367" t="str">
        <f t="shared" si="144"/>
        <v>80-100%</v>
      </c>
      <c r="AJ136" s="363">
        <f t="shared" si="145"/>
        <v>0</v>
      </c>
      <c r="AK136" s="368">
        <f t="shared" si="154"/>
        <v>0</v>
      </c>
      <c r="AL136" s="366">
        <f t="shared" si="155"/>
        <v>0</v>
      </c>
      <c r="AM136" s="366">
        <f t="shared" si="156"/>
        <v>0</v>
      </c>
      <c r="AN136" s="366">
        <f t="shared" si="157"/>
        <v>0</v>
      </c>
      <c r="AO136" s="488">
        <v>1</v>
      </c>
      <c r="AP136" s="486">
        <f t="shared" si="158"/>
        <v>201</v>
      </c>
      <c r="AQ136" s="480"/>
      <c r="AR136" s="733">
        <v>0</v>
      </c>
      <c r="AS136" s="455">
        <v>0</v>
      </c>
      <c r="AT136" s="455">
        <v>20</v>
      </c>
      <c r="AU136" s="455" t="s">
        <v>89</v>
      </c>
      <c r="AV136" s="369">
        <f t="shared" si="159"/>
        <v>1</v>
      </c>
      <c r="AW136" s="366">
        <f t="shared" si="160"/>
        <v>201</v>
      </c>
      <c r="AX136" s="369">
        <f t="shared" si="146"/>
        <v>0</v>
      </c>
      <c r="AY136" s="366">
        <f t="shared" si="161"/>
        <v>0</v>
      </c>
      <c r="AZ136" s="369">
        <f t="shared" si="162"/>
        <v>1</v>
      </c>
      <c r="BA136" s="366">
        <f t="shared" si="163"/>
        <v>201</v>
      </c>
      <c r="BB136" s="493">
        <v>0</v>
      </c>
      <c r="BC136" s="488">
        <v>1</v>
      </c>
      <c r="BD136" s="370">
        <f t="shared" si="164"/>
        <v>201</v>
      </c>
      <c r="BE136" s="371">
        <f t="shared" si="165"/>
        <v>0</v>
      </c>
      <c r="BF136" s="455">
        <v>4</v>
      </c>
      <c r="BG136" s="455" t="s">
        <v>291</v>
      </c>
      <c r="BH136" s="369">
        <f t="shared" si="166"/>
        <v>1</v>
      </c>
      <c r="BI136" s="366">
        <f t="shared" si="167"/>
        <v>201</v>
      </c>
      <c r="BJ136" s="371">
        <f t="shared" si="168"/>
        <v>0</v>
      </c>
      <c r="BK136" s="494">
        <v>1</v>
      </c>
      <c r="BL136" s="366">
        <f t="shared" si="169"/>
        <v>201</v>
      </c>
      <c r="BM136" s="455">
        <v>5</v>
      </c>
      <c r="BN136" s="369">
        <f t="shared" si="170"/>
        <v>1</v>
      </c>
      <c r="BO136" s="371">
        <f t="shared" si="171"/>
        <v>0</v>
      </c>
      <c r="BP136" s="480">
        <v>1</v>
      </c>
      <c r="BQ136" s="501" t="s">
        <v>731</v>
      </c>
      <c r="BR136" s="503">
        <v>42107</v>
      </c>
      <c r="BS136" s="372">
        <f t="shared" si="107"/>
        <v>42472</v>
      </c>
      <c r="BT136" s="493">
        <v>47</v>
      </c>
      <c r="BU136" s="493">
        <v>0</v>
      </c>
      <c r="BV136" s="373">
        <f t="shared" si="172"/>
        <v>6</v>
      </c>
      <c r="BW136" s="374">
        <f t="shared" si="173"/>
        <v>0.8867924528301887</v>
      </c>
      <c r="BX136" s="366">
        <f t="shared" si="174"/>
        <v>178.24528301886792</v>
      </c>
      <c r="BY136" s="387">
        <f t="shared" si="108"/>
        <v>3</v>
      </c>
      <c r="BZ136" s="505"/>
      <c r="CA136" s="480">
        <v>0</v>
      </c>
      <c r="CB136" s="389">
        <f t="shared" si="175"/>
        <v>0</v>
      </c>
      <c r="CC136" s="505">
        <v>3</v>
      </c>
      <c r="CD136" s="375" t="str">
        <f t="shared" si="176"/>
        <v>Excellent coverage</v>
      </c>
      <c r="CE136" s="474">
        <v>0</v>
      </c>
      <c r="CF136" s="513" t="s">
        <v>293</v>
      </c>
      <c r="CG136" s="512"/>
    </row>
    <row r="137" spans="2:85" s="40" customFormat="1" ht="30.75" customHeight="1" x14ac:dyDescent="0.25">
      <c r="B137" s="449" t="s">
        <v>182</v>
      </c>
      <c r="C137" s="450" t="s">
        <v>550</v>
      </c>
      <c r="D137" s="451" t="s">
        <v>266</v>
      </c>
      <c r="E137" s="450" t="s">
        <v>867</v>
      </c>
      <c r="F137" s="451">
        <v>97.625617000000005</v>
      </c>
      <c r="G137" s="451">
        <v>24.056132999999999</v>
      </c>
      <c r="H137" s="451" t="s">
        <v>449</v>
      </c>
      <c r="I137" s="451" t="s">
        <v>222</v>
      </c>
      <c r="J137" s="455">
        <v>545</v>
      </c>
      <c r="K137" s="455">
        <v>2561</v>
      </c>
      <c r="L137" s="455">
        <v>2561</v>
      </c>
      <c r="M137" s="362" t="str">
        <f t="shared" si="142"/>
        <v>4. Big</v>
      </c>
      <c r="N137" s="701" t="s">
        <v>411</v>
      </c>
      <c r="O137" s="456" t="s">
        <v>231</v>
      </c>
      <c r="P137" s="463" t="s">
        <v>285</v>
      </c>
      <c r="Q137" s="382" t="str">
        <f t="shared" si="147"/>
        <v>Covered</v>
      </c>
      <c r="R137" s="464">
        <v>42247</v>
      </c>
      <c r="S137" s="465" t="s">
        <v>253</v>
      </c>
      <c r="T137" s="380" t="str">
        <f t="shared" si="148"/>
        <v>Documented</v>
      </c>
      <c r="U137" s="470">
        <v>0</v>
      </c>
      <c r="V137" s="455">
        <v>0</v>
      </c>
      <c r="W137" s="471" t="s">
        <v>19</v>
      </c>
      <c r="X137" s="470">
        <v>2</v>
      </c>
      <c r="Y137" s="455">
        <v>0</v>
      </c>
      <c r="Z137" s="471">
        <v>128565</v>
      </c>
      <c r="AA137" s="479">
        <v>0</v>
      </c>
      <c r="AB137" s="480">
        <v>0.5</v>
      </c>
      <c r="AC137" s="385">
        <f t="shared" si="149"/>
        <v>1</v>
      </c>
      <c r="AD137" s="364">
        <f t="shared" si="150"/>
        <v>2561</v>
      </c>
      <c r="AE137" s="365">
        <f t="shared" si="151"/>
        <v>1</v>
      </c>
      <c r="AF137" s="366">
        <f t="shared" si="152"/>
        <v>2561</v>
      </c>
      <c r="AG137" s="363">
        <f t="shared" si="143"/>
        <v>1</v>
      </c>
      <c r="AH137" s="366">
        <f t="shared" si="153"/>
        <v>2561</v>
      </c>
      <c r="AI137" s="367" t="str">
        <f t="shared" si="144"/>
        <v>80-100%</v>
      </c>
      <c r="AJ137" s="363">
        <f t="shared" si="145"/>
        <v>0</v>
      </c>
      <c r="AK137" s="368">
        <f t="shared" si="154"/>
        <v>0</v>
      </c>
      <c r="AL137" s="366">
        <f t="shared" si="155"/>
        <v>4.4024999999999999</v>
      </c>
      <c r="AM137" s="366">
        <f t="shared" si="156"/>
        <v>272.5</v>
      </c>
      <c r="AN137" s="366">
        <f t="shared" si="157"/>
        <v>0</v>
      </c>
      <c r="AO137" s="488">
        <v>1</v>
      </c>
      <c r="AP137" s="486">
        <f t="shared" si="158"/>
        <v>2561</v>
      </c>
      <c r="AQ137" s="480"/>
      <c r="AR137" s="733">
        <v>0</v>
      </c>
      <c r="AS137" s="455">
        <v>20</v>
      </c>
      <c r="AT137" s="455">
        <v>72</v>
      </c>
      <c r="AU137" s="455" t="s">
        <v>89</v>
      </c>
      <c r="AV137" s="369">
        <f t="shared" si="159"/>
        <v>0.71846934791097228</v>
      </c>
      <c r="AW137" s="366">
        <f t="shared" si="160"/>
        <v>1840</v>
      </c>
      <c r="AX137" s="369">
        <f t="shared" si="146"/>
        <v>0.15618898867629827</v>
      </c>
      <c r="AY137" s="366">
        <f t="shared" si="161"/>
        <v>399.99999999999989</v>
      </c>
      <c r="AZ137" s="369">
        <f t="shared" si="162"/>
        <v>0.56228035923467401</v>
      </c>
      <c r="BA137" s="366">
        <f t="shared" si="163"/>
        <v>1440.0000000000002</v>
      </c>
      <c r="BB137" s="493">
        <v>1</v>
      </c>
      <c r="BC137" s="488">
        <v>0.72</v>
      </c>
      <c r="BD137" s="370">
        <f t="shared" si="164"/>
        <v>1843.9199999999998</v>
      </c>
      <c r="BE137" s="371">
        <f t="shared" si="165"/>
        <v>57.050000000000011</v>
      </c>
      <c r="BF137" s="455">
        <v>1</v>
      </c>
      <c r="BG137" s="455" t="s">
        <v>89</v>
      </c>
      <c r="BH137" s="369">
        <f t="shared" si="166"/>
        <v>3.9047247169074581E-2</v>
      </c>
      <c r="BI137" s="366">
        <f t="shared" si="167"/>
        <v>100</v>
      </c>
      <c r="BJ137" s="371">
        <f t="shared" si="168"/>
        <v>24.61</v>
      </c>
      <c r="BK137" s="494">
        <v>0.04</v>
      </c>
      <c r="BL137" s="366">
        <f t="shared" si="169"/>
        <v>102.44</v>
      </c>
      <c r="BM137" s="455">
        <v>0</v>
      </c>
      <c r="BN137" s="369">
        <f t="shared" si="170"/>
        <v>0</v>
      </c>
      <c r="BO137" s="371">
        <f t="shared" si="171"/>
        <v>25.61</v>
      </c>
      <c r="BP137" s="480">
        <v>0</v>
      </c>
      <c r="BQ137" s="501"/>
      <c r="BR137" s="503">
        <v>41996</v>
      </c>
      <c r="BS137" s="372">
        <f t="shared" si="107"/>
        <v>42361</v>
      </c>
      <c r="BT137" s="493">
        <v>563</v>
      </c>
      <c r="BU137" s="493">
        <v>0</v>
      </c>
      <c r="BV137" s="373">
        <f t="shared" si="172"/>
        <v>0</v>
      </c>
      <c r="BW137" s="374">
        <f t="shared" si="173"/>
        <v>1</v>
      </c>
      <c r="BX137" s="366">
        <f t="shared" si="174"/>
        <v>2561</v>
      </c>
      <c r="BY137" s="387">
        <f t="shared" si="108"/>
        <v>6</v>
      </c>
      <c r="BZ137" s="505"/>
      <c r="CA137" s="480">
        <v>0.25</v>
      </c>
      <c r="CB137" s="389">
        <f t="shared" si="175"/>
        <v>640.25</v>
      </c>
      <c r="CC137" s="505">
        <v>25</v>
      </c>
      <c r="CD137" s="375" t="str">
        <f t="shared" si="176"/>
        <v>Excellent coverage</v>
      </c>
      <c r="CE137" s="474">
        <v>0</v>
      </c>
      <c r="CF137" s="513" t="s">
        <v>293</v>
      </c>
      <c r="CG137" s="512"/>
    </row>
    <row r="138" spans="2:85" s="40" customFormat="1" ht="30.75" customHeight="1" x14ac:dyDescent="0.25">
      <c r="B138" s="449" t="s">
        <v>184</v>
      </c>
      <c r="C138" s="450" t="s">
        <v>699</v>
      </c>
      <c r="D138" s="451" t="s">
        <v>266</v>
      </c>
      <c r="E138" s="450" t="s">
        <v>187</v>
      </c>
      <c r="F138" s="451">
        <v>97.669366999999994</v>
      </c>
      <c r="G138" s="451">
        <v>24.378167000000001</v>
      </c>
      <c r="H138" s="451" t="s">
        <v>449</v>
      </c>
      <c r="I138" s="451" t="s">
        <v>222</v>
      </c>
      <c r="J138" s="455">
        <v>369</v>
      </c>
      <c r="K138" s="455">
        <v>1633</v>
      </c>
      <c r="L138" s="455">
        <v>1633</v>
      </c>
      <c r="M138" s="362" t="str">
        <f t="shared" si="142"/>
        <v>3. Large</v>
      </c>
      <c r="N138" s="701" t="s">
        <v>411</v>
      </c>
      <c r="O138" s="456" t="s">
        <v>231</v>
      </c>
      <c r="P138" s="463" t="s">
        <v>285</v>
      </c>
      <c r="Q138" s="382" t="str">
        <f t="shared" si="147"/>
        <v>Covered</v>
      </c>
      <c r="R138" s="464">
        <v>42247</v>
      </c>
      <c r="S138" s="465" t="s">
        <v>253</v>
      </c>
      <c r="T138" s="380" t="str">
        <f t="shared" si="148"/>
        <v>Documented</v>
      </c>
      <c r="U138" s="470">
        <v>0</v>
      </c>
      <c r="V138" s="455">
        <v>0</v>
      </c>
      <c r="W138" s="471" t="s">
        <v>19</v>
      </c>
      <c r="X138" s="470">
        <v>0</v>
      </c>
      <c r="Y138" s="455">
        <v>0</v>
      </c>
      <c r="Z138" s="471">
        <v>216000</v>
      </c>
      <c r="AA138" s="479">
        <v>0</v>
      </c>
      <c r="AB138" s="480">
        <v>1</v>
      </c>
      <c r="AC138" s="385">
        <f t="shared" si="149"/>
        <v>1</v>
      </c>
      <c r="AD138" s="364">
        <f t="shared" si="150"/>
        <v>1633</v>
      </c>
      <c r="AE138" s="365">
        <f t="shared" si="151"/>
        <v>1</v>
      </c>
      <c r="AF138" s="366">
        <f t="shared" si="152"/>
        <v>1633</v>
      </c>
      <c r="AG138" s="363">
        <f t="shared" si="143"/>
        <v>1</v>
      </c>
      <c r="AH138" s="366">
        <f t="shared" si="153"/>
        <v>1633</v>
      </c>
      <c r="AI138" s="367" t="str">
        <f t="shared" si="144"/>
        <v>80-100%</v>
      </c>
      <c r="AJ138" s="363">
        <f t="shared" si="145"/>
        <v>0</v>
      </c>
      <c r="AK138" s="368">
        <f t="shared" si="154"/>
        <v>0</v>
      </c>
      <c r="AL138" s="366">
        <f t="shared" si="155"/>
        <v>4.0824999999999996</v>
      </c>
      <c r="AM138" s="366">
        <f t="shared" si="156"/>
        <v>369</v>
      </c>
      <c r="AN138" s="366">
        <f t="shared" si="157"/>
        <v>0</v>
      </c>
      <c r="AO138" s="488">
        <v>1</v>
      </c>
      <c r="AP138" s="486">
        <f t="shared" si="158"/>
        <v>1633</v>
      </c>
      <c r="AQ138" s="480"/>
      <c r="AR138" s="733">
        <v>0</v>
      </c>
      <c r="AS138" s="455">
        <v>50</v>
      </c>
      <c r="AT138" s="455">
        <v>54</v>
      </c>
      <c r="AU138" s="455" t="s">
        <v>89</v>
      </c>
      <c r="AV138" s="369">
        <f t="shared" si="159"/>
        <v>1</v>
      </c>
      <c r="AW138" s="366">
        <f t="shared" si="160"/>
        <v>1633</v>
      </c>
      <c r="AX138" s="369">
        <f t="shared" si="146"/>
        <v>0.33864053888548684</v>
      </c>
      <c r="AY138" s="366">
        <f t="shared" si="161"/>
        <v>553</v>
      </c>
      <c r="AZ138" s="369">
        <f t="shared" si="162"/>
        <v>0.66135946111451316</v>
      </c>
      <c r="BA138" s="366">
        <f t="shared" si="163"/>
        <v>1080</v>
      </c>
      <c r="BB138" s="493">
        <v>18</v>
      </c>
      <c r="BC138" s="488">
        <v>1</v>
      </c>
      <c r="BD138" s="370">
        <f t="shared" si="164"/>
        <v>1633</v>
      </c>
      <c r="BE138" s="371">
        <f t="shared" si="165"/>
        <v>45.650000000000006</v>
      </c>
      <c r="BF138" s="455">
        <v>7</v>
      </c>
      <c r="BG138" s="455" t="s">
        <v>89</v>
      </c>
      <c r="BH138" s="369">
        <f t="shared" si="166"/>
        <v>0.42865890998162892</v>
      </c>
      <c r="BI138" s="366">
        <f t="shared" si="167"/>
        <v>700</v>
      </c>
      <c r="BJ138" s="371">
        <f t="shared" si="168"/>
        <v>9.3299999999999983</v>
      </c>
      <c r="BK138" s="494">
        <v>0.43</v>
      </c>
      <c r="BL138" s="366">
        <f t="shared" si="169"/>
        <v>702.18999999999994</v>
      </c>
      <c r="BM138" s="455">
        <v>10</v>
      </c>
      <c r="BN138" s="369">
        <f t="shared" si="170"/>
        <v>0.61236987140232702</v>
      </c>
      <c r="BO138" s="371">
        <f t="shared" si="171"/>
        <v>6.3299999999999983</v>
      </c>
      <c r="BP138" s="480">
        <v>0.85</v>
      </c>
      <c r="BQ138" s="501"/>
      <c r="BR138" s="503">
        <v>41996</v>
      </c>
      <c r="BS138" s="372">
        <f t="shared" si="107"/>
        <v>42361</v>
      </c>
      <c r="BT138" s="493">
        <v>378</v>
      </c>
      <c r="BU138" s="493">
        <v>0</v>
      </c>
      <c r="BV138" s="373">
        <f t="shared" si="172"/>
        <v>0</v>
      </c>
      <c r="BW138" s="374">
        <f t="shared" si="173"/>
        <v>1</v>
      </c>
      <c r="BX138" s="366">
        <f t="shared" si="174"/>
        <v>1633</v>
      </c>
      <c r="BY138" s="387">
        <f t="shared" si="108"/>
        <v>6</v>
      </c>
      <c r="BZ138" s="505"/>
      <c r="CA138" s="480">
        <v>0.65</v>
      </c>
      <c r="CB138" s="389">
        <f t="shared" si="175"/>
        <v>1061.45</v>
      </c>
      <c r="CC138" s="505">
        <v>15</v>
      </c>
      <c r="CD138" s="375" t="str">
        <f t="shared" si="176"/>
        <v>Excellent coverage</v>
      </c>
      <c r="CE138" s="474">
        <v>0</v>
      </c>
      <c r="CF138" s="513" t="s">
        <v>293</v>
      </c>
      <c r="CG138" s="512"/>
    </row>
    <row r="139" spans="2:85" s="40" customFormat="1" ht="30.75" customHeight="1" x14ac:dyDescent="0.2">
      <c r="B139" s="449" t="s">
        <v>184</v>
      </c>
      <c r="C139" s="450" t="s">
        <v>700</v>
      </c>
      <c r="D139" s="451" t="s">
        <v>266</v>
      </c>
      <c r="E139" s="450" t="s">
        <v>620</v>
      </c>
      <c r="F139" s="451">
        <v>97.751050000000006</v>
      </c>
      <c r="G139" s="451">
        <v>24.279910000000001</v>
      </c>
      <c r="H139" s="451" t="s">
        <v>449</v>
      </c>
      <c r="I139" s="451" t="s">
        <v>222</v>
      </c>
      <c r="J139" s="455">
        <v>128</v>
      </c>
      <c r="K139" s="455">
        <v>538</v>
      </c>
      <c r="L139" s="455">
        <v>538</v>
      </c>
      <c r="M139" s="362" t="str">
        <f t="shared" si="142"/>
        <v>2. Medium</v>
      </c>
      <c r="N139" s="701" t="s">
        <v>411</v>
      </c>
      <c r="O139" s="456" t="s">
        <v>231</v>
      </c>
      <c r="P139" s="463" t="s">
        <v>285</v>
      </c>
      <c r="Q139" s="382" t="str">
        <f t="shared" si="147"/>
        <v>Covered</v>
      </c>
      <c r="R139" s="464">
        <v>42247</v>
      </c>
      <c r="S139" s="465" t="s">
        <v>253</v>
      </c>
      <c r="T139" s="380" t="str">
        <f t="shared" si="148"/>
        <v>Documented</v>
      </c>
      <c r="U139" s="470">
        <v>0</v>
      </c>
      <c r="V139" s="455">
        <v>0</v>
      </c>
      <c r="W139" s="471" t="s">
        <v>19</v>
      </c>
      <c r="X139" s="470">
        <v>0</v>
      </c>
      <c r="Y139" s="455">
        <v>0</v>
      </c>
      <c r="Z139" s="471">
        <v>94000</v>
      </c>
      <c r="AA139" s="479">
        <v>0</v>
      </c>
      <c r="AB139" s="480">
        <v>0.5</v>
      </c>
      <c r="AC139" s="385">
        <f t="shared" si="149"/>
        <v>1</v>
      </c>
      <c r="AD139" s="364">
        <f t="shared" si="150"/>
        <v>538</v>
      </c>
      <c r="AE139" s="365">
        <f t="shared" si="151"/>
        <v>1</v>
      </c>
      <c r="AF139" s="366">
        <f t="shared" si="152"/>
        <v>538</v>
      </c>
      <c r="AG139" s="363">
        <f t="shared" si="143"/>
        <v>1</v>
      </c>
      <c r="AH139" s="366">
        <f t="shared" si="153"/>
        <v>538</v>
      </c>
      <c r="AI139" s="367" t="str">
        <f t="shared" si="144"/>
        <v>80-100%</v>
      </c>
      <c r="AJ139" s="363">
        <f t="shared" si="145"/>
        <v>0</v>
      </c>
      <c r="AK139" s="368">
        <f t="shared" si="154"/>
        <v>0</v>
      </c>
      <c r="AL139" s="366">
        <f t="shared" si="155"/>
        <v>1.345</v>
      </c>
      <c r="AM139" s="366">
        <f t="shared" si="156"/>
        <v>64</v>
      </c>
      <c r="AN139" s="366">
        <f t="shared" si="157"/>
        <v>0</v>
      </c>
      <c r="AO139" s="488">
        <v>1</v>
      </c>
      <c r="AP139" s="486">
        <f t="shared" si="158"/>
        <v>538</v>
      </c>
      <c r="AQ139" s="480"/>
      <c r="AR139" s="733">
        <v>63</v>
      </c>
      <c r="AS139" s="455">
        <v>10</v>
      </c>
      <c r="AT139" s="455">
        <v>30</v>
      </c>
      <c r="AU139" s="455" t="s">
        <v>291</v>
      </c>
      <c r="AV139" s="369">
        <f t="shared" si="159"/>
        <v>1</v>
      </c>
      <c r="AW139" s="366">
        <f t="shared" si="160"/>
        <v>538</v>
      </c>
      <c r="AX139" s="369">
        <f t="shared" si="146"/>
        <v>0</v>
      </c>
      <c r="AY139" s="366">
        <f t="shared" si="161"/>
        <v>0</v>
      </c>
      <c r="AZ139" s="369">
        <f t="shared" si="162"/>
        <v>1</v>
      </c>
      <c r="BA139" s="366">
        <f t="shared" si="163"/>
        <v>538</v>
      </c>
      <c r="BB139" s="493">
        <v>0</v>
      </c>
      <c r="BC139" s="488">
        <v>1</v>
      </c>
      <c r="BD139" s="370">
        <f t="shared" si="164"/>
        <v>538</v>
      </c>
      <c r="BE139" s="371">
        <f t="shared" si="165"/>
        <v>0</v>
      </c>
      <c r="BF139" s="455">
        <v>4</v>
      </c>
      <c r="BG139" s="455" t="s">
        <v>292</v>
      </c>
      <c r="BH139" s="369">
        <f t="shared" si="166"/>
        <v>0.74349442379182151</v>
      </c>
      <c r="BI139" s="366">
        <f t="shared" si="167"/>
        <v>400</v>
      </c>
      <c r="BJ139" s="371">
        <f t="shared" si="168"/>
        <v>1.38</v>
      </c>
      <c r="BK139" s="494">
        <v>0.74</v>
      </c>
      <c r="BL139" s="366">
        <f t="shared" si="169"/>
        <v>398.12</v>
      </c>
      <c r="BM139" s="455">
        <v>16</v>
      </c>
      <c r="BN139" s="369">
        <f t="shared" si="170"/>
        <v>1</v>
      </c>
      <c r="BO139" s="371">
        <f t="shared" si="171"/>
        <v>0</v>
      </c>
      <c r="BP139" s="480">
        <v>1</v>
      </c>
      <c r="BQ139" s="501"/>
      <c r="BR139" s="503">
        <v>41996</v>
      </c>
      <c r="BS139" s="372">
        <f t="shared" si="107"/>
        <v>42361</v>
      </c>
      <c r="BT139" s="493">
        <v>228</v>
      </c>
      <c r="BU139" s="493">
        <v>0</v>
      </c>
      <c r="BV139" s="373">
        <f t="shared" si="172"/>
        <v>0</v>
      </c>
      <c r="BW139" s="374">
        <f t="shared" si="173"/>
        <v>1</v>
      </c>
      <c r="BX139" s="366">
        <f t="shared" si="174"/>
        <v>538</v>
      </c>
      <c r="BY139" s="387">
        <f t="shared" si="108"/>
        <v>6</v>
      </c>
      <c r="BZ139" s="505"/>
      <c r="CA139" s="480">
        <v>0.4</v>
      </c>
      <c r="CB139" s="389">
        <f t="shared" si="175"/>
        <v>215.20000000000002</v>
      </c>
      <c r="CC139" s="505">
        <v>14</v>
      </c>
      <c r="CD139" s="375" t="str">
        <f t="shared" si="176"/>
        <v>Excellent coverage</v>
      </c>
      <c r="CE139" s="474">
        <v>0</v>
      </c>
      <c r="CF139" s="513" t="s">
        <v>293</v>
      </c>
      <c r="CG139" s="511"/>
    </row>
    <row r="140" spans="2:85" s="40" customFormat="1" ht="30.75" customHeight="1" x14ac:dyDescent="0.2">
      <c r="B140" s="449" t="s">
        <v>184</v>
      </c>
      <c r="C140" s="450" t="s">
        <v>700</v>
      </c>
      <c r="D140" s="451" t="s">
        <v>266</v>
      </c>
      <c r="E140" s="450" t="s">
        <v>621</v>
      </c>
      <c r="F140" s="451">
        <v>97.754009999999994</v>
      </c>
      <c r="G140" s="451">
        <v>24.275549999999999</v>
      </c>
      <c r="H140" s="451" t="s">
        <v>449</v>
      </c>
      <c r="I140" s="451" t="s">
        <v>222</v>
      </c>
      <c r="J140" s="455">
        <v>58</v>
      </c>
      <c r="K140" s="455">
        <v>251</v>
      </c>
      <c r="L140" s="455">
        <v>251</v>
      </c>
      <c r="M140" s="362" t="str">
        <f t="shared" si="142"/>
        <v>2. Medium</v>
      </c>
      <c r="N140" s="701" t="s">
        <v>411</v>
      </c>
      <c r="O140" s="456" t="s">
        <v>231</v>
      </c>
      <c r="P140" s="463" t="s">
        <v>285</v>
      </c>
      <c r="Q140" s="382" t="str">
        <f t="shared" si="147"/>
        <v>Covered</v>
      </c>
      <c r="R140" s="464">
        <v>42247</v>
      </c>
      <c r="S140" s="465" t="s">
        <v>253</v>
      </c>
      <c r="T140" s="380" t="str">
        <f t="shared" si="148"/>
        <v>Documented</v>
      </c>
      <c r="U140" s="470">
        <v>0</v>
      </c>
      <c r="V140" s="455">
        <v>0</v>
      </c>
      <c r="W140" s="471" t="s">
        <v>19</v>
      </c>
      <c r="X140" s="470">
        <v>0</v>
      </c>
      <c r="Y140" s="455">
        <v>0</v>
      </c>
      <c r="Z140" s="471">
        <v>8640</v>
      </c>
      <c r="AA140" s="479">
        <v>0</v>
      </c>
      <c r="AB140" s="480">
        <v>0</v>
      </c>
      <c r="AC140" s="385">
        <f t="shared" si="149"/>
        <v>1</v>
      </c>
      <c r="AD140" s="364">
        <f t="shared" si="150"/>
        <v>251</v>
      </c>
      <c r="AE140" s="365">
        <f t="shared" si="151"/>
        <v>1</v>
      </c>
      <c r="AF140" s="366">
        <f t="shared" si="152"/>
        <v>251</v>
      </c>
      <c r="AG140" s="363">
        <f t="shared" si="143"/>
        <v>1</v>
      </c>
      <c r="AH140" s="366">
        <f t="shared" si="153"/>
        <v>251</v>
      </c>
      <c r="AI140" s="367" t="str">
        <f t="shared" si="144"/>
        <v>80-100%</v>
      </c>
      <c r="AJ140" s="363">
        <f t="shared" si="145"/>
        <v>0</v>
      </c>
      <c r="AK140" s="368">
        <f t="shared" si="154"/>
        <v>0</v>
      </c>
      <c r="AL140" s="366">
        <f t="shared" si="155"/>
        <v>0.62749999999999995</v>
      </c>
      <c r="AM140" s="366">
        <f t="shared" si="156"/>
        <v>0</v>
      </c>
      <c r="AN140" s="366">
        <f t="shared" si="157"/>
        <v>0</v>
      </c>
      <c r="AO140" s="488">
        <v>1</v>
      </c>
      <c r="AP140" s="486">
        <f t="shared" si="158"/>
        <v>251</v>
      </c>
      <c r="AQ140" s="480"/>
      <c r="AR140" s="733">
        <v>88</v>
      </c>
      <c r="AS140" s="455">
        <v>0</v>
      </c>
      <c r="AT140" s="455">
        <v>27</v>
      </c>
      <c r="AU140" s="455" t="s">
        <v>291</v>
      </c>
      <c r="AV140" s="369">
        <f t="shared" si="159"/>
        <v>1</v>
      </c>
      <c r="AW140" s="366">
        <f t="shared" si="160"/>
        <v>251</v>
      </c>
      <c r="AX140" s="369">
        <f t="shared" si="146"/>
        <v>0</v>
      </c>
      <c r="AY140" s="366">
        <f t="shared" si="161"/>
        <v>0</v>
      </c>
      <c r="AZ140" s="369">
        <f t="shared" si="162"/>
        <v>1</v>
      </c>
      <c r="BA140" s="366">
        <f t="shared" si="163"/>
        <v>251</v>
      </c>
      <c r="BB140" s="493">
        <v>0</v>
      </c>
      <c r="BC140" s="488">
        <v>1</v>
      </c>
      <c r="BD140" s="370">
        <f t="shared" si="164"/>
        <v>251</v>
      </c>
      <c r="BE140" s="371">
        <f t="shared" si="165"/>
        <v>0</v>
      </c>
      <c r="BF140" s="455">
        <v>1</v>
      </c>
      <c r="BG140" s="455" t="s">
        <v>89</v>
      </c>
      <c r="BH140" s="369">
        <f t="shared" si="166"/>
        <v>0.39840637450199201</v>
      </c>
      <c r="BI140" s="366">
        <f t="shared" si="167"/>
        <v>100</v>
      </c>
      <c r="BJ140" s="371">
        <f t="shared" si="168"/>
        <v>1.5099999999999998</v>
      </c>
      <c r="BK140" s="494">
        <v>0.4</v>
      </c>
      <c r="BL140" s="366">
        <f t="shared" si="169"/>
        <v>100.4</v>
      </c>
      <c r="BM140" s="455">
        <v>18</v>
      </c>
      <c r="BN140" s="369">
        <f t="shared" si="170"/>
        <v>1</v>
      </c>
      <c r="BO140" s="371">
        <f t="shared" si="171"/>
        <v>0</v>
      </c>
      <c r="BP140" s="480">
        <v>1</v>
      </c>
      <c r="BQ140" s="501"/>
      <c r="BR140" s="503">
        <v>41996</v>
      </c>
      <c r="BS140" s="372">
        <f t="shared" si="107"/>
        <v>42361</v>
      </c>
      <c r="BT140" s="493">
        <v>58</v>
      </c>
      <c r="BU140" s="493">
        <v>0</v>
      </c>
      <c r="BV140" s="373">
        <f t="shared" si="172"/>
        <v>0</v>
      </c>
      <c r="BW140" s="374">
        <f t="shared" si="173"/>
        <v>1</v>
      </c>
      <c r="BX140" s="366">
        <f t="shared" si="174"/>
        <v>251</v>
      </c>
      <c r="BY140" s="387">
        <f t="shared" si="108"/>
        <v>6</v>
      </c>
      <c r="BZ140" s="505"/>
      <c r="CA140" s="480">
        <v>0.2</v>
      </c>
      <c r="CB140" s="389">
        <f t="shared" si="175"/>
        <v>50.2</v>
      </c>
      <c r="CC140" s="505">
        <v>10</v>
      </c>
      <c r="CD140" s="375" t="str">
        <f t="shared" si="176"/>
        <v>Excellent coverage</v>
      </c>
      <c r="CE140" s="474">
        <v>0</v>
      </c>
      <c r="CF140" s="513" t="s">
        <v>293</v>
      </c>
      <c r="CG140" s="511"/>
    </row>
    <row r="141" spans="2:85" s="40" customFormat="1" ht="30.75" customHeight="1" x14ac:dyDescent="0.2">
      <c r="B141" s="449" t="s">
        <v>184</v>
      </c>
      <c r="C141" s="450" t="s">
        <v>700</v>
      </c>
      <c r="D141" s="451" t="s">
        <v>266</v>
      </c>
      <c r="E141" s="450" t="s">
        <v>622</v>
      </c>
      <c r="F141" s="451">
        <v>97.755750000000006</v>
      </c>
      <c r="G141" s="451">
        <v>24.273479999999999</v>
      </c>
      <c r="H141" s="451" t="s">
        <v>449</v>
      </c>
      <c r="I141" s="451" t="s">
        <v>222</v>
      </c>
      <c r="J141" s="455">
        <v>297</v>
      </c>
      <c r="K141" s="455">
        <v>1342</v>
      </c>
      <c r="L141" s="455">
        <v>1342</v>
      </c>
      <c r="M141" s="362" t="str">
        <f t="shared" si="142"/>
        <v>3. Large</v>
      </c>
      <c r="N141" s="701" t="s">
        <v>411</v>
      </c>
      <c r="O141" s="456" t="s">
        <v>231</v>
      </c>
      <c r="P141" s="463" t="s">
        <v>285</v>
      </c>
      <c r="Q141" s="382" t="str">
        <f t="shared" si="147"/>
        <v>Covered</v>
      </c>
      <c r="R141" s="464">
        <v>42247</v>
      </c>
      <c r="S141" s="465" t="s">
        <v>253</v>
      </c>
      <c r="T141" s="380" t="str">
        <f t="shared" si="148"/>
        <v>Documented</v>
      </c>
      <c r="U141" s="470">
        <v>0</v>
      </c>
      <c r="V141" s="455">
        <v>0</v>
      </c>
      <c r="W141" s="471" t="s">
        <v>19</v>
      </c>
      <c r="X141" s="470">
        <v>0</v>
      </c>
      <c r="Y141" s="455">
        <v>0</v>
      </c>
      <c r="Z141" s="471">
        <v>99540</v>
      </c>
      <c r="AA141" s="479">
        <v>0</v>
      </c>
      <c r="AB141" s="480">
        <v>0.5</v>
      </c>
      <c r="AC141" s="385">
        <f t="shared" si="149"/>
        <v>1</v>
      </c>
      <c r="AD141" s="364">
        <f t="shared" si="150"/>
        <v>1342</v>
      </c>
      <c r="AE141" s="365">
        <f t="shared" si="151"/>
        <v>1</v>
      </c>
      <c r="AF141" s="366">
        <f t="shared" si="152"/>
        <v>1342</v>
      </c>
      <c r="AG141" s="363">
        <f t="shared" si="143"/>
        <v>1</v>
      </c>
      <c r="AH141" s="366">
        <f t="shared" si="153"/>
        <v>1342</v>
      </c>
      <c r="AI141" s="367" t="str">
        <f t="shared" si="144"/>
        <v>80-100%</v>
      </c>
      <c r="AJ141" s="363">
        <f t="shared" si="145"/>
        <v>0</v>
      </c>
      <c r="AK141" s="368">
        <f t="shared" si="154"/>
        <v>0</v>
      </c>
      <c r="AL141" s="366">
        <f t="shared" si="155"/>
        <v>3.355</v>
      </c>
      <c r="AM141" s="366">
        <f t="shared" si="156"/>
        <v>148.5</v>
      </c>
      <c r="AN141" s="366">
        <f t="shared" si="157"/>
        <v>0</v>
      </c>
      <c r="AO141" s="488">
        <v>1</v>
      </c>
      <c r="AP141" s="486">
        <f t="shared" si="158"/>
        <v>1342</v>
      </c>
      <c r="AQ141" s="480" t="s">
        <v>872</v>
      </c>
      <c r="AR141" s="733">
        <v>0</v>
      </c>
      <c r="AS141" s="455">
        <v>0</v>
      </c>
      <c r="AT141" s="455">
        <v>70</v>
      </c>
      <c r="AU141" s="455" t="s">
        <v>291</v>
      </c>
      <c r="AV141" s="369">
        <f t="shared" si="159"/>
        <v>1</v>
      </c>
      <c r="AW141" s="366">
        <f t="shared" si="160"/>
        <v>1342</v>
      </c>
      <c r="AX141" s="369">
        <f t="shared" si="146"/>
        <v>0</v>
      </c>
      <c r="AY141" s="366">
        <f t="shared" si="161"/>
        <v>0</v>
      </c>
      <c r="AZ141" s="369">
        <f t="shared" si="162"/>
        <v>1</v>
      </c>
      <c r="BA141" s="366">
        <f t="shared" si="163"/>
        <v>1342</v>
      </c>
      <c r="BB141" s="493">
        <v>0</v>
      </c>
      <c r="BC141" s="488">
        <v>1</v>
      </c>
      <c r="BD141" s="370">
        <f t="shared" si="164"/>
        <v>1342</v>
      </c>
      <c r="BE141" s="371">
        <f t="shared" si="165"/>
        <v>0</v>
      </c>
      <c r="BF141" s="455">
        <v>2</v>
      </c>
      <c r="BG141" s="455" t="s">
        <v>292</v>
      </c>
      <c r="BH141" s="369">
        <f t="shared" si="166"/>
        <v>0.14903129657228018</v>
      </c>
      <c r="BI141" s="366">
        <f t="shared" si="167"/>
        <v>200</v>
      </c>
      <c r="BJ141" s="371">
        <f t="shared" si="168"/>
        <v>11.42</v>
      </c>
      <c r="BK141" s="494">
        <v>0.15</v>
      </c>
      <c r="BL141" s="366">
        <f t="shared" si="169"/>
        <v>201.29999999999998</v>
      </c>
      <c r="BM141" s="455">
        <v>33</v>
      </c>
      <c r="BN141" s="369">
        <f t="shared" si="170"/>
        <v>1</v>
      </c>
      <c r="BO141" s="371">
        <f t="shared" si="171"/>
        <v>0</v>
      </c>
      <c r="BP141" s="480">
        <v>1</v>
      </c>
      <c r="BQ141" s="501"/>
      <c r="BR141" s="503">
        <v>41996</v>
      </c>
      <c r="BS141" s="372">
        <f t="shared" si="107"/>
        <v>42361</v>
      </c>
      <c r="BT141" s="493">
        <v>322</v>
      </c>
      <c r="BU141" s="493">
        <v>3</v>
      </c>
      <c r="BV141" s="373">
        <f t="shared" si="172"/>
        <v>0</v>
      </c>
      <c r="BW141" s="374">
        <f t="shared" si="173"/>
        <v>1</v>
      </c>
      <c r="BX141" s="366">
        <f t="shared" si="174"/>
        <v>1342</v>
      </c>
      <c r="BY141" s="387">
        <f t="shared" si="108"/>
        <v>3</v>
      </c>
      <c r="BZ141" s="505"/>
      <c r="CA141" s="480">
        <v>0.3</v>
      </c>
      <c r="CB141" s="389">
        <f t="shared" si="175"/>
        <v>402.59999999999997</v>
      </c>
      <c r="CC141" s="505">
        <v>4</v>
      </c>
      <c r="CD141" s="375" t="str">
        <f t="shared" si="176"/>
        <v>Excellent coverage</v>
      </c>
      <c r="CE141" s="474">
        <v>0</v>
      </c>
      <c r="CF141" s="513" t="s">
        <v>293</v>
      </c>
      <c r="CG141" s="511"/>
    </row>
    <row r="142" spans="2:85" s="40" customFormat="1" ht="30.75" customHeight="1" x14ac:dyDescent="0.2">
      <c r="B142" s="449" t="s">
        <v>184</v>
      </c>
      <c r="C142" s="450" t="s">
        <v>700</v>
      </c>
      <c r="D142" s="451" t="s">
        <v>266</v>
      </c>
      <c r="E142" s="450" t="s">
        <v>675</v>
      </c>
      <c r="F142" s="451">
        <v>97.755750000000006</v>
      </c>
      <c r="G142" s="451">
        <v>24.273479999999999</v>
      </c>
      <c r="H142" s="451" t="s">
        <v>450</v>
      </c>
      <c r="I142" s="451" t="s">
        <v>222</v>
      </c>
      <c r="J142" s="455"/>
      <c r="K142" s="455">
        <v>211</v>
      </c>
      <c r="L142" s="455">
        <v>211</v>
      </c>
      <c r="M142" s="362" t="str">
        <f t="shared" si="142"/>
        <v>1. Small</v>
      </c>
      <c r="N142" s="701" t="s">
        <v>411</v>
      </c>
      <c r="O142" s="456" t="s">
        <v>231</v>
      </c>
      <c r="P142" s="463" t="s">
        <v>285</v>
      </c>
      <c r="Q142" s="382" t="str">
        <f t="shared" si="147"/>
        <v>Covered</v>
      </c>
      <c r="R142" s="464">
        <v>42247</v>
      </c>
      <c r="S142" s="465" t="s">
        <v>253</v>
      </c>
      <c r="T142" s="380" t="str">
        <f t="shared" si="148"/>
        <v>Documented</v>
      </c>
      <c r="U142" s="470">
        <v>0</v>
      </c>
      <c r="V142" s="455">
        <v>0</v>
      </c>
      <c r="W142" s="471" t="s">
        <v>19</v>
      </c>
      <c r="X142" s="470">
        <v>0</v>
      </c>
      <c r="Y142" s="455">
        <v>0</v>
      </c>
      <c r="Z142" s="471">
        <v>9000</v>
      </c>
      <c r="AA142" s="479">
        <v>0</v>
      </c>
      <c r="AB142" s="480">
        <v>0</v>
      </c>
      <c r="AC142" s="385">
        <f t="shared" si="149"/>
        <v>1</v>
      </c>
      <c r="AD142" s="364">
        <f t="shared" si="150"/>
        <v>211</v>
      </c>
      <c r="AE142" s="365">
        <f t="shared" si="151"/>
        <v>1</v>
      </c>
      <c r="AF142" s="366">
        <f t="shared" si="152"/>
        <v>211</v>
      </c>
      <c r="AG142" s="363">
        <f t="shared" si="143"/>
        <v>1</v>
      </c>
      <c r="AH142" s="366">
        <f t="shared" si="153"/>
        <v>211</v>
      </c>
      <c r="AI142" s="367" t="str">
        <f t="shared" si="144"/>
        <v>80-100%</v>
      </c>
      <c r="AJ142" s="363">
        <f t="shared" si="145"/>
        <v>0</v>
      </c>
      <c r="AK142" s="368">
        <f t="shared" si="154"/>
        <v>0</v>
      </c>
      <c r="AL142" s="366">
        <f t="shared" si="155"/>
        <v>0.52749999999999997</v>
      </c>
      <c r="AM142" s="366">
        <f t="shared" si="156"/>
        <v>0</v>
      </c>
      <c r="AN142" s="366">
        <f t="shared" si="157"/>
        <v>0</v>
      </c>
      <c r="AO142" s="488">
        <v>1</v>
      </c>
      <c r="AP142" s="486">
        <f t="shared" si="158"/>
        <v>211</v>
      </c>
      <c r="AQ142" s="480"/>
      <c r="AR142" s="733">
        <v>84</v>
      </c>
      <c r="AS142" s="455">
        <v>6</v>
      </c>
      <c r="AT142" s="455">
        <v>0</v>
      </c>
      <c r="AU142" s="455" t="s">
        <v>292</v>
      </c>
      <c r="AV142" s="369">
        <f t="shared" si="159"/>
        <v>0.56872037914691942</v>
      </c>
      <c r="AW142" s="366">
        <f t="shared" si="160"/>
        <v>120</v>
      </c>
      <c r="AX142" s="369">
        <f t="shared" si="146"/>
        <v>0.56872037914691942</v>
      </c>
      <c r="AY142" s="366">
        <f t="shared" si="161"/>
        <v>120</v>
      </c>
      <c r="AZ142" s="369">
        <f t="shared" si="162"/>
        <v>0</v>
      </c>
      <c r="BA142" s="366">
        <f t="shared" si="163"/>
        <v>0</v>
      </c>
      <c r="BB142" s="493">
        <v>0</v>
      </c>
      <c r="BC142" s="488">
        <v>0.57299999999999995</v>
      </c>
      <c r="BD142" s="370">
        <f t="shared" si="164"/>
        <v>120.90299999999999</v>
      </c>
      <c r="BE142" s="371">
        <f t="shared" si="165"/>
        <v>10.55</v>
      </c>
      <c r="BF142" s="455">
        <v>2</v>
      </c>
      <c r="BG142" s="455" t="s">
        <v>291</v>
      </c>
      <c r="BH142" s="369">
        <f t="shared" si="166"/>
        <v>0.94786729857819907</v>
      </c>
      <c r="BI142" s="366">
        <f t="shared" si="167"/>
        <v>200</v>
      </c>
      <c r="BJ142" s="371">
        <f t="shared" si="168"/>
        <v>0.10999999999999988</v>
      </c>
      <c r="BK142" s="494">
        <v>0.95</v>
      </c>
      <c r="BL142" s="366">
        <f t="shared" si="169"/>
        <v>200.45</v>
      </c>
      <c r="BM142" s="455">
        <v>0</v>
      </c>
      <c r="BN142" s="369">
        <f t="shared" si="170"/>
        <v>0</v>
      </c>
      <c r="BO142" s="371">
        <f t="shared" si="171"/>
        <v>2.11</v>
      </c>
      <c r="BP142" s="480">
        <v>0</v>
      </c>
      <c r="BQ142" s="501"/>
      <c r="BR142" s="503">
        <v>41996</v>
      </c>
      <c r="BS142" s="372">
        <f t="shared" si="107"/>
        <v>42361</v>
      </c>
      <c r="BT142" s="493">
        <v>0</v>
      </c>
      <c r="BU142" s="493">
        <v>0</v>
      </c>
      <c r="BV142" s="373">
        <f t="shared" si="172"/>
        <v>0</v>
      </c>
      <c r="BW142" s="374">
        <f t="shared" si="173"/>
        <v>1</v>
      </c>
      <c r="BX142" s="366">
        <f t="shared" si="174"/>
        <v>211</v>
      </c>
      <c r="BY142" s="387">
        <f t="shared" si="108"/>
        <v>6</v>
      </c>
      <c r="BZ142" s="505"/>
      <c r="CA142" s="480">
        <v>0.2</v>
      </c>
      <c r="CB142" s="389">
        <f t="shared" si="175"/>
        <v>42.2</v>
      </c>
      <c r="CC142" s="505">
        <v>0</v>
      </c>
      <c r="CD142" s="375" t="str">
        <f t="shared" si="176"/>
        <v>No coverage</v>
      </c>
      <c r="CE142" s="474">
        <v>0</v>
      </c>
      <c r="CF142" s="513" t="s">
        <v>293</v>
      </c>
      <c r="CG142" s="511"/>
    </row>
    <row r="143" spans="2:85" s="40" customFormat="1" ht="30.75" customHeight="1" x14ac:dyDescent="0.2">
      <c r="B143" s="449" t="s">
        <v>184</v>
      </c>
      <c r="C143" s="450" t="s">
        <v>700</v>
      </c>
      <c r="D143" s="451" t="s">
        <v>266</v>
      </c>
      <c r="E143" s="450" t="s">
        <v>618</v>
      </c>
      <c r="F143" s="451">
        <v>97.758769999999998</v>
      </c>
      <c r="G143" s="451">
        <v>24.255469999999999</v>
      </c>
      <c r="H143" s="451" t="s">
        <v>450</v>
      </c>
      <c r="I143" s="451" t="s">
        <v>222</v>
      </c>
      <c r="J143" s="455"/>
      <c r="K143" s="455">
        <v>506</v>
      </c>
      <c r="L143" s="455">
        <v>506</v>
      </c>
      <c r="M143" s="362" t="str">
        <f t="shared" si="142"/>
        <v>1. Small</v>
      </c>
      <c r="N143" s="701" t="s">
        <v>411</v>
      </c>
      <c r="O143" s="456" t="s">
        <v>231</v>
      </c>
      <c r="P143" s="463" t="s">
        <v>285</v>
      </c>
      <c r="Q143" s="382" t="str">
        <f t="shared" si="147"/>
        <v>Covered</v>
      </c>
      <c r="R143" s="464">
        <v>42247</v>
      </c>
      <c r="S143" s="465" t="s">
        <v>253</v>
      </c>
      <c r="T143" s="380" t="str">
        <f t="shared" si="148"/>
        <v>Documented</v>
      </c>
      <c r="U143" s="470">
        <v>0</v>
      </c>
      <c r="V143" s="455">
        <v>0</v>
      </c>
      <c r="W143" s="471" t="s">
        <v>19</v>
      </c>
      <c r="X143" s="470">
        <v>0</v>
      </c>
      <c r="Y143" s="455">
        <v>0</v>
      </c>
      <c r="Z143" s="471">
        <v>24300</v>
      </c>
      <c r="AA143" s="479">
        <v>0</v>
      </c>
      <c r="AB143" s="480">
        <v>0</v>
      </c>
      <c r="AC143" s="385">
        <f t="shared" si="149"/>
        <v>1</v>
      </c>
      <c r="AD143" s="364">
        <f t="shared" si="150"/>
        <v>506</v>
      </c>
      <c r="AE143" s="365">
        <f t="shared" si="151"/>
        <v>1</v>
      </c>
      <c r="AF143" s="366">
        <f t="shared" si="152"/>
        <v>506</v>
      </c>
      <c r="AG143" s="363">
        <f t="shared" si="143"/>
        <v>1</v>
      </c>
      <c r="AH143" s="366">
        <f t="shared" si="153"/>
        <v>506</v>
      </c>
      <c r="AI143" s="367" t="str">
        <f t="shared" si="144"/>
        <v>80-100%</v>
      </c>
      <c r="AJ143" s="363">
        <f t="shared" si="145"/>
        <v>0</v>
      </c>
      <c r="AK143" s="368">
        <f t="shared" si="154"/>
        <v>0</v>
      </c>
      <c r="AL143" s="366">
        <f t="shared" si="155"/>
        <v>1.2649999999999999</v>
      </c>
      <c r="AM143" s="366">
        <f t="shared" si="156"/>
        <v>0</v>
      </c>
      <c r="AN143" s="366">
        <f t="shared" si="157"/>
        <v>0</v>
      </c>
      <c r="AO143" s="488">
        <v>1</v>
      </c>
      <c r="AP143" s="486">
        <f t="shared" si="158"/>
        <v>506</v>
      </c>
      <c r="AQ143" s="480"/>
      <c r="AR143" s="733">
        <v>50</v>
      </c>
      <c r="AS143" s="455">
        <v>6</v>
      </c>
      <c r="AT143" s="455">
        <v>16</v>
      </c>
      <c r="AU143" s="455" t="s">
        <v>89</v>
      </c>
      <c r="AV143" s="369">
        <f t="shared" si="159"/>
        <v>0.86956521739130432</v>
      </c>
      <c r="AW143" s="366">
        <f t="shared" si="160"/>
        <v>440</v>
      </c>
      <c r="AX143" s="369">
        <f t="shared" si="146"/>
        <v>0.23715415019762842</v>
      </c>
      <c r="AY143" s="366">
        <f t="shared" si="161"/>
        <v>119.99999999999999</v>
      </c>
      <c r="AZ143" s="369">
        <f t="shared" si="162"/>
        <v>0.6324110671936759</v>
      </c>
      <c r="BA143" s="366">
        <f t="shared" si="163"/>
        <v>320</v>
      </c>
      <c r="BB143" s="493">
        <v>0</v>
      </c>
      <c r="BC143" s="488">
        <v>0.873</v>
      </c>
      <c r="BD143" s="370">
        <f t="shared" si="164"/>
        <v>441.738</v>
      </c>
      <c r="BE143" s="371">
        <f t="shared" si="165"/>
        <v>9.3000000000000007</v>
      </c>
      <c r="BF143" s="455">
        <v>1</v>
      </c>
      <c r="BG143" s="455" t="s">
        <v>291</v>
      </c>
      <c r="BH143" s="369">
        <f t="shared" si="166"/>
        <v>0.19762845849802371</v>
      </c>
      <c r="BI143" s="366">
        <f t="shared" si="167"/>
        <v>100</v>
      </c>
      <c r="BJ143" s="371">
        <f t="shared" si="168"/>
        <v>4.0599999999999996</v>
      </c>
      <c r="BK143" s="494">
        <v>0.28999999999999998</v>
      </c>
      <c r="BL143" s="366">
        <f t="shared" si="169"/>
        <v>146.73999999999998</v>
      </c>
      <c r="BM143" s="455">
        <v>2</v>
      </c>
      <c r="BN143" s="369">
        <f t="shared" si="170"/>
        <v>0.39525691699604742</v>
      </c>
      <c r="BO143" s="371">
        <f t="shared" si="171"/>
        <v>3.0599999999999996</v>
      </c>
      <c r="BP143" s="480">
        <v>0.4</v>
      </c>
      <c r="BQ143" s="501"/>
      <c r="BR143" s="503">
        <v>41996</v>
      </c>
      <c r="BS143" s="372">
        <f t="shared" si="107"/>
        <v>42361</v>
      </c>
      <c r="BT143" s="493">
        <v>0</v>
      </c>
      <c r="BU143" s="493">
        <v>0</v>
      </c>
      <c r="BV143" s="373">
        <f t="shared" si="172"/>
        <v>0</v>
      </c>
      <c r="BW143" s="374">
        <f t="shared" si="173"/>
        <v>1</v>
      </c>
      <c r="BX143" s="366">
        <f t="shared" si="174"/>
        <v>506</v>
      </c>
      <c r="BY143" s="387">
        <f t="shared" si="108"/>
        <v>6</v>
      </c>
      <c r="BZ143" s="505"/>
      <c r="CA143" s="480">
        <v>0.2</v>
      </c>
      <c r="CB143" s="389">
        <f t="shared" si="175"/>
        <v>101.2</v>
      </c>
      <c r="CC143" s="505">
        <v>2</v>
      </c>
      <c r="CD143" s="375" t="str">
        <f t="shared" si="176"/>
        <v>Excellent coverage</v>
      </c>
      <c r="CE143" s="474">
        <v>0</v>
      </c>
      <c r="CF143" s="513" t="s">
        <v>293</v>
      </c>
      <c r="CG143" s="511"/>
    </row>
    <row r="144" spans="2:85" s="40" customFormat="1" ht="30.75" customHeight="1" x14ac:dyDescent="0.2">
      <c r="B144" s="449" t="s">
        <v>184</v>
      </c>
      <c r="C144" s="450" t="s">
        <v>700</v>
      </c>
      <c r="D144" s="451" t="s">
        <v>266</v>
      </c>
      <c r="E144" s="450" t="s">
        <v>619</v>
      </c>
      <c r="F144" s="451">
        <v>97.740570000000005</v>
      </c>
      <c r="G144" s="451">
        <v>24.266819999999999</v>
      </c>
      <c r="H144" s="451" t="s">
        <v>450</v>
      </c>
      <c r="I144" s="451" t="s">
        <v>222</v>
      </c>
      <c r="J144" s="455"/>
      <c r="K144" s="455">
        <v>333</v>
      </c>
      <c r="L144" s="455">
        <v>333</v>
      </c>
      <c r="M144" s="362" t="str">
        <f t="shared" si="142"/>
        <v>1. Small</v>
      </c>
      <c r="N144" s="701" t="s">
        <v>411</v>
      </c>
      <c r="O144" s="456" t="s">
        <v>231</v>
      </c>
      <c r="P144" s="463" t="s">
        <v>285</v>
      </c>
      <c r="Q144" s="382" t="str">
        <f t="shared" si="147"/>
        <v>Covered</v>
      </c>
      <c r="R144" s="464">
        <v>42247</v>
      </c>
      <c r="S144" s="465" t="s">
        <v>253</v>
      </c>
      <c r="T144" s="380" t="str">
        <f t="shared" si="148"/>
        <v>Documented</v>
      </c>
      <c r="U144" s="470">
        <v>0</v>
      </c>
      <c r="V144" s="455">
        <v>0</v>
      </c>
      <c r="W144" s="471" t="s">
        <v>19</v>
      </c>
      <c r="X144" s="470">
        <v>0</v>
      </c>
      <c r="Y144" s="455">
        <v>0</v>
      </c>
      <c r="Z144" s="471">
        <v>8640</v>
      </c>
      <c r="AA144" s="479">
        <v>0</v>
      </c>
      <c r="AB144" s="480">
        <v>0</v>
      </c>
      <c r="AC144" s="385">
        <f t="shared" si="149"/>
        <v>1</v>
      </c>
      <c r="AD144" s="364">
        <f t="shared" si="150"/>
        <v>333</v>
      </c>
      <c r="AE144" s="365">
        <f t="shared" si="151"/>
        <v>1</v>
      </c>
      <c r="AF144" s="366">
        <f t="shared" si="152"/>
        <v>333</v>
      </c>
      <c r="AG144" s="363">
        <f t="shared" si="143"/>
        <v>1</v>
      </c>
      <c r="AH144" s="366">
        <f t="shared" si="153"/>
        <v>333</v>
      </c>
      <c r="AI144" s="367" t="str">
        <f t="shared" si="144"/>
        <v>80-100%</v>
      </c>
      <c r="AJ144" s="363">
        <f t="shared" si="145"/>
        <v>0</v>
      </c>
      <c r="AK144" s="368">
        <f t="shared" si="154"/>
        <v>0</v>
      </c>
      <c r="AL144" s="366">
        <f t="shared" si="155"/>
        <v>0.83250000000000002</v>
      </c>
      <c r="AM144" s="366">
        <f t="shared" si="156"/>
        <v>0</v>
      </c>
      <c r="AN144" s="366">
        <f t="shared" si="157"/>
        <v>0</v>
      </c>
      <c r="AO144" s="488">
        <v>1</v>
      </c>
      <c r="AP144" s="486">
        <f t="shared" si="158"/>
        <v>333</v>
      </c>
      <c r="AQ144" s="480"/>
      <c r="AR144" s="733">
        <v>10</v>
      </c>
      <c r="AS144" s="455">
        <v>0</v>
      </c>
      <c r="AT144" s="455">
        <v>27</v>
      </c>
      <c r="AU144" s="455" t="s">
        <v>89</v>
      </c>
      <c r="AV144" s="369">
        <f t="shared" si="159"/>
        <v>1</v>
      </c>
      <c r="AW144" s="366">
        <f t="shared" si="160"/>
        <v>333</v>
      </c>
      <c r="AX144" s="369">
        <f t="shared" si="146"/>
        <v>0</v>
      </c>
      <c r="AY144" s="366">
        <f t="shared" si="161"/>
        <v>0</v>
      </c>
      <c r="AZ144" s="369">
        <f t="shared" si="162"/>
        <v>1</v>
      </c>
      <c r="BA144" s="366">
        <f t="shared" si="163"/>
        <v>333</v>
      </c>
      <c r="BB144" s="493">
        <v>0</v>
      </c>
      <c r="BC144" s="488">
        <v>1</v>
      </c>
      <c r="BD144" s="370">
        <f t="shared" si="164"/>
        <v>333</v>
      </c>
      <c r="BE144" s="371">
        <f t="shared" si="165"/>
        <v>0</v>
      </c>
      <c r="BF144" s="455">
        <v>4</v>
      </c>
      <c r="BG144" s="455" t="s">
        <v>292</v>
      </c>
      <c r="BH144" s="369">
        <f t="shared" si="166"/>
        <v>1</v>
      </c>
      <c r="BI144" s="366">
        <f t="shared" si="167"/>
        <v>333</v>
      </c>
      <c r="BJ144" s="371">
        <f t="shared" si="168"/>
        <v>0</v>
      </c>
      <c r="BK144" s="494">
        <v>1</v>
      </c>
      <c r="BL144" s="366">
        <f t="shared" si="169"/>
        <v>333</v>
      </c>
      <c r="BM144" s="455">
        <v>4</v>
      </c>
      <c r="BN144" s="369">
        <f t="shared" si="170"/>
        <v>1</v>
      </c>
      <c r="BO144" s="371">
        <f t="shared" si="171"/>
        <v>0</v>
      </c>
      <c r="BP144" s="480">
        <v>1</v>
      </c>
      <c r="BQ144" s="501"/>
      <c r="BR144" s="503">
        <v>41996</v>
      </c>
      <c r="BS144" s="372">
        <f t="shared" si="107"/>
        <v>42361</v>
      </c>
      <c r="BT144" s="493">
        <v>0</v>
      </c>
      <c r="BU144" s="493">
        <v>0</v>
      </c>
      <c r="BV144" s="373">
        <f t="shared" si="172"/>
        <v>0</v>
      </c>
      <c r="BW144" s="374">
        <f t="shared" si="173"/>
        <v>1</v>
      </c>
      <c r="BX144" s="366">
        <f t="shared" si="174"/>
        <v>333</v>
      </c>
      <c r="BY144" s="387">
        <f t="shared" si="108"/>
        <v>6</v>
      </c>
      <c r="BZ144" s="505"/>
      <c r="CA144" s="480">
        <v>0.2</v>
      </c>
      <c r="CB144" s="389">
        <f t="shared" si="175"/>
        <v>66.600000000000009</v>
      </c>
      <c r="CC144" s="505">
        <v>2</v>
      </c>
      <c r="CD144" s="375" t="str">
        <f t="shared" si="176"/>
        <v>Excellent coverage</v>
      </c>
      <c r="CE144" s="474">
        <v>0</v>
      </c>
      <c r="CF144" s="513" t="s">
        <v>293</v>
      </c>
      <c r="CG144" s="511"/>
    </row>
    <row r="145" spans="2:85" s="40" customFormat="1" ht="30.75" customHeight="1" x14ac:dyDescent="0.2">
      <c r="B145" s="449" t="s">
        <v>184</v>
      </c>
      <c r="C145" s="450" t="s">
        <v>700</v>
      </c>
      <c r="D145" s="451" t="s">
        <v>266</v>
      </c>
      <c r="E145" s="450" t="s">
        <v>623</v>
      </c>
      <c r="F145" s="451">
        <v>97.758769999999998</v>
      </c>
      <c r="G145" s="451">
        <v>24.255469999999999</v>
      </c>
      <c r="H145" s="451" t="s">
        <v>460</v>
      </c>
      <c r="I145" s="451" t="s">
        <v>222</v>
      </c>
      <c r="J145" s="455">
        <v>78</v>
      </c>
      <c r="K145" s="455">
        <v>326</v>
      </c>
      <c r="L145" s="455">
        <v>326</v>
      </c>
      <c r="M145" s="362" t="str">
        <f t="shared" si="142"/>
        <v>2. Medium</v>
      </c>
      <c r="N145" s="701" t="s">
        <v>411</v>
      </c>
      <c r="O145" s="456" t="s">
        <v>231</v>
      </c>
      <c r="P145" s="463" t="s">
        <v>285</v>
      </c>
      <c r="Q145" s="382" t="str">
        <f t="shared" si="147"/>
        <v>Covered</v>
      </c>
      <c r="R145" s="464">
        <v>42247</v>
      </c>
      <c r="S145" s="465" t="s">
        <v>253</v>
      </c>
      <c r="T145" s="380" t="str">
        <f t="shared" si="148"/>
        <v>Documented</v>
      </c>
      <c r="U145" s="470">
        <v>0</v>
      </c>
      <c r="V145" s="455">
        <v>0</v>
      </c>
      <c r="W145" s="471" t="s">
        <v>19</v>
      </c>
      <c r="X145" s="470">
        <v>0</v>
      </c>
      <c r="Y145" s="455">
        <v>0</v>
      </c>
      <c r="Z145" s="471">
        <v>10631</v>
      </c>
      <c r="AA145" s="479">
        <v>0</v>
      </c>
      <c r="AB145" s="480">
        <v>0</v>
      </c>
      <c r="AC145" s="385">
        <f t="shared" si="149"/>
        <v>1</v>
      </c>
      <c r="AD145" s="364">
        <f t="shared" si="150"/>
        <v>326</v>
      </c>
      <c r="AE145" s="365">
        <f t="shared" si="151"/>
        <v>1</v>
      </c>
      <c r="AF145" s="366">
        <f t="shared" si="152"/>
        <v>326</v>
      </c>
      <c r="AG145" s="363">
        <f t="shared" si="143"/>
        <v>1</v>
      </c>
      <c r="AH145" s="366">
        <f t="shared" si="153"/>
        <v>326</v>
      </c>
      <c r="AI145" s="367" t="str">
        <f t="shared" si="144"/>
        <v>80-100%</v>
      </c>
      <c r="AJ145" s="363">
        <f t="shared" si="145"/>
        <v>0</v>
      </c>
      <c r="AK145" s="368">
        <f t="shared" si="154"/>
        <v>0</v>
      </c>
      <c r="AL145" s="366">
        <f t="shared" si="155"/>
        <v>0.81499999999999995</v>
      </c>
      <c r="AM145" s="366">
        <f t="shared" si="156"/>
        <v>0</v>
      </c>
      <c r="AN145" s="366">
        <f t="shared" si="157"/>
        <v>0</v>
      </c>
      <c r="AO145" s="488">
        <v>1</v>
      </c>
      <c r="AP145" s="486">
        <f t="shared" si="158"/>
        <v>326</v>
      </c>
      <c r="AQ145" s="480"/>
      <c r="AR145" s="733">
        <v>0</v>
      </c>
      <c r="AS145" s="455">
        <v>78</v>
      </c>
      <c r="AT145" s="455">
        <v>0</v>
      </c>
      <c r="AU145" s="455" t="s">
        <v>89</v>
      </c>
      <c r="AV145" s="369">
        <f t="shared" si="159"/>
        <v>1</v>
      </c>
      <c r="AW145" s="366">
        <f t="shared" si="160"/>
        <v>326</v>
      </c>
      <c r="AX145" s="369">
        <f t="shared" si="146"/>
        <v>1</v>
      </c>
      <c r="AY145" s="366">
        <f t="shared" si="161"/>
        <v>326</v>
      </c>
      <c r="AZ145" s="369">
        <f t="shared" si="162"/>
        <v>0</v>
      </c>
      <c r="BA145" s="366">
        <f t="shared" si="163"/>
        <v>0</v>
      </c>
      <c r="BB145" s="493">
        <v>0</v>
      </c>
      <c r="BC145" s="488">
        <v>1</v>
      </c>
      <c r="BD145" s="370">
        <f t="shared" si="164"/>
        <v>326</v>
      </c>
      <c r="BE145" s="371">
        <f t="shared" si="165"/>
        <v>16.3</v>
      </c>
      <c r="BF145" s="455">
        <v>0</v>
      </c>
      <c r="BG145" s="455" t="s">
        <v>89</v>
      </c>
      <c r="BH145" s="369">
        <f t="shared" si="166"/>
        <v>0</v>
      </c>
      <c r="BI145" s="366">
        <f t="shared" si="167"/>
        <v>0</v>
      </c>
      <c r="BJ145" s="371">
        <f t="shared" si="168"/>
        <v>3.26</v>
      </c>
      <c r="BK145" s="494">
        <v>0</v>
      </c>
      <c r="BL145" s="366">
        <f t="shared" si="169"/>
        <v>0</v>
      </c>
      <c r="BM145" s="455">
        <v>0</v>
      </c>
      <c r="BN145" s="369">
        <f t="shared" si="170"/>
        <v>0</v>
      </c>
      <c r="BO145" s="371">
        <f t="shared" si="171"/>
        <v>3.26</v>
      </c>
      <c r="BP145" s="480">
        <v>0</v>
      </c>
      <c r="BQ145" s="501"/>
      <c r="BR145" s="503">
        <v>41996</v>
      </c>
      <c r="BS145" s="372">
        <f t="shared" si="107"/>
        <v>42361</v>
      </c>
      <c r="BT145" s="493">
        <v>78</v>
      </c>
      <c r="BU145" s="493">
        <v>0</v>
      </c>
      <c r="BV145" s="373">
        <f t="shared" si="172"/>
        <v>0</v>
      </c>
      <c r="BW145" s="374">
        <f t="shared" si="173"/>
        <v>1</v>
      </c>
      <c r="BX145" s="366">
        <f t="shared" si="174"/>
        <v>326</v>
      </c>
      <c r="BY145" s="387">
        <f t="shared" si="108"/>
        <v>6</v>
      </c>
      <c r="BZ145" s="505"/>
      <c r="CA145" s="480">
        <v>0</v>
      </c>
      <c r="CB145" s="389">
        <f t="shared" si="175"/>
        <v>0</v>
      </c>
      <c r="CC145" s="505">
        <v>0</v>
      </c>
      <c r="CD145" s="375" t="str">
        <f t="shared" si="176"/>
        <v>No coverage</v>
      </c>
      <c r="CE145" s="474">
        <v>0</v>
      </c>
      <c r="CF145" s="513" t="s">
        <v>66</v>
      </c>
      <c r="CG145" s="511"/>
    </row>
    <row r="146" spans="2:85" s="40" customFormat="1" ht="30.75" customHeight="1" x14ac:dyDescent="0.2">
      <c r="B146" s="449" t="s">
        <v>182</v>
      </c>
      <c r="C146" s="450" t="s">
        <v>701</v>
      </c>
      <c r="D146" s="451" t="s">
        <v>260</v>
      </c>
      <c r="E146" s="450" t="s">
        <v>757</v>
      </c>
      <c r="F146" s="451">
        <v>97.291820000000001</v>
      </c>
      <c r="G146" s="451">
        <v>24.129059999999999</v>
      </c>
      <c r="H146" s="451" t="s">
        <v>460</v>
      </c>
      <c r="I146" s="451" t="s">
        <v>214</v>
      </c>
      <c r="J146" s="455">
        <v>135</v>
      </c>
      <c r="K146" s="455">
        <v>499</v>
      </c>
      <c r="L146" s="455">
        <v>499</v>
      </c>
      <c r="M146" s="362" t="str">
        <f t="shared" si="142"/>
        <v>2. Medium</v>
      </c>
      <c r="N146" s="701"/>
      <c r="O146" s="456" t="s">
        <v>235</v>
      </c>
      <c r="P146" s="463" t="s">
        <v>300</v>
      </c>
      <c r="Q146" s="382" t="str">
        <f t="shared" si="147"/>
        <v>Not covered</v>
      </c>
      <c r="R146" s="464"/>
      <c r="S146" s="465" t="s">
        <v>255</v>
      </c>
      <c r="T146" s="380" t="str">
        <f t="shared" si="148"/>
        <v>Not documented</v>
      </c>
      <c r="U146" s="470">
        <v>0</v>
      </c>
      <c r="V146" s="455">
        <v>0</v>
      </c>
      <c r="W146" s="471" t="s">
        <v>19</v>
      </c>
      <c r="X146" s="470">
        <v>0</v>
      </c>
      <c r="Y146" s="455">
        <v>0</v>
      </c>
      <c r="Z146" s="471">
        <v>0</v>
      </c>
      <c r="AA146" s="479">
        <v>0</v>
      </c>
      <c r="AB146" s="480">
        <v>0</v>
      </c>
      <c r="AC146" s="385">
        <f t="shared" si="149"/>
        <v>0</v>
      </c>
      <c r="AD146" s="364">
        <f t="shared" si="150"/>
        <v>0</v>
      </c>
      <c r="AE146" s="365">
        <f t="shared" si="151"/>
        <v>0</v>
      </c>
      <c r="AF146" s="366">
        <f t="shared" si="152"/>
        <v>0</v>
      </c>
      <c r="AG146" s="363">
        <f t="shared" si="143"/>
        <v>0</v>
      </c>
      <c r="AH146" s="366">
        <f t="shared" si="153"/>
        <v>0</v>
      </c>
      <c r="AI146" s="367" t="str">
        <f t="shared" si="144"/>
        <v>0-10%</v>
      </c>
      <c r="AJ146" s="363">
        <f t="shared" si="145"/>
        <v>0</v>
      </c>
      <c r="AK146" s="368">
        <f t="shared" si="154"/>
        <v>0</v>
      </c>
      <c r="AL146" s="366">
        <f t="shared" si="155"/>
        <v>1.2475000000000001</v>
      </c>
      <c r="AM146" s="366">
        <f t="shared" si="156"/>
        <v>0</v>
      </c>
      <c r="AN146" s="366">
        <f t="shared" si="157"/>
        <v>0</v>
      </c>
      <c r="AO146" s="488">
        <v>0</v>
      </c>
      <c r="AP146" s="486">
        <f t="shared" si="158"/>
        <v>0</v>
      </c>
      <c r="AQ146" s="480" t="s">
        <v>471</v>
      </c>
      <c r="AR146" s="733">
        <v>60</v>
      </c>
      <c r="AS146" s="455">
        <v>0</v>
      </c>
      <c r="AT146" s="455">
        <v>0</v>
      </c>
      <c r="AU146" s="455" t="s">
        <v>89</v>
      </c>
      <c r="AV146" s="369">
        <f t="shared" si="159"/>
        <v>0</v>
      </c>
      <c r="AW146" s="366">
        <f t="shared" si="160"/>
        <v>0</v>
      </c>
      <c r="AX146" s="369">
        <f t="shared" si="146"/>
        <v>0</v>
      </c>
      <c r="AY146" s="366">
        <f t="shared" si="161"/>
        <v>0</v>
      </c>
      <c r="AZ146" s="369">
        <f t="shared" si="162"/>
        <v>0</v>
      </c>
      <c r="BA146" s="366">
        <f t="shared" si="163"/>
        <v>0</v>
      </c>
      <c r="BB146" s="493">
        <v>0</v>
      </c>
      <c r="BC146" s="488">
        <v>0</v>
      </c>
      <c r="BD146" s="370">
        <f t="shared" si="164"/>
        <v>0</v>
      </c>
      <c r="BE146" s="371">
        <f t="shared" si="165"/>
        <v>24.95</v>
      </c>
      <c r="BF146" s="455">
        <v>0</v>
      </c>
      <c r="BG146" s="455" t="s">
        <v>89</v>
      </c>
      <c r="BH146" s="369">
        <f t="shared" si="166"/>
        <v>0</v>
      </c>
      <c r="BI146" s="366">
        <f t="shared" si="167"/>
        <v>0</v>
      </c>
      <c r="BJ146" s="371">
        <f t="shared" si="168"/>
        <v>4.99</v>
      </c>
      <c r="BK146" s="494">
        <v>0</v>
      </c>
      <c r="BL146" s="366">
        <f t="shared" si="169"/>
        <v>0</v>
      </c>
      <c r="BM146" s="455">
        <v>0</v>
      </c>
      <c r="BN146" s="369">
        <f t="shared" si="170"/>
        <v>0</v>
      </c>
      <c r="BO146" s="371">
        <f t="shared" si="171"/>
        <v>4.99</v>
      </c>
      <c r="BP146" s="480">
        <v>0</v>
      </c>
      <c r="BQ146" s="501"/>
      <c r="BR146" s="503">
        <v>41744</v>
      </c>
      <c r="BS146" s="372" t="str">
        <f t="shared" si="107"/>
        <v>To be realised</v>
      </c>
      <c r="BT146" s="493">
        <v>20</v>
      </c>
      <c r="BU146" s="493">
        <v>0</v>
      </c>
      <c r="BV146" s="373">
        <f t="shared" si="172"/>
        <v>135</v>
      </c>
      <c r="BW146" s="374">
        <f t="shared" si="173"/>
        <v>0</v>
      </c>
      <c r="BX146" s="366">
        <f t="shared" si="174"/>
        <v>0</v>
      </c>
      <c r="BY146" s="387">
        <f t="shared" si="108"/>
        <v>15</v>
      </c>
      <c r="BZ146" s="505"/>
      <c r="CA146" s="480">
        <v>0</v>
      </c>
      <c r="CB146" s="389">
        <f t="shared" si="175"/>
        <v>0</v>
      </c>
      <c r="CC146" s="505">
        <v>0</v>
      </c>
      <c r="CD146" s="375" t="str">
        <f t="shared" si="176"/>
        <v>No coverage</v>
      </c>
      <c r="CE146" s="474">
        <v>0</v>
      </c>
      <c r="CF146" s="513" t="s">
        <v>66</v>
      </c>
      <c r="CG146" s="511" t="s">
        <v>467</v>
      </c>
    </row>
    <row r="147" spans="2:85" s="40" customFormat="1" ht="30.75" customHeight="1" x14ac:dyDescent="0.2">
      <c r="B147" s="449" t="s">
        <v>184</v>
      </c>
      <c r="C147" s="450" t="s">
        <v>565</v>
      </c>
      <c r="D147" s="451" t="s">
        <v>260</v>
      </c>
      <c r="E147" s="450" t="s">
        <v>226</v>
      </c>
      <c r="F147" s="451">
        <v>97.193340000000006</v>
      </c>
      <c r="G147" s="451">
        <v>24.230450000000001</v>
      </c>
      <c r="H147" s="451" t="s">
        <v>460</v>
      </c>
      <c r="I147" s="451" t="s">
        <v>214</v>
      </c>
      <c r="J147" s="455">
        <v>4</v>
      </c>
      <c r="K147" s="455">
        <v>26</v>
      </c>
      <c r="L147" s="455">
        <v>26</v>
      </c>
      <c r="M147" s="362" t="str">
        <f t="shared" si="142"/>
        <v>1. Small</v>
      </c>
      <c r="N147" s="701"/>
      <c r="O147" s="456"/>
      <c r="P147" s="463" t="s">
        <v>300</v>
      </c>
      <c r="Q147" s="382" t="str">
        <f t="shared" si="147"/>
        <v>Not covered</v>
      </c>
      <c r="R147" s="464"/>
      <c r="S147" s="465" t="s">
        <v>255</v>
      </c>
      <c r="T147" s="380" t="str">
        <f t="shared" si="148"/>
        <v>Not documented</v>
      </c>
      <c r="U147" s="470">
        <v>0</v>
      </c>
      <c r="V147" s="455">
        <v>0</v>
      </c>
      <c r="W147" s="471" t="s">
        <v>19</v>
      </c>
      <c r="X147" s="470">
        <v>0</v>
      </c>
      <c r="Y147" s="455">
        <v>0</v>
      </c>
      <c r="Z147" s="471">
        <v>0</v>
      </c>
      <c r="AA147" s="479">
        <v>0</v>
      </c>
      <c r="AB147" s="480">
        <v>0</v>
      </c>
      <c r="AC147" s="385">
        <f t="shared" si="149"/>
        <v>0</v>
      </c>
      <c r="AD147" s="364">
        <f t="shared" si="150"/>
        <v>0</v>
      </c>
      <c r="AE147" s="365">
        <f t="shared" si="151"/>
        <v>0</v>
      </c>
      <c r="AF147" s="366">
        <f t="shared" si="152"/>
        <v>0</v>
      </c>
      <c r="AG147" s="363">
        <f t="shared" si="143"/>
        <v>0</v>
      </c>
      <c r="AH147" s="366">
        <f t="shared" si="153"/>
        <v>0</v>
      </c>
      <c r="AI147" s="367" t="str">
        <f t="shared" si="144"/>
        <v>0-10%</v>
      </c>
      <c r="AJ147" s="363">
        <f t="shared" si="145"/>
        <v>0</v>
      </c>
      <c r="AK147" s="368">
        <f t="shared" si="154"/>
        <v>0</v>
      </c>
      <c r="AL147" s="366">
        <f t="shared" si="155"/>
        <v>6.5000000000000002E-2</v>
      </c>
      <c r="AM147" s="366">
        <f t="shared" si="156"/>
        <v>0</v>
      </c>
      <c r="AN147" s="366">
        <f t="shared" si="157"/>
        <v>0</v>
      </c>
      <c r="AO147" s="488">
        <v>0</v>
      </c>
      <c r="AP147" s="486">
        <f t="shared" si="158"/>
        <v>0</v>
      </c>
      <c r="AQ147" s="480"/>
      <c r="AR147" s="733">
        <v>6</v>
      </c>
      <c r="AS147" s="455">
        <v>0</v>
      </c>
      <c r="AT147" s="455">
        <v>0</v>
      </c>
      <c r="AU147" s="455" t="s">
        <v>89</v>
      </c>
      <c r="AV147" s="369">
        <f t="shared" si="159"/>
        <v>0</v>
      </c>
      <c r="AW147" s="366">
        <f t="shared" si="160"/>
        <v>0</v>
      </c>
      <c r="AX147" s="369">
        <f t="shared" si="146"/>
        <v>0</v>
      </c>
      <c r="AY147" s="366">
        <f t="shared" si="161"/>
        <v>0</v>
      </c>
      <c r="AZ147" s="369">
        <f t="shared" si="162"/>
        <v>0</v>
      </c>
      <c r="BA147" s="366">
        <f t="shared" si="163"/>
        <v>0</v>
      </c>
      <c r="BB147" s="493">
        <v>0</v>
      </c>
      <c r="BC147" s="488">
        <v>0</v>
      </c>
      <c r="BD147" s="370">
        <f t="shared" si="164"/>
        <v>0</v>
      </c>
      <c r="BE147" s="371">
        <f t="shared" si="165"/>
        <v>1.3</v>
      </c>
      <c r="BF147" s="455">
        <v>0</v>
      </c>
      <c r="BG147" s="455" t="s">
        <v>89</v>
      </c>
      <c r="BH147" s="369">
        <f t="shared" si="166"/>
        <v>0</v>
      </c>
      <c r="BI147" s="366">
        <f t="shared" si="167"/>
        <v>0</v>
      </c>
      <c r="BJ147" s="371">
        <f t="shared" si="168"/>
        <v>0.26</v>
      </c>
      <c r="BK147" s="494">
        <v>0</v>
      </c>
      <c r="BL147" s="366">
        <f t="shared" si="169"/>
        <v>0</v>
      </c>
      <c r="BM147" s="455">
        <v>0</v>
      </c>
      <c r="BN147" s="369">
        <f t="shared" si="170"/>
        <v>0</v>
      </c>
      <c r="BO147" s="371">
        <f t="shared" si="171"/>
        <v>0.26</v>
      </c>
      <c r="BP147" s="480">
        <v>0</v>
      </c>
      <c r="BQ147" s="501"/>
      <c r="BR147" s="503"/>
      <c r="BS147" s="372" t="str">
        <f t="shared" si="107"/>
        <v>To be realised</v>
      </c>
      <c r="BT147" s="493">
        <v>0</v>
      </c>
      <c r="BU147" s="493">
        <v>0</v>
      </c>
      <c r="BV147" s="373">
        <f t="shared" si="172"/>
        <v>4</v>
      </c>
      <c r="BW147" s="374">
        <f t="shared" si="173"/>
        <v>0</v>
      </c>
      <c r="BX147" s="366">
        <f t="shared" si="174"/>
        <v>0</v>
      </c>
      <c r="BY147" s="387" t="str">
        <f t="shared" si="108"/>
        <v>Column BN to be completed</v>
      </c>
      <c r="BZ147" s="505"/>
      <c r="CA147" s="480">
        <v>0</v>
      </c>
      <c r="CB147" s="389">
        <f t="shared" si="175"/>
        <v>0</v>
      </c>
      <c r="CC147" s="505">
        <v>0</v>
      </c>
      <c r="CD147" s="375" t="str">
        <f t="shared" si="176"/>
        <v>No coverage</v>
      </c>
      <c r="CE147" s="474">
        <v>0</v>
      </c>
      <c r="CF147" s="513" t="s">
        <v>66</v>
      </c>
      <c r="CG147" s="511"/>
    </row>
    <row r="148" spans="2:85" s="40" customFormat="1" ht="30.75" customHeight="1" x14ac:dyDescent="0.2">
      <c r="B148" s="449" t="s">
        <v>184</v>
      </c>
      <c r="C148" s="450" t="s">
        <v>569</v>
      </c>
      <c r="D148" s="451" t="s">
        <v>260</v>
      </c>
      <c r="E148" s="450" t="s">
        <v>190</v>
      </c>
      <c r="F148" s="451">
        <v>97.242360000000005</v>
      </c>
      <c r="G148" s="451">
        <v>24.264130000000002</v>
      </c>
      <c r="H148" s="451" t="s">
        <v>460</v>
      </c>
      <c r="I148" s="451" t="s">
        <v>214</v>
      </c>
      <c r="J148" s="455">
        <v>2</v>
      </c>
      <c r="K148" s="455">
        <v>9</v>
      </c>
      <c r="L148" s="455">
        <v>9</v>
      </c>
      <c r="M148" s="362" t="str">
        <f t="shared" si="142"/>
        <v>1. Small</v>
      </c>
      <c r="N148" s="701"/>
      <c r="O148" s="456"/>
      <c r="P148" s="463" t="s">
        <v>300</v>
      </c>
      <c r="Q148" s="382" t="str">
        <f t="shared" si="147"/>
        <v>Not covered</v>
      </c>
      <c r="R148" s="464"/>
      <c r="S148" s="465" t="s">
        <v>255</v>
      </c>
      <c r="T148" s="380" t="str">
        <f t="shared" si="148"/>
        <v>Not documented</v>
      </c>
      <c r="U148" s="470">
        <v>0</v>
      </c>
      <c r="V148" s="455">
        <v>0</v>
      </c>
      <c r="W148" s="471" t="s">
        <v>19</v>
      </c>
      <c r="X148" s="470">
        <v>0</v>
      </c>
      <c r="Y148" s="455">
        <v>0</v>
      </c>
      <c r="Z148" s="471">
        <v>0</v>
      </c>
      <c r="AA148" s="479">
        <v>0</v>
      </c>
      <c r="AB148" s="480">
        <v>0</v>
      </c>
      <c r="AC148" s="385">
        <f t="shared" si="149"/>
        <v>0</v>
      </c>
      <c r="AD148" s="364">
        <f t="shared" si="150"/>
        <v>0</v>
      </c>
      <c r="AE148" s="365">
        <f t="shared" si="151"/>
        <v>0</v>
      </c>
      <c r="AF148" s="366">
        <f t="shared" si="152"/>
        <v>0</v>
      </c>
      <c r="AG148" s="363">
        <f t="shared" si="143"/>
        <v>0</v>
      </c>
      <c r="AH148" s="366">
        <f t="shared" si="153"/>
        <v>0</v>
      </c>
      <c r="AI148" s="367" t="str">
        <f t="shared" si="144"/>
        <v>0-10%</v>
      </c>
      <c r="AJ148" s="363">
        <f t="shared" si="145"/>
        <v>0</v>
      </c>
      <c r="AK148" s="368">
        <f t="shared" si="154"/>
        <v>0</v>
      </c>
      <c r="AL148" s="366">
        <f t="shared" si="155"/>
        <v>2.2499999999999999E-2</v>
      </c>
      <c r="AM148" s="366">
        <f t="shared" si="156"/>
        <v>0</v>
      </c>
      <c r="AN148" s="366">
        <f t="shared" si="157"/>
        <v>0</v>
      </c>
      <c r="AO148" s="488">
        <v>0</v>
      </c>
      <c r="AP148" s="486">
        <f t="shared" si="158"/>
        <v>0</v>
      </c>
      <c r="AQ148" s="480"/>
      <c r="AR148" s="733">
        <v>14</v>
      </c>
      <c r="AS148" s="455">
        <v>0</v>
      </c>
      <c r="AT148" s="455">
        <v>0</v>
      </c>
      <c r="AU148" s="455" t="s">
        <v>89</v>
      </c>
      <c r="AV148" s="369">
        <f t="shared" si="159"/>
        <v>0</v>
      </c>
      <c r="AW148" s="366">
        <f t="shared" si="160"/>
        <v>0</v>
      </c>
      <c r="AX148" s="369">
        <f t="shared" si="146"/>
        <v>0</v>
      </c>
      <c r="AY148" s="366">
        <f t="shared" si="161"/>
        <v>0</v>
      </c>
      <c r="AZ148" s="369">
        <f t="shared" si="162"/>
        <v>0</v>
      </c>
      <c r="BA148" s="366">
        <f t="shared" si="163"/>
        <v>0</v>
      </c>
      <c r="BB148" s="493">
        <v>0</v>
      </c>
      <c r="BC148" s="488">
        <v>0</v>
      </c>
      <c r="BD148" s="370">
        <f t="shared" si="164"/>
        <v>0</v>
      </c>
      <c r="BE148" s="371">
        <f t="shared" si="165"/>
        <v>0.45</v>
      </c>
      <c r="BF148" s="455">
        <v>0</v>
      </c>
      <c r="BG148" s="455" t="s">
        <v>89</v>
      </c>
      <c r="BH148" s="369">
        <f t="shared" si="166"/>
        <v>0</v>
      </c>
      <c r="BI148" s="366">
        <f t="shared" si="167"/>
        <v>0</v>
      </c>
      <c r="BJ148" s="371">
        <f t="shared" si="168"/>
        <v>0.09</v>
      </c>
      <c r="BK148" s="494">
        <v>0</v>
      </c>
      <c r="BL148" s="366">
        <f t="shared" si="169"/>
        <v>0</v>
      </c>
      <c r="BM148" s="455">
        <v>0</v>
      </c>
      <c r="BN148" s="369">
        <f t="shared" si="170"/>
        <v>0</v>
      </c>
      <c r="BO148" s="371">
        <f t="shared" si="171"/>
        <v>0.09</v>
      </c>
      <c r="BP148" s="480">
        <v>0</v>
      </c>
      <c r="BQ148" s="501"/>
      <c r="BR148" s="503"/>
      <c r="BS148" s="372" t="str">
        <f t="shared" si="107"/>
        <v>To be realised</v>
      </c>
      <c r="BT148" s="493">
        <v>0</v>
      </c>
      <c r="BU148" s="493">
        <v>0</v>
      </c>
      <c r="BV148" s="373">
        <f t="shared" si="172"/>
        <v>2</v>
      </c>
      <c r="BW148" s="374">
        <f t="shared" si="173"/>
        <v>0</v>
      </c>
      <c r="BX148" s="366">
        <f t="shared" si="174"/>
        <v>0</v>
      </c>
      <c r="BY148" s="387" t="str">
        <f t="shared" si="108"/>
        <v>Column BN to be completed</v>
      </c>
      <c r="BZ148" s="505"/>
      <c r="CA148" s="480">
        <v>0</v>
      </c>
      <c r="CB148" s="389">
        <f t="shared" si="175"/>
        <v>0</v>
      </c>
      <c r="CC148" s="505">
        <v>0</v>
      </c>
      <c r="CD148" s="375" t="str">
        <f t="shared" si="176"/>
        <v>No coverage</v>
      </c>
      <c r="CE148" s="474">
        <v>0</v>
      </c>
      <c r="CF148" s="513" t="s">
        <v>66</v>
      </c>
      <c r="CG148" s="511"/>
    </row>
    <row r="149" spans="2:85" s="40" customFormat="1" ht="30.75" customHeight="1" x14ac:dyDescent="0.2">
      <c r="B149" s="449" t="s">
        <v>184</v>
      </c>
      <c r="C149" s="450" t="s">
        <v>571</v>
      </c>
      <c r="D149" s="451" t="s">
        <v>260</v>
      </c>
      <c r="E149" s="450" t="s">
        <v>191</v>
      </c>
      <c r="F149" s="451">
        <v>97.321659999999994</v>
      </c>
      <c r="G149" s="451">
        <v>24.41</v>
      </c>
      <c r="H149" s="451" t="s">
        <v>460</v>
      </c>
      <c r="I149" s="451" t="s">
        <v>214</v>
      </c>
      <c r="J149" s="455">
        <v>28</v>
      </c>
      <c r="K149" s="455">
        <v>136</v>
      </c>
      <c r="L149" s="455">
        <v>136</v>
      </c>
      <c r="M149" s="362" t="str">
        <f t="shared" si="142"/>
        <v>1. Small</v>
      </c>
      <c r="N149" s="701"/>
      <c r="O149" s="456"/>
      <c r="P149" s="463" t="s">
        <v>300</v>
      </c>
      <c r="Q149" s="382" t="str">
        <f t="shared" si="147"/>
        <v>Not covered</v>
      </c>
      <c r="R149" s="464"/>
      <c r="S149" s="465" t="s">
        <v>255</v>
      </c>
      <c r="T149" s="380" t="str">
        <f t="shared" si="148"/>
        <v>Not documented</v>
      </c>
      <c r="U149" s="470">
        <v>0</v>
      </c>
      <c r="V149" s="455">
        <v>0</v>
      </c>
      <c r="W149" s="471" t="s">
        <v>19</v>
      </c>
      <c r="X149" s="470">
        <v>0</v>
      </c>
      <c r="Y149" s="455">
        <v>0</v>
      </c>
      <c r="Z149" s="471">
        <v>0</v>
      </c>
      <c r="AA149" s="479">
        <v>0</v>
      </c>
      <c r="AB149" s="480">
        <v>0</v>
      </c>
      <c r="AC149" s="385">
        <f t="shared" si="149"/>
        <v>0</v>
      </c>
      <c r="AD149" s="364">
        <f t="shared" si="150"/>
        <v>0</v>
      </c>
      <c r="AE149" s="365">
        <f t="shared" si="151"/>
        <v>0</v>
      </c>
      <c r="AF149" s="366">
        <f t="shared" si="152"/>
        <v>0</v>
      </c>
      <c r="AG149" s="363">
        <f t="shared" si="143"/>
        <v>0</v>
      </c>
      <c r="AH149" s="366">
        <f t="shared" si="153"/>
        <v>0</v>
      </c>
      <c r="AI149" s="367" t="str">
        <f t="shared" si="144"/>
        <v>0-10%</v>
      </c>
      <c r="AJ149" s="363">
        <f t="shared" si="145"/>
        <v>0</v>
      </c>
      <c r="AK149" s="368">
        <f t="shared" si="154"/>
        <v>0</v>
      </c>
      <c r="AL149" s="366">
        <f t="shared" si="155"/>
        <v>0.34</v>
      </c>
      <c r="AM149" s="366">
        <f t="shared" si="156"/>
        <v>0</v>
      </c>
      <c r="AN149" s="366">
        <f t="shared" si="157"/>
        <v>0</v>
      </c>
      <c r="AO149" s="488">
        <v>0</v>
      </c>
      <c r="AP149" s="486">
        <f t="shared" si="158"/>
        <v>0</v>
      </c>
      <c r="AQ149" s="480"/>
      <c r="AR149" s="733">
        <v>23</v>
      </c>
      <c r="AS149" s="455">
        <v>0</v>
      </c>
      <c r="AT149" s="455">
        <v>0</v>
      </c>
      <c r="AU149" s="455" t="s">
        <v>291</v>
      </c>
      <c r="AV149" s="369">
        <f t="shared" si="159"/>
        <v>0</v>
      </c>
      <c r="AW149" s="366">
        <f t="shared" si="160"/>
        <v>0</v>
      </c>
      <c r="AX149" s="369">
        <f t="shared" si="146"/>
        <v>0</v>
      </c>
      <c r="AY149" s="366">
        <f t="shared" si="161"/>
        <v>0</v>
      </c>
      <c r="AZ149" s="369">
        <f t="shared" si="162"/>
        <v>0</v>
      </c>
      <c r="BA149" s="366">
        <f t="shared" si="163"/>
        <v>0</v>
      </c>
      <c r="BB149" s="493">
        <v>0</v>
      </c>
      <c r="BC149" s="488">
        <v>0</v>
      </c>
      <c r="BD149" s="370">
        <f t="shared" si="164"/>
        <v>0</v>
      </c>
      <c r="BE149" s="371">
        <f t="shared" si="165"/>
        <v>6.8</v>
      </c>
      <c r="BF149" s="455">
        <v>0</v>
      </c>
      <c r="BG149" s="455" t="s">
        <v>89</v>
      </c>
      <c r="BH149" s="369">
        <f t="shared" si="166"/>
        <v>0</v>
      </c>
      <c r="BI149" s="366">
        <f t="shared" si="167"/>
        <v>0</v>
      </c>
      <c r="BJ149" s="371">
        <f t="shared" si="168"/>
        <v>1.36</v>
      </c>
      <c r="BK149" s="494">
        <v>0</v>
      </c>
      <c r="BL149" s="366">
        <f t="shared" si="169"/>
        <v>0</v>
      </c>
      <c r="BM149" s="455">
        <v>0</v>
      </c>
      <c r="BN149" s="369">
        <f t="shared" si="170"/>
        <v>0</v>
      </c>
      <c r="BO149" s="371">
        <f t="shared" si="171"/>
        <v>1.36</v>
      </c>
      <c r="BP149" s="480">
        <v>0</v>
      </c>
      <c r="BQ149" s="501"/>
      <c r="BR149" s="503"/>
      <c r="BS149" s="372" t="str">
        <f t="shared" si="107"/>
        <v>To be realised</v>
      </c>
      <c r="BT149" s="493">
        <v>0</v>
      </c>
      <c r="BU149" s="493">
        <v>0</v>
      </c>
      <c r="BV149" s="373">
        <f t="shared" si="172"/>
        <v>28</v>
      </c>
      <c r="BW149" s="374">
        <f t="shared" si="173"/>
        <v>0</v>
      </c>
      <c r="BX149" s="366">
        <f t="shared" si="174"/>
        <v>0</v>
      </c>
      <c r="BY149" s="387" t="str">
        <f t="shared" si="108"/>
        <v>Column BN to be completed</v>
      </c>
      <c r="BZ149" s="505"/>
      <c r="CA149" s="480">
        <v>0</v>
      </c>
      <c r="CB149" s="389">
        <f t="shared" si="175"/>
        <v>0</v>
      </c>
      <c r="CC149" s="505">
        <v>0</v>
      </c>
      <c r="CD149" s="375" t="str">
        <f t="shared" si="176"/>
        <v>No coverage</v>
      </c>
      <c r="CE149" s="474">
        <v>0</v>
      </c>
      <c r="CF149" s="513" t="s">
        <v>66</v>
      </c>
      <c r="CG149" s="511"/>
    </row>
    <row r="150" spans="2:85" s="40" customFormat="1" ht="30.75" customHeight="1" x14ac:dyDescent="0.2">
      <c r="B150" s="449" t="s">
        <v>184</v>
      </c>
      <c r="C150" s="450" t="s">
        <v>574</v>
      </c>
      <c r="D150" s="451" t="s">
        <v>260</v>
      </c>
      <c r="E150" s="450" t="s">
        <v>194</v>
      </c>
      <c r="F150" s="451">
        <v>97.406239999999997</v>
      </c>
      <c r="G150" s="451">
        <v>24.40457</v>
      </c>
      <c r="H150" s="451" t="s">
        <v>460</v>
      </c>
      <c r="I150" s="451" t="s">
        <v>214</v>
      </c>
      <c r="J150" s="455">
        <v>13</v>
      </c>
      <c r="K150" s="455">
        <v>53</v>
      </c>
      <c r="L150" s="455">
        <v>53</v>
      </c>
      <c r="M150" s="362" t="str">
        <f t="shared" si="142"/>
        <v>1. Small</v>
      </c>
      <c r="N150" s="701"/>
      <c r="O150" s="456"/>
      <c r="P150" s="463" t="s">
        <v>300</v>
      </c>
      <c r="Q150" s="382" t="str">
        <f t="shared" si="147"/>
        <v>Not covered</v>
      </c>
      <c r="R150" s="464"/>
      <c r="S150" s="465" t="s">
        <v>255</v>
      </c>
      <c r="T150" s="380" t="str">
        <f t="shared" si="148"/>
        <v>Not documented</v>
      </c>
      <c r="U150" s="470">
        <v>0</v>
      </c>
      <c r="V150" s="455">
        <v>0</v>
      </c>
      <c r="W150" s="471" t="s">
        <v>19</v>
      </c>
      <c r="X150" s="470">
        <v>0</v>
      </c>
      <c r="Y150" s="455">
        <v>0</v>
      </c>
      <c r="Z150" s="471">
        <v>0</v>
      </c>
      <c r="AA150" s="479">
        <v>0</v>
      </c>
      <c r="AB150" s="480">
        <v>0</v>
      </c>
      <c r="AC150" s="385">
        <f t="shared" si="149"/>
        <v>0</v>
      </c>
      <c r="AD150" s="364">
        <f t="shared" si="150"/>
        <v>0</v>
      </c>
      <c r="AE150" s="365">
        <f t="shared" si="151"/>
        <v>0</v>
      </c>
      <c r="AF150" s="366">
        <f t="shared" si="152"/>
        <v>0</v>
      </c>
      <c r="AG150" s="363">
        <f t="shared" si="143"/>
        <v>0</v>
      </c>
      <c r="AH150" s="366">
        <f t="shared" si="153"/>
        <v>0</v>
      </c>
      <c r="AI150" s="367" t="str">
        <f t="shared" si="144"/>
        <v>0-10%</v>
      </c>
      <c r="AJ150" s="363">
        <f t="shared" si="145"/>
        <v>0</v>
      </c>
      <c r="AK150" s="368">
        <f t="shared" si="154"/>
        <v>0</v>
      </c>
      <c r="AL150" s="366">
        <f t="shared" si="155"/>
        <v>0.13250000000000001</v>
      </c>
      <c r="AM150" s="366">
        <f t="shared" si="156"/>
        <v>0</v>
      </c>
      <c r="AN150" s="366">
        <f t="shared" si="157"/>
        <v>0</v>
      </c>
      <c r="AO150" s="488">
        <v>0</v>
      </c>
      <c r="AP150" s="486">
        <f t="shared" si="158"/>
        <v>0</v>
      </c>
      <c r="AQ150" s="480"/>
      <c r="AR150" s="733">
        <v>78</v>
      </c>
      <c r="AS150" s="455">
        <v>0</v>
      </c>
      <c r="AT150" s="455">
        <v>0</v>
      </c>
      <c r="AU150" s="455" t="s">
        <v>89</v>
      </c>
      <c r="AV150" s="369">
        <f t="shared" si="159"/>
        <v>0</v>
      </c>
      <c r="AW150" s="366">
        <f t="shared" si="160"/>
        <v>0</v>
      </c>
      <c r="AX150" s="369">
        <f t="shared" si="146"/>
        <v>0</v>
      </c>
      <c r="AY150" s="366">
        <f t="shared" si="161"/>
        <v>0</v>
      </c>
      <c r="AZ150" s="369">
        <f t="shared" si="162"/>
        <v>0</v>
      </c>
      <c r="BA150" s="366">
        <f t="shared" si="163"/>
        <v>0</v>
      </c>
      <c r="BB150" s="493">
        <v>0</v>
      </c>
      <c r="BC150" s="488">
        <v>0</v>
      </c>
      <c r="BD150" s="370">
        <f t="shared" si="164"/>
        <v>0</v>
      </c>
      <c r="BE150" s="371">
        <f t="shared" si="165"/>
        <v>2.65</v>
      </c>
      <c r="BF150" s="455">
        <v>0</v>
      </c>
      <c r="BG150" s="455" t="s">
        <v>89</v>
      </c>
      <c r="BH150" s="369">
        <f t="shared" si="166"/>
        <v>0</v>
      </c>
      <c r="BI150" s="366">
        <f t="shared" si="167"/>
        <v>0</v>
      </c>
      <c r="BJ150" s="371">
        <f t="shared" si="168"/>
        <v>0.53</v>
      </c>
      <c r="BK150" s="494">
        <v>0</v>
      </c>
      <c r="BL150" s="366">
        <f t="shared" si="169"/>
        <v>0</v>
      </c>
      <c r="BM150" s="455">
        <v>0</v>
      </c>
      <c r="BN150" s="369">
        <f t="shared" si="170"/>
        <v>0</v>
      </c>
      <c r="BO150" s="371">
        <f t="shared" si="171"/>
        <v>0.53</v>
      </c>
      <c r="BP150" s="480">
        <v>0</v>
      </c>
      <c r="BQ150" s="501"/>
      <c r="BR150" s="503"/>
      <c r="BS150" s="372" t="str">
        <f t="shared" ref="BS150:BS180" si="177">IF(BR150="","To be realised",IF(BR150="n/a","n/a",IF(BR150+365&lt;$E$2,"To be realised",BR150+365)))</f>
        <v>To be realised</v>
      </c>
      <c r="BT150" s="493">
        <v>0</v>
      </c>
      <c r="BU150" s="493">
        <v>0</v>
      </c>
      <c r="BV150" s="373">
        <f t="shared" si="172"/>
        <v>13</v>
      </c>
      <c r="BW150" s="374">
        <f t="shared" si="173"/>
        <v>0</v>
      </c>
      <c r="BX150" s="366">
        <f t="shared" si="174"/>
        <v>0</v>
      </c>
      <c r="BY150" s="387" t="str">
        <f t="shared" ref="BY150:BY179" si="178">IF(BR150="","Column BN to be completed", IF(BR150="n/a",0,IF(($E$2-BR150-30)/30-BU150&lt;0,0,ROUND((($E$2-BR150-30)/30-BU150),0))))</f>
        <v>Column BN to be completed</v>
      </c>
      <c r="BZ150" s="505"/>
      <c r="CA150" s="480">
        <v>0</v>
      </c>
      <c r="CB150" s="389">
        <f t="shared" si="175"/>
        <v>0</v>
      </c>
      <c r="CC150" s="505">
        <v>0</v>
      </c>
      <c r="CD150" s="375" t="str">
        <f t="shared" si="176"/>
        <v>No coverage</v>
      </c>
      <c r="CE150" s="474">
        <v>0</v>
      </c>
      <c r="CF150" s="513" t="s">
        <v>66</v>
      </c>
      <c r="CG150" s="511"/>
    </row>
    <row r="151" spans="2:85" s="40" customFormat="1" ht="30.75" customHeight="1" x14ac:dyDescent="0.2">
      <c r="B151" s="449" t="s">
        <v>184</v>
      </c>
      <c r="C151" s="450" t="s">
        <v>576</v>
      </c>
      <c r="D151" s="451" t="s">
        <v>260</v>
      </c>
      <c r="E151" s="450" t="s">
        <v>466</v>
      </c>
      <c r="F151" s="451">
        <v>97.417240000000007</v>
      </c>
      <c r="G151" s="451">
        <v>24.49184</v>
      </c>
      <c r="H151" s="451" t="s">
        <v>460</v>
      </c>
      <c r="I151" s="451" t="s">
        <v>214</v>
      </c>
      <c r="J151" s="452">
        <v>10</v>
      </c>
      <c r="K151" s="452">
        <v>38</v>
      </c>
      <c r="L151" s="452">
        <v>38</v>
      </c>
      <c r="M151" s="362" t="str">
        <f t="shared" si="142"/>
        <v>1. Small</v>
      </c>
      <c r="N151" s="701"/>
      <c r="O151" s="453"/>
      <c r="P151" s="461" t="s">
        <v>300</v>
      </c>
      <c r="Q151" s="382" t="str">
        <f t="shared" si="147"/>
        <v>Not covered</v>
      </c>
      <c r="R151" s="462"/>
      <c r="S151" s="453" t="s">
        <v>255</v>
      </c>
      <c r="T151" s="380" t="str">
        <f t="shared" si="148"/>
        <v>Not documented</v>
      </c>
      <c r="U151" s="468">
        <v>0</v>
      </c>
      <c r="V151" s="452">
        <v>0</v>
      </c>
      <c r="W151" s="469" t="s">
        <v>19</v>
      </c>
      <c r="X151" s="468">
        <v>0</v>
      </c>
      <c r="Y151" s="474">
        <v>0</v>
      </c>
      <c r="Z151" s="475">
        <v>0</v>
      </c>
      <c r="AA151" s="481">
        <v>0</v>
      </c>
      <c r="AB151" s="482">
        <v>0</v>
      </c>
      <c r="AC151" s="385">
        <f t="shared" si="149"/>
        <v>0</v>
      </c>
      <c r="AD151" s="364">
        <f t="shared" si="150"/>
        <v>0</v>
      </c>
      <c r="AE151" s="365">
        <f t="shared" si="151"/>
        <v>0</v>
      </c>
      <c r="AF151" s="366">
        <f t="shared" si="152"/>
        <v>0</v>
      </c>
      <c r="AG151" s="363">
        <f t="shared" si="143"/>
        <v>0</v>
      </c>
      <c r="AH151" s="366">
        <f t="shared" si="153"/>
        <v>0</v>
      </c>
      <c r="AI151" s="367" t="str">
        <f t="shared" si="144"/>
        <v>0-10%</v>
      </c>
      <c r="AJ151" s="363">
        <f t="shared" si="145"/>
        <v>0</v>
      </c>
      <c r="AK151" s="368">
        <f t="shared" si="154"/>
        <v>0</v>
      </c>
      <c r="AL151" s="366">
        <f t="shared" si="155"/>
        <v>9.5000000000000001E-2</v>
      </c>
      <c r="AM151" s="366">
        <f t="shared" si="156"/>
        <v>0</v>
      </c>
      <c r="AN151" s="366">
        <f t="shared" si="157"/>
        <v>0</v>
      </c>
      <c r="AO151" s="485">
        <v>0</v>
      </c>
      <c r="AP151" s="486">
        <f t="shared" si="158"/>
        <v>0</v>
      </c>
      <c r="AQ151" s="475"/>
      <c r="AR151" s="732">
        <v>1</v>
      </c>
      <c r="AS151" s="452">
        <v>0</v>
      </c>
      <c r="AT151" s="452">
        <v>0</v>
      </c>
      <c r="AU151" s="452" t="s">
        <v>292</v>
      </c>
      <c r="AV151" s="369">
        <f t="shared" si="159"/>
        <v>0</v>
      </c>
      <c r="AW151" s="366">
        <f t="shared" si="160"/>
        <v>0</v>
      </c>
      <c r="AX151" s="369">
        <f t="shared" si="146"/>
        <v>0</v>
      </c>
      <c r="AY151" s="366">
        <f t="shared" si="161"/>
        <v>0</v>
      </c>
      <c r="AZ151" s="369">
        <f t="shared" si="162"/>
        <v>0</v>
      </c>
      <c r="BA151" s="366">
        <f t="shared" si="163"/>
        <v>0</v>
      </c>
      <c r="BB151" s="474">
        <v>0</v>
      </c>
      <c r="BC151" s="490">
        <v>0</v>
      </c>
      <c r="BD151" s="370">
        <f t="shared" si="164"/>
        <v>0</v>
      </c>
      <c r="BE151" s="371">
        <f t="shared" si="165"/>
        <v>1.9</v>
      </c>
      <c r="BF151" s="452">
        <v>0</v>
      </c>
      <c r="BG151" s="452" t="s">
        <v>89</v>
      </c>
      <c r="BH151" s="369">
        <f t="shared" si="166"/>
        <v>0</v>
      </c>
      <c r="BI151" s="366">
        <f t="shared" si="167"/>
        <v>0</v>
      </c>
      <c r="BJ151" s="371">
        <f t="shared" si="168"/>
        <v>0.38</v>
      </c>
      <c r="BK151" s="490">
        <v>0</v>
      </c>
      <c r="BL151" s="366">
        <f t="shared" si="169"/>
        <v>0</v>
      </c>
      <c r="BM151" s="452">
        <v>0</v>
      </c>
      <c r="BN151" s="369">
        <f t="shared" si="170"/>
        <v>0</v>
      </c>
      <c r="BO151" s="371">
        <f t="shared" si="171"/>
        <v>0.38</v>
      </c>
      <c r="BP151" s="482">
        <v>0</v>
      </c>
      <c r="BQ151" s="500"/>
      <c r="BR151" s="502"/>
      <c r="BS151" s="372" t="str">
        <f t="shared" si="177"/>
        <v>To be realised</v>
      </c>
      <c r="BT151" s="452">
        <v>0</v>
      </c>
      <c r="BU151" s="452">
        <v>0</v>
      </c>
      <c r="BV151" s="373">
        <f t="shared" si="172"/>
        <v>10</v>
      </c>
      <c r="BW151" s="374">
        <f t="shared" si="173"/>
        <v>0</v>
      </c>
      <c r="BX151" s="366">
        <f t="shared" si="174"/>
        <v>0</v>
      </c>
      <c r="BY151" s="707" t="str">
        <f t="shared" si="178"/>
        <v>Column BN to be completed</v>
      </c>
      <c r="BZ151" s="476"/>
      <c r="CA151" s="482">
        <v>0</v>
      </c>
      <c r="CB151" s="389">
        <f t="shared" si="175"/>
        <v>0</v>
      </c>
      <c r="CC151" s="476">
        <v>0</v>
      </c>
      <c r="CD151" s="375" t="str">
        <f t="shared" si="176"/>
        <v>No coverage</v>
      </c>
      <c r="CE151" s="452">
        <v>0</v>
      </c>
      <c r="CF151" s="469" t="s">
        <v>66</v>
      </c>
      <c r="CG151" s="509"/>
    </row>
    <row r="152" spans="2:85" s="40" customFormat="1" ht="30.75" customHeight="1" x14ac:dyDescent="0.2">
      <c r="B152" s="449" t="s">
        <v>219</v>
      </c>
      <c r="C152" s="450" t="s">
        <v>583</v>
      </c>
      <c r="D152" s="451" t="s">
        <v>260</v>
      </c>
      <c r="E152" s="450" t="s">
        <v>758</v>
      </c>
      <c r="F152" s="451">
        <v>96.807350999999997</v>
      </c>
      <c r="G152" s="451">
        <v>24.200362999999999</v>
      </c>
      <c r="H152" s="451" t="s">
        <v>460</v>
      </c>
      <c r="I152" s="451" t="s">
        <v>214</v>
      </c>
      <c r="J152" s="452">
        <v>15</v>
      </c>
      <c r="K152" s="452">
        <v>40</v>
      </c>
      <c r="L152" s="452">
        <v>40</v>
      </c>
      <c r="M152" s="362" t="str">
        <f t="shared" si="142"/>
        <v>1. Small</v>
      </c>
      <c r="N152" s="701"/>
      <c r="O152" s="453"/>
      <c r="P152" s="461" t="s">
        <v>300</v>
      </c>
      <c r="Q152" s="382" t="str">
        <f t="shared" si="147"/>
        <v>Not covered</v>
      </c>
      <c r="R152" s="462"/>
      <c r="S152" s="453" t="s">
        <v>255</v>
      </c>
      <c r="T152" s="380" t="str">
        <f t="shared" si="148"/>
        <v>Not documented</v>
      </c>
      <c r="U152" s="468">
        <v>0</v>
      </c>
      <c r="V152" s="452">
        <v>0</v>
      </c>
      <c r="W152" s="469" t="s">
        <v>19</v>
      </c>
      <c r="X152" s="468">
        <v>0</v>
      </c>
      <c r="Y152" s="474">
        <v>0</v>
      </c>
      <c r="Z152" s="475">
        <v>0</v>
      </c>
      <c r="AA152" s="481">
        <v>0</v>
      </c>
      <c r="AB152" s="482">
        <v>0</v>
      </c>
      <c r="AC152" s="385">
        <f t="shared" si="149"/>
        <v>0</v>
      </c>
      <c r="AD152" s="364">
        <f t="shared" si="150"/>
        <v>0</v>
      </c>
      <c r="AE152" s="365">
        <f t="shared" si="151"/>
        <v>0</v>
      </c>
      <c r="AF152" s="366">
        <f t="shared" si="152"/>
        <v>0</v>
      </c>
      <c r="AG152" s="363">
        <f t="shared" si="143"/>
        <v>0</v>
      </c>
      <c r="AH152" s="366">
        <f t="shared" si="153"/>
        <v>0</v>
      </c>
      <c r="AI152" s="367" t="str">
        <f t="shared" si="144"/>
        <v>0-10%</v>
      </c>
      <c r="AJ152" s="363">
        <f t="shared" si="145"/>
        <v>0</v>
      </c>
      <c r="AK152" s="368">
        <f t="shared" si="154"/>
        <v>0</v>
      </c>
      <c r="AL152" s="366">
        <f t="shared" si="155"/>
        <v>0.1</v>
      </c>
      <c r="AM152" s="366">
        <f t="shared" si="156"/>
        <v>0</v>
      </c>
      <c r="AN152" s="366">
        <f t="shared" si="157"/>
        <v>0</v>
      </c>
      <c r="AO152" s="485">
        <v>0</v>
      </c>
      <c r="AP152" s="486">
        <f t="shared" si="158"/>
        <v>0</v>
      </c>
      <c r="AQ152" s="475"/>
      <c r="AR152" s="732">
        <v>28</v>
      </c>
      <c r="AS152" s="452">
        <v>0</v>
      </c>
      <c r="AT152" s="452">
        <v>0</v>
      </c>
      <c r="AU152" s="452" t="s">
        <v>291</v>
      </c>
      <c r="AV152" s="369">
        <f t="shared" si="159"/>
        <v>0</v>
      </c>
      <c r="AW152" s="366">
        <f t="shared" si="160"/>
        <v>0</v>
      </c>
      <c r="AX152" s="369">
        <f t="shared" si="146"/>
        <v>0</v>
      </c>
      <c r="AY152" s="366">
        <f t="shared" si="161"/>
        <v>0</v>
      </c>
      <c r="AZ152" s="369">
        <f t="shared" si="162"/>
        <v>0</v>
      </c>
      <c r="BA152" s="366">
        <f t="shared" si="163"/>
        <v>0</v>
      </c>
      <c r="BB152" s="474">
        <v>0</v>
      </c>
      <c r="BC152" s="490">
        <v>0</v>
      </c>
      <c r="BD152" s="370">
        <f t="shared" si="164"/>
        <v>0</v>
      </c>
      <c r="BE152" s="371">
        <f t="shared" si="165"/>
        <v>2</v>
      </c>
      <c r="BF152" s="452">
        <v>0</v>
      </c>
      <c r="BG152" s="452" t="s">
        <v>89</v>
      </c>
      <c r="BH152" s="369">
        <f t="shared" si="166"/>
        <v>0</v>
      </c>
      <c r="BI152" s="366">
        <f t="shared" si="167"/>
        <v>0</v>
      </c>
      <c r="BJ152" s="371">
        <f t="shared" si="168"/>
        <v>0.4</v>
      </c>
      <c r="BK152" s="490">
        <v>0</v>
      </c>
      <c r="BL152" s="366">
        <f t="shared" si="169"/>
        <v>0</v>
      </c>
      <c r="BM152" s="452">
        <v>0</v>
      </c>
      <c r="BN152" s="369">
        <f t="shared" si="170"/>
        <v>0</v>
      </c>
      <c r="BO152" s="371">
        <f t="shared" si="171"/>
        <v>0.4</v>
      </c>
      <c r="BP152" s="482">
        <v>0</v>
      </c>
      <c r="BQ152" s="500"/>
      <c r="BR152" s="502"/>
      <c r="BS152" s="372" t="str">
        <f t="shared" si="177"/>
        <v>To be realised</v>
      </c>
      <c r="BT152" s="452">
        <v>0</v>
      </c>
      <c r="BU152" s="452">
        <v>0</v>
      </c>
      <c r="BV152" s="373">
        <f t="shared" si="172"/>
        <v>15</v>
      </c>
      <c r="BW152" s="374">
        <f t="shared" si="173"/>
        <v>0</v>
      </c>
      <c r="BX152" s="366">
        <f t="shared" si="174"/>
        <v>0</v>
      </c>
      <c r="BY152" s="707" t="str">
        <f t="shared" si="178"/>
        <v>Column BN to be completed</v>
      </c>
      <c r="BZ152" s="506"/>
      <c r="CA152" s="482">
        <v>0</v>
      </c>
      <c r="CB152" s="389">
        <f t="shared" si="175"/>
        <v>0</v>
      </c>
      <c r="CC152" s="476">
        <v>0</v>
      </c>
      <c r="CD152" s="375" t="str">
        <f t="shared" si="176"/>
        <v>No coverage</v>
      </c>
      <c r="CE152" s="452">
        <v>0</v>
      </c>
      <c r="CF152" s="469" t="s">
        <v>66</v>
      </c>
      <c r="CG152" s="509"/>
    </row>
    <row r="153" spans="2:85" s="40" customFormat="1" ht="30.75" customHeight="1" x14ac:dyDescent="0.2">
      <c r="B153" s="449" t="s">
        <v>184</v>
      </c>
      <c r="C153" s="450" t="s">
        <v>567</v>
      </c>
      <c r="D153" s="451" t="s">
        <v>266</v>
      </c>
      <c r="E153" s="450" t="s">
        <v>482</v>
      </c>
      <c r="F153" s="451">
        <v>97.724000000000004</v>
      </c>
      <c r="G153" s="451">
        <v>24.204999999999998</v>
      </c>
      <c r="H153" s="451" t="s">
        <v>450</v>
      </c>
      <c r="I153" s="451" t="s">
        <v>214</v>
      </c>
      <c r="J153" s="452">
        <v>40</v>
      </c>
      <c r="K153" s="452">
        <v>136</v>
      </c>
      <c r="L153" s="452">
        <v>136</v>
      </c>
      <c r="M153" s="362" t="str">
        <f t="shared" si="142"/>
        <v>1. Small</v>
      </c>
      <c r="N153" s="701" t="s">
        <v>254</v>
      </c>
      <c r="O153" s="453" t="s">
        <v>231</v>
      </c>
      <c r="P153" s="461" t="s">
        <v>300</v>
      </c>
      <c r="Q153" s="382" t="str">
        <f t="shared" si="147"/>
        <v>Not covered</v>
      </c>
      <c r="R153" s="462">
        <v>42521</v>
      </c>
      <c r="S153" s="453" t="s">
        <v>253</v>
      </c>
      <c r="T153" s="380" t="str">
        <f t="shared" si="148"/>
        <v>Documented</v>
      </c>
      <c r="U153" s="468">
        <v>0</v>
      </c>
      <c r="V153" s="452">
        <v>0</v>
      </c>
      <c r="W153" s="469" t="s">
        <v>19</v>
      </c>
      <c r="X153" s="468">
        <v>2</v>
      </c>
      <c r="Y153" s="474">
        <v>1</v>
      </c>
      <c r="Z153" s="475">
        <v>2720</v>
      </c>
      <c r="AA153" s="481">
        <v>0</v>
      </c>
      <c r="AB153" s="482">
        <v>0</v>
      </c>
      <c r="AC153" s="385">
        <f t="shared" si="149"/>
        <v>1</v>
      </c>
      <c r="AD153" s="364">
        <f t="shared" si="150"/>
        <v>136</v>
      </c>
      <c r="AE153" s="365">
        <f t="shared" si="151"/>
        <v>1</v>
      </c>
      <c r="AF153" s="366">
        <f t="shared" si="152"/>
        <v>136</v>
      </c>
      <c r="AG153" s="363">
        <f t="shared" si="143"/>
        <v>1</v>
      </c>
      <c r="AH153" s="366">
        <f t="shared" si="153"/>
        <v>136</v>
      </c>
      <c r="AI153" s="367" t="str">
        <f t="shared" si="144"/>
        <v>80-100%</v>
      </c>
      <c r="AJ153" s="363">
        <f t="shared" si="145"/>
        <v>0</v>
      </c>
      <c r="AK153" s="368">
        <f t="shared" si="154"/>
        <v>0</v>
      </c>
      <c r="AL153" s="366">
        <f t="shared" si="155"/>
        <v>0</v>
      </c>
      <c r="AM153" s="366">
        <f t="shared" si="156"/>
        <v>0</v>
      </c>
      <c r="AN153" s="366">
        <f t="shared" si="157"/>
        <v>0</v>
      </c>
      <c r="AO153" s="485">
        <v>1</v>
      </c>
      <c r="AP153" s="486">
        <f t="shared" si="158"/>
        <v>136</v>
      </c>
      <c r="AQ153" s="475"/>
      <c r="AR153" s="732">
        <v>20</v>
      </c>
      <c r="AS153" s="452">
        <v>9</v>
      </c>
      <c r="AT153" s="452">
        <v>0</v>
      </c>
      <c r="AU153" s="452" t="s">
        <v>292</v>
      </c>
      <c r="AV153" s="369">
        <f t="shared" si="159"/>
        <v>1</v>
      </c>
      <c r="AW153" s="366">
        <f t="shared" si="160"/>
        <v>136</v>
      </c>
      <c r="AX153" s="369">
        <f t="shared" si="146"/>
        <v>1</v>
      </c>
      <c r="AY153" s="366">
        <f t="shared" si="161"/>
        <v>136</v>
      </c>
      <c r="AZ153" s="369">
        <f t="shared" si="162"/>
        <v>0</v>
      </c>
      <c r="BA153" s="366">
        <f t="shared" si="163"/>
        <v>0</v>
      </c>
      <c r="BB153" s="474">
        <v>0</v>
      </c>
      <c r="BC153" s="490">
        <v>1</v>
      </c>
      <c r="BD153" s="370">
        <f t="shared" si="164"/>
        <v>136</v>
      </c>
      <c r="BE153" s="371">
        <f t="shared" si="165"/>
        <v>6.8</v>
      </c>
      <c r="BF153" s="452">
        <v>1</v>
      </c>
      <c r="BG153" s="452" t="s">
        <v>89</v>
      </c>
      <c r="BH153" s="369">
        <f t="shared" si="166"/>
        <v>0.73529411764705888</v>
      </c>
      <c r="BI153" s="366">
        <f t="shared" si="167"/>
        <v>100</v>
      </c>
      <c r="BJ153" s="371">
        <f t="shared" si="168"/>
        <v>0.3600000000000001</v>
      </c>
      <c r="BK153" s="490">
        <v>0.74</v>
      </c>
      <c r="BL153" s="366">
        <f t="shared" si="169"/>
        <v>100.64</v>
      </c>
      <c r="BM153" s="452">
        <v>0</v>
      </c>
      <c r="BN153" s="369">
        <f t="shared" si="170"/>
        <v>0</v>
      </c>
      <c r="BO153" s="371">
        <f t="shared" si="171"/>
        <v>1.36</v>
      </c>
      <c r="BP153" s="482">
        <v>0</v>
      </c>
      <c r="BQ153" s="500"/>
      <c r="BR153" s="502">
        <v>41584</v>
      </c>
      <c r="BS153" s="372" t="str">
        <f t="shared" si="177"/>
        <v>To be realised</v>
      </c>
      <c r="BT153" s="452">
        <v>5</v>
      </c>
      <c r="BU153" s="452">
        <v>3</v>
      </c>
      <c r="BV153" s="373">
        <f t="shared" si="172"/>
        <v>40</v>
      </c>
      <c r="BW153" s="374">
        <f t="shared" si="173"/>
        <v>0</v>
      </c>
      <c r="BX153" s="366">
        <f t="shared" si="174"/>
        <v>0</v>
      </c>
      <c r="BY153" s="707">
        <f t="shared" si="178"/>
        <v>17</v>
      </c>
      <c r="BZ153" s="476"/>
      <c r="CA153" s="482">
        <v>0</v>
      </c>
      <c r="CB153" s="389">
        <f t="shared" si="175"/>
        <v>0</v>
      </c>
      <c r="CC153" s="476">
        <v>0</v>
      </c>
      <c r="CD153" s="375" t="str">
        <f t="shared" si="176"/>
        <v>No coverage</v>
      </c>
      <c r="CE153" s="452">
        <v>0</v>
      </c>
      <c r="CF153" s="469" t="s">
        <v>66</v>
      </c>
      <c r="CG153" s="509"/>
    </row>
    <row r="154" spans="2:85" s="40" customFormat="1" ht="30.75" customHeight="1" x14ac:dyDescent="0.2">
      <c r="B154" s="449" t="s">
        <v>182</v>
      </c>
      <c r="C154" s="450" t="s">
        <v>703</v>
      </c>
      <c r="D154" s="451" t="s">
        <v>267</v>
      </c>
      <c r="E154" s="450" t="s">
        <v>676</v>
      </c>
      <c r="F154" s="451">
        <v>97.590767</v>
      </c>
      <c r="G154" s="451">
        <v>23.829599000000002</v>
      </c>
      <c r="H154" s="451" t="s">
        <v>449</v>
      </c>
      <c r="I154" s="451" t="s">
        <v>214</v>
      </c>
      <c r="J154" s="452">
        <v>114</v>
      </c>
      <c r="K154" s="452">
        <v>486</v>
      </c>
      <c r="L154" s="452">
        <v>486</v>
      </c>
      <c r="M154" s="362" t="str">
        <f t="shared" si="142"/>
        <v>2. Medium</v>
      </c>
      <c r="N154" s="701" t="s">
        <v>836</v>
      </c>
      <c r="O154" s="453" t="s">
        <v>235</v>
      </c>
      <c r="P154" s="461" t="s">
        <v>233</v>
      </c>
      <c r="Q154" s="382" t="str">
        <f t="shared" si="147"/>
        <v>Covered</v>
      </c>
      <c r="R154" s="462">
        <v>42460</v>
      </c>
      <c r="S154" s="453" t="s">
        <v>253</v>
      </c>
      <c r="T154" s="380" t="str">
        <f t="shared" si="148"/>
        <v>Documented</v>
      </c>
      <c r="U154" s="468">
        <v>0</v>
      </c>
      <c r="V154" s="452">
        <v>0</v>
      </c>
      <c r="W154" s="469" t="s">
        <v>19</v>
      </c>
      <c r="X154" s="468">
        <v>0</v>
      </c>
      <c r="Y154" s="474">
        <v>0</v>
      </c>
      <c r="Z154" s="475">
        <v>28000</v>
      </c>
      <c r="AA154" s="481">
        <v>0</v>
      </c>
      <c r="AB154" s="482">
        <v>0</v>
      </c>
      <c r="AC154" s="385">
        <f t="shared" si="149"/>
        <v>1</v>
      </c>
      <c r="AD154" s="364">
        <f t="shared" si="150"/>
        <v>486</v>
      </c>
      <c r="AE154" s="365">
        <f t="shared" si="151"/>
        <v>1</v>
      </c>
      <c r="AF154" s="366">
        <f t="shared" si="152"/>
        <v>486</v>
      </c>
      <c r="AG154" s="363">
        <f t="shared" si="143"/>
        <v>1</v>
      </c>
      <c r="AH154" s="366">
        <f t="shared" si="153"/>
        <v>486</v>
      </c>
      <c r="AI154" s="367" t="str">
        <f t="shared" si="144"/>
        <v>80-100%</v>
      </c>
      <c r="AJ154" s="363">
        <f t="shared" si="145"/>
        <v>0</v>
      </c>
      <c r="AK154" s="368">
        <f t="shared" si="154"/>
        <v>0</v>
      </c>
      <c r="AL154" s="366">
        <f t="shared" si="155"/>
        <v>1.2150000000000001</v>
      </c>
      <c r="AM154" s="366">
        <f t="shared" si="156"/>
        <v>0</v>
      </c>
      <c r="AN154" s="366">
        <f t="shared" si="157"/>
        <v>0</v>
      </c>
      <c r="AO154" s="485">
        <v>1</v>
      </c>
      <c r="AP154" s="486">
        <f t="shared" si="158"/>
        <v>486</v>
      </c>
      <c r="AQ154" s="475" t="s">
        <v>839</v>
      </c>
      <c r="AR154" s="732">
        <v>10</v>
      </c>
      <c r="AS154" s="452">
        <v>1</v>
      </c>
      <c r="AT154" s="452">
        <v>9</v>
      </c>
      <c r="AU154" s="452" t="s">
        <v>291</v>
      </c>
      <c r="AV154" s="369">
        <f t="shared" si="159"/>
        <v>0.41152263374485598</v>
      </c>
      <c r="AW154" s="366">
        <f t="shared" si="160"/>
        <v>200</v>
      </c>
      <c r="AX154" s="369">
        <f t="shared" si="146"/>
        <v>4.1152263374485631E-2</v>
      </c>
      <c r="AY154" s="366">
        <f t="shared" si="161"/>
        <v>20.000000000000018</v>
      </c>
      <c r="AZ154" s="369">
        <f t="shared" si="162"/>
        <v>0.37037037037037035</v>
      </c>
      <c r="BA154" s="366">
        <f t="shared" si="163"/>
        <v>180</v>
      </c>
      <c r="BB154" s="474">
        <v>7</v>
      </c>
      <c r="BC154" s="490">
        <v>1</v>
      </c>
      <c r="BD154" s="370">
        <f t="shared" si="164"/>
        <v>486</v>
      </c>
      <c r="BE154" s="371">
        <f t="shared" si="165"/>
        <v>22.3</v>
      </c>
      <c r="BF154" s="452">
        <v>5</v>
      </c>
      <c r="BG154" s="452" t="s">
        <v>291</v>
      </c>
      <c r="BH154" s="369">
        <f t="shared" si="166"/>
        <v>1</v>
      </c>
      <c r="BI154" s="366">
        <f t="shared" si="167"/>
        <v>486</v>
      </c>
      <c r="BJ154" s="371">
        <f t="shared" si="168"/>
        <v>0</v>
      </c>
      <c r="BK154" s="490">
        <v>1</v>
      </c>
      <c r="BL154" s="366">
        <f t="shared" si="169"/>
        <v>486</v>
      </c>
      <c r="BM154" s="452">
        <v>4</v>
      </c>
      <c r="BN154" s="369">
        <f t="shared" si="170"/>
        <v>0.82304526748971196</v>
      </c>
      <c r="BO154" s="371">
        <f t="shared" si="171"/>
        <v>0.86000000000000032</v>
      </c>
      <c r="BP154" s="482">
        <v>0.82</v>
      </c>
      <c r="BQ154" s="500" t="s">
        <v>772</v>
      </c>
      <c r="BR154" s="502">
        <v>41741</v>
      </c>
      <c r="BS154" s="372" t="str">
        <f t="shared" si="177"/>
        <v>To be realised</v>
      </c>
      <c r="BT154" s="452">
        <v>117</v>
      </c>
      <c r="BU154" s="452">
        <v>3</v>
      </c>
      <c r="BV154" s="373">
        <f t="shared" si="172"/>
        <v>114</v>
      </c>
      <c r="BW154" s="374">
        <f t="shared" si="173"/>
        <v>0</v>
      </c>
      <c r="BX154" s="366">
        <f t="shared" si="174"/>
        <v>0</v>
      </c>
      <c r="BY154" s="707">
        <f t="shared" si="178"/>
        <v>12</v>
      </c>
      <c r="BZ154" s="476" t="s">
        <v>860</v>
      </c>
      <c r="CA154" s="482">
        <v>1</v>
      </c>
      <c r="CB154" s="389">
        <f t="shared" si="175"/>
        <v>486</v>
      </c>
      <c r="CC154" s="476">
        <v>9</v>
      </c>
      <c r="CD154" s="375" t="str">
        <f t="shared" si="176"/>
        <v>Excellent coverage</v>
      </c>
      <c r="CE154" s="452">
        <v>0</v>
      </c>
      <c r="CF154" s="469" t="s">
        <v>65</v>
      </c>
      <c r="CG154" s="509"/>
    </row>
    <row r="155" spans="2:85" s="40" customFormat="1" ht="30.75" customHeight="1" x14ac:dyDescent="0.2">
      <c r="B155" s="449" t="s">
        <v>182</v>
      </c>
      <c r="C155" s="450" t="s">
        <v>704</v>
      </c>
      <c r="D155" s="451" t="s">
        <v>267</v>
      </c>
      <c r="E155" s="450" t="s">
        <v>624</v>
      </c>
      <c r="F155" s="451">
        <v>97.577347000000003</v>
      </c>
      <c r="G155" s="451">
        <v>23.836462999999998</v>
      </c>
      <c r="H155" s="451" t="s">
        <v>449</v>
      </c>
      <c r="I155" s="451" t="s">
        <v>214</v>
      </c>
      <c r="J155" s="452">
        <v>121</v>
      </c>
      <c r="K155" s="452">
        <v>549</v>
      </c>
      <c r="L155" s="452">
        <v>549</v>
      </c>
      <c r="M155" s="362" t="str">
        <f t="shared" si="142"/>
        <v>2. Medium</v>
      </c>
      <c r="N155" s="701" t="s">
        <v>837</v>
      </c>
      <c r="O155" s="453" t="s">
        <v>231</v>
      </c>
      <c r="P155" s="461" t="s">
        <v>411</v>
      </c>
      <c r="Q155" s="382" t="str">
        <f t="shared" si="147"/>
        <v>Covered</v>
      </c>
      <c r="R155" s="462">
        <v>42247</v>
      </c>
      <c r="S155" s="453" t="s">
        <v>253</v>
      </c>
      <c r="T155" s="380" t="str">
        <f t="shared" si="148"/>
        <v>Documented</v>
      </c>
      <c r="U155" s="468">
        <v>0</v>
      </c>
      <c r="V155" s="452">
        <v>0</v>
      </c>
      <c r="W155" s="469" t="s">
        <v>19</v>
      </c>
      <c r="X155" s="468">
        <v>0</v>
      </c>
      <c r="Y155" s="474">
        <v>0</v>
      </c>
      <c r="Z155" s="475">
        <v>8000</v>
      </c>
      <c r="AA155" s="481">
        <v>1</v>
      </c>
      <c r="AB155" s="482">
        <v>0</v>
      </c>
      <c r="AC155" s="385">
        <f t="shared" si="149"/>
        <v>0.97146326654523385</v>
      </c>
      <c r="AD155" s="364">
        <f t="shared" si="150"/>
        <v>533.33333333333337</v>
      </c>
      <c r="AE155" s="365">
        <f t="shared" si="151"/>
        <v>0.97146326654523385</v>
      </c>
      <c r="AF155" s="366">
        <f t="shared" si="152"/>
        <v>533.33333333333337</v>
      </c>
      <c r="AG155" s="363">
        <f t="shared" si="143"/>
        <v>0.97146326654523385</v>
      </c>
      <c r="AH155" s="366">
        <f t="shared" si="153"/>
        <v>533.33333333333337</v>
      </c>
      <c r="AI155" s="367" t="str">
        <f t="shared" si="144"/>
        <v>80-100%</v>
      </c>
      <c r="AJ155" s="363">
        <f t="shared" si="145"/>
        <v>0</v>
      </c>
      <c r="AK155" s="368">
        <f t="shared" si="154"/>
        <v>0</v>
      </c>
      <c r="AL155" s="366">
        <f t="shared" si="155"/>
        <v>1.3725000000000001</v>
      </c>
      <c r="AM155" s="366">
        <f t="shared" si="156"/>
        <v>0</v>
      </c>
      <c r="AN155" s="366">
        <f t="shared" si="157"/>
        <v>549</v>
      </c>
      <c r="AO155" s="485">
        <v>1</v>
      </c>
      <c r="AP155" s="486">
        <f t="shared" si="158"/>
        <v>549</v>
      </c>
      <c r="AQ155" s="475"/>
      <c r="AR155" s="732">
        <v>0</v>
      </c>
      <c r="AS155" s="452">
        <v>24</v>
      </c>
      <c r="AT155" s="452">
        <v>0</v>
      </c>
      <c r="AU155" s="452" t="s">
        <v>290</v>
      </c>
      <c r="AV155" s="369">
        <f t="shared" si="159"/>
        <v>0.87431693989071035</v>
      </c>
      <c r="AW155" s="366">
        <f t="shared" si="160"/>
        <v>480</v>
      </c>
      <c r="AX155" s="369">
        <f t="shared" ref="AX155:AX179" si="179">AV155-AZ155</f>
        <v>0.87431693989071035</v>
      </c>
      <c r="AY155" s="366">
        <f t="shared" si="161"/>
        <v>480</v>
      </c>
      <c r="AZ155" s="369">
        <f t="shared" si="162"/>
        <v>0</v>
      </c>
      <c r="BA155" s="366">
        <f t="shared" si="163"/>
        <v>0</v>
      </c>
      <c r="BB155" s="474">
        <v>0</v>
      </c>
      <c r="BC155" s="490">
        <v>0.87</v>
      </c>
      <c r="BD155" s="370">
        <f t="shared" si="164"/>
        <v>477.63</v>
      </c>
      <c r="BE155" s="371">
        <f t="shared" si="165"/>
        <v>27.45</v>
      </c>
      <c r="BF155" s="452">
        <v>2</v>
      </c>
      <c r="BG155" s="452" t="s">
        <v>291</v>
      </c>
      <c r="BH155" s="369">
        <f t="shared" si="166"/>
        <v>0.36429872495446264</v>
      </c>
      <c r="BI155" s="366">
        <f t="shared" si="167"/>
        <v>200</v>
      </c>
      <c r="BJ155" s="371">
        <f t="shared" si="168"/>
        <v>3.49</v>
      </c>
      <c r="BK155" s="490">
        <v>0.42</v>
      </c>
      <c r="BL155" s="366">
        <f t="shared" si="169"/>
        <v>230.57999999999998</v>
      </c>
      <c r="BM155" s="452">
        <v>4</v>
      </c>
      <c r="BN155" s="369">
        <f t="shared" si="170"/>
        <v>0.72859744990892528</v>
      </c>
      <c r="BO155" s="371">
        <f t="shared" si="171"/>
        <v>1.4900000000000002</v>
      </c>
      <c r="BP155" s="482">
        <v>0.82</v>
      </c>
      <c r="BQ155" s="500" t="s">
        <v>774</v>
      </c>
      <c r="BR155" s="502">
        <v>42143</v>
      </c>
      <c r="BS155" s="372">
        <f t="shared" si="177"/>
        <v>42508</v>
      </c>
      <c r="BT155" s="452">
        <v>121</v>
      </c>
      <c r="BU155" s="452">
        <v>12</v>
      </c>
      <c r="BV155" s="373">
        <f t="shared" si="172"/>
        <v>0</v>
      </c>
      <c r="BW155" s="374">
        <f t="shared" si="173"/>
        <v>1</v>
      </c>
      <c r="BX155" s="366">
        <f t="shared" si="174"/>
        <v>549</v>
      </c>
      <c r="BY155" s="707">
        <f t="shared" si="178"/>
        <v>0</v>
      </c>
      <c r="BZ155" s="476"/>
      <c r="CA155" s="482">
        <v>0.5</v>
      </c>
      <c r="CB155" s="389">
        <f t="shared" si="175"/>
        <v>274.5</v>
      </c>
      <c r="CC155" s="476">
        <v>7</v>
      </c>
      <c r="CD155" s="375" t="str">
        <f t="shared" si="176"/>
        <v>Excellent coverage</v>
      </c>
      <c r="CE155" s="452">
        <v>0</v>
      </c>
      <c r="CF155" s="469" t="s">
        <v>65</v>
      </c>
      <c r="CG155" s="509"/>
    </row>
    <row r="156" spans="2:85" s="40" customFormat="1" ht="30.75" customHeight="1" x14ac:dyDescent="0.2">
      <c r="B156" s="449" t="s">
        <v>210</v>
      </c>
      <c r="C156" s="450" t="s">
        <v>705</v>
      </c>
      <c r="D156" s="451" t="s">
        <v>267</v>
      </c>
      <c r="E156" s="450" t="s">
        <v>480</v>
      </c>
      <c r="F156" s="451">
        <v>97.909217999999996</v>
      </c>
      <c r="G156" s="451">
        <v>24.005448999999999</v>
      </c>
      <c r="H156" s="451" t="s">
        <v>449</v>
      </c>
      <c r="I156" s="451" t="s">
        <v>214</v>
      </c>
      <c r="J156" s="452">
        <v>82</v>
      </c>
      <c r="K156" s="452">
        <v>331</v>
      </c>
      <c r="L156" s="452">
        <v>331</v>
      </c>
      <c r="M156" s="362" t="str">
        <f t="shared" si="142"/>
        <v>2. Medium</v>
      </c>
      <c r="N156" s="701" t="s">
        <v>836</v>
      </c>
      <c r="O156" s="453" t="s">
        <v>235</v>
      </c>
      <c r="P156" s="461" t="s">
        <v>233</v>
      </c>
      <c r="Q156" s="382" t="str">
        <f t="shared" si="147"/>
        <v>Covered</v>
      </c>
      <c r="R156" s="462">
        <v>42460</v>
      </c>
      <c r="S156" s="453" t="s">
        <v>253</v>
      </c>
      <c r="T156" s="380" t="str">
        <f t="shared" si="148"/>
        <v>Documented</v>
      </c>
      <c r="U156" s="468">
        <v>0</v>
      </c>
      <c r="V156" s="452">
        <v>0</v>
      </c>
      <c r="W156" s="469" t="s">
        <v>19</v>
      </c>
      <c r="X156" s="468">
        <v>0</v>
      </c>
      <c r="Y156" s="474">
        <v>0</v>
      </c>
      <c r="Z156" s="475">
        <v>20000</v>
      </c>
      <c r="AA156" s="481">
        <v>1</v>
      </c>
      <c r="AB156" s="482">
        <v>0</v>
      </c>
      <c r="AC156" s="385">
        <f t="shared" si="149"/>
        <v>1</v>
      </c>
      <c r="AD156" s="364">
        <f t="shared" si="150"/>
        <v>331</v>
      </c>
      <c r="AE156" s="365">
        <f t="shared" si="151"/>
        <v>1</v>
      </c>
      <c r="AF156" s="366">
        <f t="shared" si="152"/>
        <v>331</v>
      </c>
      <c r="AG156" s="363">
        <f t="shared" si="143"/>
        <v>1</v>
      </c>
      <c r="AH156" s="366">
        <f t="shared" si="153"/>
        <v>331</v>
      </c>
      <c r="AI156" s="367" t="str">
        <f t="shared" si="144"/>
        <v>80-100%</v>
      </c>
      <c r="AJ156" s="363">
        <f t="shared" si="145"/>
        <v>0</v>
      </c>
      <c r="AK156" s="368">
        <f t="shared" si="154"/>
        <v>0</v>
      </c>
      <c r="AL156" s="366">
        <f t="shared" si="155"/>
        <v>0.82750000000000001</v>
      </c>
      <c r="AM156" s="366">
        <f t="shared" si="156"/>
        <v>0</v>
      </c>
      <c r="AN156" s="366">
        <f t="shared" si="157"/>
        <v>331</v>
      </c>
      <c r="AO156" s="485">
        <v>1</v>
      </c>
      <c r="AP156" s="486">
        <f t="shared" si="158"/>
        <v>331</v>
      </c>
      <c r="AQ156" s="475"/>
      <c r="AR156" s="732">
        <v>65</v>
      </c>
      <c r="AS156" s="452">
        <v>20</v>
      </c>
      <c r="AT156" s="452">
        <v>0</v>
      </c>
      <c r="AU156" s="452" t="s">
        <v>290</v>
      </c>
      <c r="AV156" s="369">
        <f t="shared" si="159"/>
        <v>1</v>
      </c>
      <c r="AW156" s="366">
        <f t="shared" si="160"/>
        <v>331</v>
      </c>
      <c r="AX156" s="369">
        <f t="shared" si="179"/>
        <v>1</v>
      </c>
      <c r="AY156" s="366">
        <f t="shared" si="161"/>
        <v>331</v>
      </c>
      <c r="AZ156" s="369">
        <f t="shared" si="162"/>
        <v>0</v>
      </c>
      <c r="BA156" s="366">
        <f t="shared" si="163"/>
        <v>0</v>
      </c>
      <c r="BB156" s="474">
        <v>3</v>
      </c>
      <c r="BC156" s="490">
        <v>1</v>
      </c>
      <c r="BD156" s="370">
        <f t="shared" si="164"/>
        <v>331</v>
      </c>
      <c r="BE156" s="371">
        <f t="shared" si="165"/>
        <v>19.55</v>
      </c>
      <c r="BF156" s="452">
        <v>4</v>
      </c>
      <c r="BG156" s="452" t="s">
        <v>291</v>
      </c>
      <c r="BH156" s="369">
        <f t="shared" si="166"/>
        <v>1</v>
      </c>
      <c r="BI156" s="366">
        <f t="shared" si="167"/>
        <v>331</v>
      </c>
      <c r="BJ156" s="371">
        <f t="shared" si="168"/>
        <v>0</v>
      </c>
      <c r="BK156" s="490">
        <v>1</v>
      </c>
      <c r="BL156" s="366">
        <f t="shared" si="169"/>
        <v>331</v>
      </c>
      <c r="BM156" s="452">
        <v>2</v>
      </c>
      <c r="BN156" s="369">
        <f t="shared" si="170"/>
        <v>0.60422960725075525</v>
      </c>
      <c r="BO156" s="371">
        <f t="shared" si="171"/>
        <v>1.31</v>
      </c>
      <c r="BP156" s="482">
        <v>0.7</v>
      </c>
      <c r="BQ156" s="500" t="s">
        <v>747</v>
      </c>
      <c r="BR156" s="502">
        <v>42135</v>
      </c>
      <c r="BS156" s="372">
        <f t="shared" si="177"/>
        <v>42500</v>
      </c>
      <c r="BT156" s="452">
        <v>81</v>
      </c>
      <c r="BU156" s="452">
        <v>1</v>
      </c>
      <c r="BV156" s="373">
        <f t="shared" si="172"/>
        <v>1</v>
      </c>
      <c r="BW156" s="374">
        <f t="shared" si="173"/>
        <v>0.98780487804878048</v>
      </c>
      <c r="BX156" s="366">
        <f t="shared" si="174"/>
        <v>326.96341463414632</v>
      </c>
      <c r="BY156" s="707">
        <f t="shared" si="178"/>
        <v>1</v>
      </c>
      <c r="BZ156" s="506"/>
      <c r="CA156" s="482">
        <v>0.5</v>
      </c>
      <c r="CB156" s="389">
        <f t="shared" si="175"/>
        <v>165.5</v>
      </c>
      <c r="CC156" s="476">
        <v>2</v>
      </c>
      <c r="CD156" s="375" t="str">
        <f t="shared" si="176"/>
        <v>Excellent coverage</v>
      </c>
      <c r="CE156" s="452">
        <v>0</v>
      </c>
      <c r="CF156" s="469" t="s">
        <v>65</v>
      </c>
      <c r="CG156" s="509"/>
    </row>
    <row r="157" spans="2:85" s="40" customFormat="1" ht="30.75" customHeight="1" x14ac:dyDescent="0.2">
      <c r="B157" s="449" t="s">
        <v>210</v>
      </c>
      <c r="C157" s="450" t="s">
        <v>706</v>
      </c>
      <c r="D157" s="451" t="s">
        <v>267</v>
      </c>
      <c r="E157" s="450" t="s">
        <v>481</v>
      </c>
      <c r="F157" s="451">
        <v>97.911671100000007</v>
      </c>
      <c r="G157" s="451">
        <v>24.006896999999999</v>
      </c>
      <c r="H157" s="451" t="s">
        <v>449</v>
      </c>
      <c r="I157" s="451" t="s">
        <v>214</v>
      </c>
      <c r="J157" s="452">
        <v>31</v>
      </c>
      <c r="K157" s="452">
        <v>127</v>
      </c>
      <c r="L157" s="452">
        <v>127</v>
      </c>
      <c r="M157" s="362" t="str">
        <f t="shared" si="142"/>
        <v>1. Small</v>
      </c>
      <c r="N157" s="701" t="s">
        <v>837</v>
      </c>
      <c r="O157" s="453" t="s">
        <v>231</v>
      </c>
      <c r="P157" s="461" t="s">
        <v>411</v>
      </c>
      <c r="Q157" s="382" t="str">
        <f t="shared" si="147"/>
        <v>Covered</v>
      </c>
      <c r="R157" s="462">
        <v>42247</v>
      </c>
      <c r="S157" s="453" t="s">
        <v>253</v>
      </c>
      <c r="T157" s="380" t="str">
        <f t="shared" si="148"/>
        <v>Documented</v>
      </c>
      <c r="U157" s="468">
        <v>0</v>
      </c>
      <c r="V157" s="452">
        <v>0</v>
      </c>
      <c r="W157" s="469" t="s">
        <v>19</v>
      </c>
      <c r="X157" s="468">
        <v>0</v>
      </c>
      <c r="Y157" s="474">
        <v>0</v>
      </c>
      <c r="Z157" s="475">
        <v>5000</v>
      </c>
      <c r="AA157" s="481">
        <v>0.6</v>
      </c>
      <c r="AB157" s="482">
        <v>0</v>
      </c>
      <c r="AC157" s="385">
        <f t="shared" si="149"/>
        <v>1</v>
      </c>
      <c r="AD157" s="364">
        <f t="shared" si="150"/>
        <v>127</v>
      </c>
      <c r="AE157" s="365">
        <f t="shared" si="151"/>
        <v>1</v>
      </c>
      <c r="AF157" s="366">
        <f t="shared" si="152"/>
        <v>127</v>
      </c>
      <c r="AG157" s="363">
        <f t="shared" si="143"/>
        <v>1</v>
      </c>
      <c r="AH157" s="366">
        <f t="shared" si="153"/>
        <v>127</v>
      </c>
      <c r="AI157" s="367" t="str">
        <f t="shared" si="144"/>
        <v>80-100%</v>
      </c>
      <c r="AJ157" s="363">
        <f t="shared" si="145"/>
        <v>0</v>
      </c>
      <c r="AK157" s="368">
        <f t="shared" si="154"/>
        <v>0</v>
      </c>
      <c r="AL157" s="366">
        <f t="shared" si="155"/>
        <v>0.3175</v>
      </c>
      <c r="AM157" s="366">
        <f t="shared" si="156"/>
        <v>0</v>
      </c>
      <c r="AN157" s="366">
        <f t="shared" si="157"/>
        <v>76.2</v>
      </c>
      <c r="AO157" s="485">
        <v>1</v>
      </c>
      <c r="AP157" s="486">
        <f t="shared" si="158"/>
        <v>127</v>
      </c>
      <c r="AQ157" s="475"/>
      <c r="AR157" s="732">
        <v>17</v>
      </c>
      <c r="AS157" s="452">
        <v>10</v>
      </c>
      <c r="AT157" s="452">
        <v>3</v>
      </c>
      <c r="AU157" s="452" t="s">
        <v>291</v>
      </c>
      <c r="AV157" s="369">
        <f t="shared" si="159"/>
        <v>1</v>
      </c>
      <c r="AW157" s="366">
        <f t="shared" si="160"/>
        <v>127</v>
      </c>
      <c r="AX157" s="369">
        <f t="shared" si="179"/>
        <v>0.52755905511811019</v>
      </c>
      <c r="AY157" s="366">
        <f t="shared" si="161"/>
        <v>67</v>
      </c>
      <c r="AZ157" s="369">
        <f t="shared" si="162"/>
        <v>0.47244094488188976</v>
      </c>
      <c r="BA157" s="366">
        <f t="shared" si="163"/>
        <v>60</v>
      </c>
      <c r="BB157" s="474">
        <v>2</v>
      </c>
      <c r="BC157" s="490">
        <v>1</v>
      </c>
      <c r="BD157" s="370">
        <f t="shared" si="164"/>
        <v>127</v>
      </c>
      <c r="BE157" s="371">
        <f t="shared" si="165"/>
        <v>5.35</v>
      </c>
      <c r="BF157" s="452">
        <v>2</v>
      </c>
      <c r="BG157" s="452" t="s">
        <v>291</v>
      </c>
      <c r="BH157" s="369">
        <f t="shared" si="166"/>
        <v>1</v>
      </c>
      <c r="BI157" s="366">
        <f t="shared" si="167"/>
        <v>127</v>
      </c>
      <c r="BJ157" s="371">
        <f t="shared" si="168"/>
        <v>0</v>
      </c>
      <c r="BK157" s="490">
        <v>1</v>
      </c>
      <c r="BL157" s="366">
        <f t="shared" si="169"/>
        <v>127</v>
      </c>
      <c r="BM157" s="452">
        <v>0</v>
      </c>
      <c r="BN157" s="369">
        <f t="shared" si="170"/>
        <v>0</v>
      </c>
      <c r="BO157" s="371">
        <f t="shared" si="171"/>
        <v>1.27</v>
      </c>
      <c r="BP157" s="482">
        <v>0</v>
      </c>
      <c r="BQ157" s="500" t="s">
        <v>747</v>
      </c>
      <c r="BR157" s="502">
        <v>41776</v>
      </c>
      <c r="BS157" s="372" t="str">
        <f t="shared" si="177"/>
        <v>To be realised</v>
      </c>
      <c r="BT157" s="452">
        <v>80</v>
      </c>
      <c r="BU157" s="452">
        <v>9</v>
      </c>
      <c r="BV157" s="373">
        <f t="shared" si="172"/>
        <v>31</v>
      </c>
      <c r="BW157" s="374">
        <f t="shared" si="173"/>
        <v>0</v>
      </c>
      <c r="BX157" s="366">
        <f t="shared" si="174"/>
        <v>0</v>
      </c>
      <c r="BY157" s="707">
        <f t="shared" si="178"/>
        <v>5</v>
      </c>
      <c r="BZ157" s="476"/>
      <c r="CA157" s="482">
        <v>0.5</v>
      </c>
      <c r="CB157" s="389">
        <f t="shared" si="175"/>
        <v>63.5</v>
      </c>
      <c r="CC157" s="476">
        <v>1</v>
      </c>
      <c r="CD157" s="375" t="str">
        <f t="shared" si="176"/>
        <v>Excellent coverage</v>
      </c>
      <c r="CE157" s="452">
        <v>0</v>
      </c>
      <c r="CF157" s="469" t="s">
        <v>65</v>
      </c>
      <c r="CG157" s="509"/>
    </row>
    <row r="158" spans="2:85" s="40" customFormat="1" ht="30.75" customHeight="1" x14ac:dyDescent="0.2">
      <c r="B158" s="449" t="s">
        <v>182</v>
      </c>
      <c r="C158" s="450" t="s">
        <v>553</v>
      </c>
      <c r="D158" s="451" t="s">
        <v>267</v>
      </c>
      <c r="E158" s="450" t="s">
        <v>279</v>
      </c>
      <c r="F158" s="451">
        <v>97.587900000000005</v>
      </c>
      <c r="G158" s="451">
        <v>23.83</v>
      </c>
      <c r="H158" s="451" t="s">
        <v>449</v>
      </c>
      <c r="I158" s="451" t="s">
        <v>214</v>
      </c>
      <c r="J158" s="452">
        <v>115</v>
      </c>
      <c r="K158" s="452">
        <v>680</v>
      </c>
      <c r="L158" s="452">
        <v>680</v>
      </c>
      <c r="M158" s="362" t="str">
        <f t="shared" si="142"/>
        <v>2. Medium</v>
      </c>
      <c r="N158" s="701" t="s">
        <v>837</v>
      </c>
      <c r="O158" s="453" t="s">
        <v>235</v>
      </c>
      <c r="P158" s="461" t="s">
        <v>411</v>
      </c>
      <c r="Q158" s="382" t="str">
        <f t="shared" si="147"/>
        <v>Covered</v>
      </c>
      <c r="R158" s="462">
        <v>42247</v>
      </c>
      <c r="S158" s="453" t="s">
        <v>253</v>
      </c>
      <c r="T158" s="380" t="str">
        <f t="shared" si="148"/>
        <v>Documented</v>
      </c>
      <c r="U158" s="468">
        <v>0</v>
      </c>
      <c r="V158" s="452">
        <v>0</v>
      </c>
      <c r="W158" s="469" t="s">
        <v>19</v>
      </c>
      <c r="X158" s="468">
        <v>0</v>
      </c>
      <c r="Y158" s="474">
        <v>1</v>
      </c>
      <c r="Z158" s="475">
        <v>8000</v>
      </c>
      <c r="AA158" s="481">
        <v>1</v>
      </c>
      <c r="AB158" s="482">
        <v>0</v>
      </c>
      <c r="AC158" s="385">
        <f t="shared" si="149"/>
        <v>1</v>
      </c>
      <c r="AD158" s="364">
        <f t="shared" si="150"/>
        <v>680</v>
      </c>
      <c r="AE158" s="365">
        <f t="shared" si="151"/>
        <v>1</v>
      </c>
      <c r="AF158" s="366">
        <f t="shared" si="152"/>
        <v>680</v>
      </c>
      <c r="AG158" s="363">
        <f t="shared" si="143"/>
        <v>1</v>
      </c>
      <c r="AH158" s="366">
        <f t="shared" si="153"/>
        <v>680</v>
      </c>
      <c r="AI158" s="367" t="str">
        <f t="shared" si="144"/>
        <v>80-100%</v>
      </c>
      <c r="AJ158" s="363">
        <f t="shared" si="145"/>
        <v>0</v>
      </c>
      <c r="AK158" s="368">
        <f t="shared" si="154"/>
        <v>0</v>
      </c>
      <c r="AL158" s="366">
        <f t="shared" si="155"/>
        <v>0.7</v>
      </c>
      <c r="AM158" s="366">
        <f t="shared" si="156"/>
        <v>0</v>
      </c>
      <c r="AN158" s="366">
        <f t="shared" si="157"/>
        <v>680</v>
      </c>
      <c r="AO158" s="485">
        <v>1</v>
      </c>
      <c r="AP158" s="486">
        <f t="shared" si="158"/>
        <v>680</v>
      </c>
      <c r="AQ158" s="475"/>
      <c r="AR158" s="732">
        <v>0</v>
      </c>
      <c r="AS158" s="452">
        <v>0</v>
      </c>
      <c r="AT158" s="452">
        <v>16</v>
      </c>
      <c r="AU158" s="452" t="s">
        <v>291</v>
      </c>
      <c r="AV158" s="369">
        <f t="shared" si="159"/>
        <v>0.47058823529411764</v>
      </c>
      <c r="AW158" s="366">
        <f t="shared" si="160"/>
        <v>320</v>
      </c>
      <c r="AX158" s="369">
        <f t="shared" si="179"/>
        <v>0</v>
      </c>
      <c r="AY158" s="366">
        <f t="shared" si="161"/>
        <v>0</v>
      </c>
      <c r="AZ158" s="369">
        <f t="shared" si="162"/>
        <v>0.47058823529411764</v>
      </c>
      <c r="BA158" s="366">
        <f t="shared" si="163"/>
        <v>320</v>
      </c>
      <c r="BB158" s="474">
        <v>0</v>
      </c>
      <c r="BC158" s="490">
        <v>0.47</v>
      </c>
      <c r="BD158" s="370">
        <f t="shared" si="164"/>
        <v>319.59999999999997</v>
      </c>
      <c r="BE158" s="371">
        <f t="shared" si="165"/>
        <v>18</v>
      </c>
      <c r="BF158" s="452">
        <v>2</v>
      </c>
      <c r="BG158" s="452" t="s">
        <v>292</v>
      </c>
      <c r="BH158" s="369">
        <f t="shared" si="166"/>
        <v>0.29411764705882354</v>
      </c>
      <c r="BI158" s="366">
        <f t="shared" si="167"/>
        <v>200</v>
      </c>
      <c r="BJ158" s="371">
        <f t="shared" si="168"/>
        <v>4.8</v>
      </c>
      <c r="BK158" s="490">
        <v>0.3</v>
      </c>
      <c r="BL158" s="366">
        <f t="shared" si="169"/>
        <v>204</v>
      </c>
      <c r="BM158" s="452">
        <v>4</v>
      </c>
      <c r="BN158" s="369">
        <f t="shared" si="170"/>
        <v>0.58823529411764708</v>
      </c>
      <c r="BO158" s="371">
        <f t="shared" si="171"/>
        <v>2.8</v>
      </c>
      <c r="BP158" s="482">
        <v>0.72</v>
      </c>
      <c r="BQ158" s="500" t="s">
        <v>748</v>
      </c>
      <c r="BR158" s="502">
        <v>41983</v>
      </c>
      <c r="BS158" s="372">
        <f t="shared" si="177"/>
        <v>42348</v>
      </c>
      <c r="BT158" s="452">
        <v>115</v>
      </c>
      <c r="BU158" s="452">
        <v>15</v>
      </c>
      <c r="BV158" s="376">
        <f t="shared" si="172"/>
        <v>0</v>
      </c>
      <c r="BW158" s="377">
        <f t="shared" si="173"/>
        <v>1</v>
      </c>
      <c r="BX158" s="370">
        <f t="shared" si="174"/>
        <v>680</v>
      </c>
      <c r="BY158" s="708">
        <f t="shared" si="178"/>
        <v>0</v>
      </c>
      <c r="BZ158" s="476" t="s">
        <v>861</v>
      </c>
      <c r="CA158" s="482">
        <v>0.9</v>
      </c>
      <c r="CB158" s="389">
        <f t="shared" si="175"/>
        <v>612</v>
      </c>
      <c r="CC158" s="476">
        <v>6</v>
      </c>
      <c r="CD158" s="375" t="str">
        <f t="shared" si="176"/>
        <v>Excellent coverage</v>
      </c>
      <c r="CE158" s="452">
        <v>0</v>
      </c>
      <c r="CF158" s="469" t="s">
        <v>65</v>
      </c>
      <c r="CG158" s="509"/>
    </row>
    <row r="159" spans="2:85" s="40" customFormat="1" ht="30.75" customHeight="1" x14ac:dyDescent="0.2">
      <c r="B159" s="449" t="s">
        <v>182</v>
      </c>
      <c r="C159" s="450" t="s">
        <v>554</v>
      </c>
      <c r="D159" s="451" t="s">
        <v>267</v>
      </c>
      <c r="E159" s="450" t="s">
        <v>280</v>
      </c>
      <c r="F159" s="451">
        <v>97.596000000000004</v>
      </c>
      <c r="G159" s="451">
        <v>23.831</v>
      </c>
      <c r="H159" s="451" t="s">
        <v>449</v>
      </c>
      <c r="I159" s="451" t="s">
        <v>214</v>
      </c>
      <c r="J159" s="452">
        <v>506</v>
      </c>
      <c r="K159" s="452">
        <v>2374</v>
      </c>
      <c r="L159" s="452">
        <v>2101</v>
      </c>
      <c r="M159" s="362" t="str">
        <f t="shared" si="142"/>
        <v>4. Big</v>
      </c>
      <c r="N159" s="701" t="s">
        <v>837</v>
      </c>
      <c r="O159" s="453" t="s">
        <v>231</v>
      </c>
      <c r="P159" s="461" t="s">
        <v>411</v>
      </c>
      <c r="Q159" s="382" t="str">
        <f t="shared" si="147"/>
        <v>Covered</v>
      </c>
      <c r="R159" s="462">
        <v>42247</v>
      </c>
      <c r="S159" s="453" t="s">
        <v>253</v>
      </c>
      <c r="T159" s="380" t="str">
        <f t="shared" si="148"/>
        <v>Documented</v>
      </c>
      <c r="U159" s="468">
        <v>0</v>
      </c>
      <c r="V159" s="452">
        <v>0</v>
      </c>
      <c r="W159" s="469" t="s">
        <v>19</v>
      </c>
      <c r="X159" s="476">
        <v>2</v>
      </c>
      <c r="Y159" s="452">
        <v>1</v>
      </c>
      <c r="Z159" s="469">
        <v>43140</v>
      </c>
      <c r="AA159" s="481">
        <v>1</v>
      </c>
      <c r="AB159" s="482">
        <v>0</v>
      </c>
      <c r="AC159" s="385">
        <f t="shared" si="149"/>
        <v>1</v>
      </c>
      <c r="AD159" s="364">
        <f t="shared" si="150"/>
        <v>2101</v>
      </c>
      <c r="AE159" s="365">
        <f t="shared" si="151"/>
        <v>1</v>
      </c>
      <c r="AF159" s="366">
        <f t="shared" si="152"/>
        <v>2101</v>
      </c>
      <c r="AG159" s="363">
        <f t="shared" si="143"/>
        <v>1</v>
      </c>
      <c r="AH159" s="366">
        <f t="shared" si="153"/>
        <v>2101</v>
      </c>
      <c r="AI159" s="367" t="str">
        <f t="shared" si="144"/>
        <v>80-100%</v>
      </c>
      <c r="AJ159" s="363">
        <f t="shared" si="145"/>
        <v>0</v>
      </c>
      <c r="AK159" s="368">
        <f t="shared" si="154"/>
        <v>0</v>
      </c>
      <c r="AL159" s="366">
        <f t="shared" si="155"/>
        <v>2.2525000000000004</v>
      </c>
      <c r="AM159" s="366">
        <f t="shared" si="156"/>
        <v>0</v>
      </c>
      <c r="AN159" s="366">
        <f t="shared" si="157"/>
        <v>2101</v>
      </c>
      <c r="AO159" s="490">
        <v>1</v>
      </c>
      <c r="AP159" s="486">
        <f t="shared" si="158"/>
        <v>2101</v>
      </c>
      <c r="AQ159" s="475"/>
      <c r="AR159" s="732">
        <v>0</v>
      </c>
      <c r="AS159" s="452">
        <v>65</v>
      </c>
      <c r="AT159" s="452">
        <v>58</v>
      </c>
      <c r="AU159" s="452" t="s">
        <v>291</v>
      </c>
      <c r="AV159" s="369">
        <f t="shared" si="159"/>
        <v>1</v>
      </c>
      <c r="AW159" s="366">
        <f t="shared" si="160"/>
        <v>2101</v>
      </c>
      <c r="AX159" s="369">
        <f t="shared" si="179"/>
        <v>0.44788196097096622</v>
      </c>
      <c r="AY159" s="366">
        <f t="shared" si="161"/>
        <v>941</v>
      </c>
      <c r="AZ159" s="369">
        <f t="shared" si="162"/>
        <v>0.55211803902903378</v>
      </c>
      <c r="BA159" s="366">
        <f t="shared" si="163"/>
        <v>1160</v>
      </c>
      <c r="BB159" s="474">
        <v>18</v>
      </c>
      <c r="BC159" s="490">
        <v>1</v>
      </c>
      <c r="BD159" s="370">
        <f t="shared" si="164"/>
        <v>2101</v>
      </c>
      <c r="BE159" s="371">
        <f t="shared" si="165"/>
        <v>65.05</v>
      </c>
      <c r="BF159" s="452">
        <v>8</v>
      </c>
      <c r="BG159" s="452" t="s">
        <v>89</v>
      </c>
      <c r="BH159" s="369">
        <f t="shared" si="166"/>
        <v>0.38077106139933364</v>
      </c>
      <c r="BI159" s="366">
        <f t="shared" si="167"/>
        <v>800</v>
      </c>
      <c r="BJ159" s="371">
        <f t="shared" si="168"/>
        <v>15.739999999999998</v>
      </c>
      <c r="BK159" s="490">
        <v>0.4</v>
      </c>
      <c r="BL159" s="366">
        <f t="shared" si="169"/>
        <v>840.40000000000009</v>
      </c>
      <c r="BM159" s="452">
        <v>15</v>
      </c>
      <c r="BN159" s="369">
        <f t="shared" si="170"/>
        <v>0.71394574012375056</v>
      </c>
      <c r="BO159" s="371">
        <f t="shared" si="171"/>
        <v>8.7399999999999984</v>
      </c>
      <c r="BP159" s="482">
        <v>0.76</v>
      </c>
      <c r="BQ159" s="500" t="s">
        <v>762</v>
      </c>
      <c r="BR159" s="502">
        <v>41983</v>
      </c>
      <c r="BS159" s="372">
        <f t="shared" si="177"/>
        <v>42348</v>
      </c>
      <c r="BT159" s="452">
        <v>477</v>
      </c>
      <c r="BU159" s="452">
        <v>12</v>
      </c>
      <c r="BV159" s="376">
        <f t="shared" si="172"/>
        <v>29</v>
      </c>
      <c r="BW159" s="377">
        <f t="shared" si="173"/>
        <v>0.94268774703557312</v>
      </c>
      <c r="BX159" s="370">
        <f t="shared" si="174"/>
        <v>1980.5869565217392</v>
      </c>
      <c r="BY159" s="708">
        <f t="shared" si="178"/>
        <v>0</v>
      </c>
      <c r="BZ159" s="476"/>
      <c r="CA159" s="482">
        <v>0.5</v>
      </c>
      <c r="CB159" s="389">
        <f t="shared" si="175"/>
        <v>1050.5</v>
      </c>
      <c r="CC159" s="476">
        <v>19</v>
      </c>
      <c r="CD159" s="375" t="str">
        <f t="shared" si="176"/>
        <v>Excellent coverage</v>
      </c>
      <c r="CE159" s="452">
        <v>0</v>
      </c>
      <c r="CF159" s="469" t="s">
        <v>65</v>
      </c>
      <c r="CG159" s="509"/>
    </row>
    <row r="160" spans="2:85" s="40" customFormat="1" ht="30.75" customHeight="1" x14ac:dyDescent="0.2">
      <c r="B160" s="449" t="s">
        <v>468</v>
      </c>
      <c r="C160" s="450" t="s">
        <v>577</v>
      </c>
      <c r="D160" s="451" t="s">
        <v>267</v>
      </c>
      <c r="E160" s="450" t="s">
        <v>211</v>
      </c>
      <c r="F160" s="451">
        <v>97.681920000000005</v>
      </c>
      <c r="G160" s="451">
        <v>23.821317000000001</v>
      </c>
      <c r="H160" s="451" t="s">
        <v>449</v>
      </c>
      <c r="I160" s="451" t="s">
        <v>214</v>
      </c>
      <c r="J160" s="452">
        <v>78</v>
      </c>
      <c r="K160" s="452">
        <v>378</v>
      </c>
      <c r="L160" s="452">
        <v>378</v>
      </c>
      <c r="M160" s="362" t="str">
        <f t="shared" ref="M160:M166" si="180">IF(J160&gt;50,IF(J160&gt;250,IF(J160&gt;500,IF(J160&gt;1000,"5. Massive","4. Big"),"3. Large"),"2. Medium"),"1. Small")</f>
        <v>2. Medium</v>
      </c>
      <c r="N160" s="701" t="s">
        <v>837</v>
      </c>
      <c r="O160" s="453" t="s">
        <v>235</v>
      </c>
      <c r="P160" s="461" t="s">
        <v>411</v>
      </c>
      <c r="Q160" s="382" t="str">
        <f t="shared" si="147"/>
        <v>Covered</v>
      </c>
      <c r="R160" s="462">
        <v>42247</v>
      </c>
      <c r="S160" s="453" t="s">
        <v>253</v>
      </c>
      <c r="T160" s="380" t="str">
        <f t="shared" si="148"/>
        <v>Documented</v>
      </c>
      <c r="U160" s="468">
        <v>0</v>
      </c>
      <c r="V160" s="452">
        <v>0</v>
      </c>
      <c r="W160" s="469" t="s">
        <v>19</v>
      </c>
      <c r="X160" s="476">
        <v>0</v>
      </c>
      <c r="Y160" s="452">
        <v>0</v>
      </c>
      <c r="Z160" s="469">
        <v>24000</v>
      </c>
      <c r="AA160" s="481">
        <v>1</v>
      </c>
      <c r="AB160" s="482">
        <v>0</v>
      </c>
      <c r="AC160" s="385">
        <f t="shared" si="149"/>
        <v>1</v>
      </c>
      <c r="AD160" s="364">
        <f t="shared" si="150"/>
        <v>378</v>
      </c>
      <c r="AE160" s="365">
        <f t="shared" si="151"/>
        <v>1</v>
      </c>
      <c r="AF160" s="366">
        <f t="shared" si="152"/>
        <v>378</v>
      </c>
      <c r="AG160" s="363">
        <f t="shared" ref="AG160:AG179" si="181">IF(AB160=0,AC160,IF(AB160&lt;AC160,AC160,AB160))</f>
        <v>1</v>
      </c>
      <c r="AH160" s="366">
        <f t="shared" si="153"/>
        <v>378</v>
      </c>
      <c r="AI160" s="367" t="str">
        <f t="shared" ref="AI160:AI179" si="182">IF(AC160&gt;0.15,IF(AC160&gt;0.3,IF(AC160&gt;0.45,IF(AC160&gt;0.6,IF(AC160&gt;0.8,"80-100%","60-80%"),"45-60%"),"30-45%"),"15-30%"),"0-10%")</f>
        <v>80-100%</v>
      </c>
      <c r="AJ160" s="363">
        <f t="shared" ref="AJ160:AJ179" si="183">IF((AC160-AE160)&lt; 0, 0, AC160-AE160)</f>
        <v>0</v>
      </c>
      <c r="AK160" s="368">
        <f t="shared" si="154"/>
        <v>0</v>
      </c>
      <c r="AL160" s="366">
        <f t="shared" si="155"/>
        <v>0.94499999999999995</v>
      </c>
      <c r="AM160" s="366">
        <f t="shared" si="156"/>
        <v>0</v>
      </c>
      <c r="AN160" s="366">
        <f t="shared" si="157"/>
        <v>378</v>
      </c>
      <c r="AO160" s="490">
        <v>1</v>
      </c>
      <c r="AP160" s="486">
        <f t="shared" si="158"/>
        <v>378</v>
      </c>
      <c r="AQ160" s="469"/>
      <c r="AR160" s="732">
        <v>5</v>
      </c>
      <c r="AS160" s="452">
        <v>16</v>
      </c>
      <c r="AT160" s="452">
        <v>1</v>
      </c>
      <c r="AU160" s="452" t="s">
        <v>89</v>
      </c>
      <c r="AV160" s="369">
        <f t="shared" si="159"/>
        <v>0.89947089947089942</v>
      </c>
      <c r="AW160" s="366">
        <f t="shared" si="160"/>
        <v>340</v>
      </c>
      <c r="AX160" s="369">
        <f t="shared" si="179"/>
        <v>0.84656084656084651</v>
      </c>
      <c r="AY160" s="366">
        <f t="shared" si="161"/>
        <v>320</v>
      </c>
      <c r="AZ160" s="369">
        <f t="shared" si="162"/>
        <v>5.2910052910052907E-2</v>
      </c>
      <c r="BA160" s="366">
        <f t="shared" si="163"/>
        <v>20</v>
      </c>
      <c r="BB160" s="474">
        <v>1</v>
      </c>
      <c r="BC160" s="490">
        <v>0.9</v>
      </c>
      <c r="BD160" s="370">
        <f t="shared" si="164"/>
        <v>340.2</v>
      </c>
      <c r="BE160" s="371">
        <f t="shared" si="165"/>
        <v>18.899999999999999</v>
      </c>
      <c r="BF160" s="452">
        <v>2</v>
      </c>
      <c r="BG160" s="452" t="s">
        <v>89</v>
      </c>
      <c r="BH160" s="369">
        <f t="shared" si="166"/>
        <v>0.52910052910052907</v>
      </c>
      <c r="BI160" s="366">
        <f t="shared" si="167"/>
        <v>200</v>
      </c>
      <c r="BJ160" s="371">
        <f t="shared" si="168"/>
        <v>1.7799999999999998</v>
      </c>
      <c r="BK160" s="490">
        <v>0.63</v>
      </c>
      <c r="BL160" s="366">
        <f t="shared" si="169"/>
        <v>238.14000000000001</v>
      </c>
      <c r="BM160" s="452">
        <v>4</v>
      </c>
      <c r="BN160" s="369">
        <f t="shared" si="170"/>
        <v>1</v>
      </c>
      <c r="BO160" s="371">
        <f t="shared" si="171"/>
        <v>0</v>
      </c>
      <c r="BP160" s="482">
        <v>1</v>
      </c>
      <c r="BQ160" s="500" t="s">
        <v>859</v>
      </c>
      <c r="BR160" s="502">
        <v>41983</v>
      </c>
      <c r="BS160" s="372">
        <f t="shared" si="177"/>
        <v>42348</v>
      </c>
      <c r="BT160" s="452">
        <v>77</v>
      </c>
      <c r="BU160" s="452">
        <v>20</v>
      </c>
      <c r="BV160" s="376">
        <f t="shared" si="172"/>
        <v>1</v>
      </c>
      <c r="BW160" s="377">
        <f t="shared" si="173"/>
        <v>0.98717948717948723</v>
      </c>
      <c r="BX160" s="370">
        <f t="shared" si="174"/>
        <v>373.15384615384619</v>
      </c>
      <c r="BY160" s="708">
        <f t="shared" si="178"/>
        <v>0</v>
      </c>
      <c r="BZ160" s="476"/>
      <c r="CA160" s="482">
        <v>0.75</v>
      </c>
      <c r="CB160" s="389">
        <f t="shared" si="175"/>
        <v>283.5</v>
      </c>
      <c r="CC160" s="476">
        <v>3</v>
      </c>
      <c r="CD160" s="375" t="str">
        <f t="shared" si="176"/>
        <v>Excellent coverage</v>
      </c>
      <c r="CE160" s="452">
        <v>0</v>
      </c>
      <c r="CF160" s="469" t="s">
        <v>293</v>
      </c>
      <c r="CG160" s="509"/>
    </row>
    <row r="161" spans="2:85" s="40" customFormat="1" ht="30.75" customHeight="1" x14ac:dyDescent="0.2">
      <c r="B161" s="449" t="s">
        <v>468</v>
      </c>
      <c r="C161" s="450" t="s">
        <v>578</v>
      </c>
      <c r="D161" s="451" t="s">
        <v>267</v>
      </c>
      <c r="E161" s="450" t="s">
        <v>212</v>
      </c>
      <c r="F161" s="451">
        <v>97.683499999999995</v>
      </c>
      <c r="G161" s="451">
        <v>23.831700000000001</v>
      </c>
      <c r="H161" s="451" t="s">
        <v>449</v>
      </c>
      <c r="I161" s="451" t="s">
        <v>214</v>
      </c>
      <c r="J161" s="452">
        <v>68</v>
      </c>
      <c r="K161" s="452">
        <v>291</v>
      </c>
      <c r="L161" s="452">
        <v>291</v>
      </c>
      <c r="M161" s="362" t="str">
        <f t="shared" si="180"/>
        <v>2. Medium</v>
      </c>
      <c r="N161" s="701" t="s">
        <v>837</v>
      </c>
      <c r="O161" s="453" t="s">
        <v>235</v>
      </c>
      <c r="P161" s="461" t="s">
        <v>411</v>
      </c>
      <c r="Q161" s="382" t="str">
        <f t="shared" si="147"/>
        <v>Covered</v>
      </c>
      <c r="R161" s="462">
        <v>42247</v>
      </c>
      <c r="S161" s="453" t="s">
        <v>253</v>
      </c>
      <c r="T161" s="380" t="str">
        <f t="shared" si="148"/>
        <v>Documented</v>
      </c>
      <c r="U161" s="468">
        <v>0</v>
      </c>
      <c r="V161" s="452">
        <v>0</v>
      </c>
      <c r="W161" s="469" t="s">
        <v>19</v>
      </c>
      <c r="X161" s="476">
        <v>0</v>
      </c>
      <c r="Y161" s="452">
        <v>0</v>
      </c>
      <c r="Z161" s="469">
        <v>15200</v>
      </c>
      <c r="AA161" s="481">
        <v>1</v>
      </c>
      <c r="AB161" s="482">
        <v>0</v>
      </c>
      <c r="AC161" s="385">
        <f t="shared" si="149"/>
        <v>1</v>
      </c>
      <c r="AD161" s="364">
        <f t="shared" si="150"/>
        <v>291</v>
      </c>
      <c r="AE161" s="365">
        <f t="shared" si="151"/>
        <v>1</v>
      </c>
      <c r="AF161" s="366">
        <f t="shared" si="152"/>
        <v>291</v>
      </c>
      <c r="AG161" s="363">
        <f t="shared" si="181"/>
        <v>1</v>
      </c>
      <c r="AH161" s="366">
        <f t="shared" si="153"/>
        <v>291</v>
      </c>
      <c r="AI161" s="367" t="str">
        <f t="shared" si="182"/>
        <v>80-100%</v>
      </c>
      <c r="AJ161" s="363">
        <f t="shared" si="183"/>
        <v>0</v>
      </c>
      <c r="AK161" s="368">
        <f t="shared" si="154"/>
        <v>0</v>
      </c>
      <c r="AL161" s="366">
        <f t="shared" si="155"/>
        <v>0.72750000000000004</v>
      </c>
      <c r="AM161" s="366">
        <f t="shared" si="156"/>
        <v>0</v>
      </c>
      <c r="AN161" s="366">
        <f t="shared" si="157"/>
        <v>291</v>
      </c>
      <c r="AO161" s="490">
        <v>1</v>
      </c>
      <c r="AP161" s="486">
        <f t="shared" si="158"/>
        <v>291</v>
      </c>
      <c r="AQ161" s="475"/>
      <c r="AR161" s="732">
        <v>21</v>
      </c>
      <c r="AS161" s="452">
        <v>0</v>
      </c>
      <c r="AT161" s="452">
        <v>10</v>
      </c>
      <c r="AU161" s="452" t="s">
        <v>291</v>
      </c>
      <c r="AV161" s="369">
        <f t="shared" si="159"/>
        <v>0.6872852233676976</v>
      </c>
      <c r="AW161" s="366">
        <f t="shared" si="160"/>
        <v>200</v>
      </c>
      <c r="AX161" s="369">
        <f t="shared" si="179"/>
        <v>0</v>
      </c>
      <c r="AY161" s="366">
        <f t="shared" si="161"/>
        <v>0</v>
      </c>
      <c r="AZ161" s="369">
        <f t="shared" si="162"/>
        <v>0.6872852233676976</v>
      </c>
      <c r="BA161" s="366">
        <f t="shared" si="163"/>
        <v>200</v>
      </c>
      <c r="BB161" s="474">
        <v>3</v>
      </c>
      <c r="BC161" s="490">
        <v>0.69</v>
      </c>
      <c r="BD161" s="370">
        <f t="shared" si="164"/>
        <v>200.79</v>
      </c>
      <c r="BE161" s="371">
        <f t="shared" si="165"/>
        <v>7.5500000000000007</v>
      </c>
      <c r="BF161" s="452">
        <v>2</v>
      </c>
      <c r="BG161" s="452" t="s">
        <v>291</v>
      </c>
      <c r="BH161" s="369">
        <f t="shared" si="166"/>
        <v>0.6872852233676976</v>
      </c>
      <c r="BI161" s="366">
        <f t="shared" si="167"/>
        <v>200</v>
      </c>
      <c r="BJ161" s="371">
        <f t="shared" si="168"/>
        <v>0.91000000000000014</v>
      </c>
      <c r="BK161" s="490">
        <v>0.69</v>
      </c>
      <c r="BL161" s="366">
        <f t="shared" si="169"/>
        <v>200.79</v>
      </c>
      <c r="BM161" s="452">
        <v>2</v>
      </c>
      <c r="BN161" s="369">
        <f t="shared" si="170"/>
        <v>0.6872852233676976</v>
      </c>
      <c r="BO161" s="371">
        <f t="shared" si="171"/>
        <v>0.91000000000000014</v>
      </c>
      <c r="BP161" s="478">
        <v>1</v>
      </c>
      <c r="BQ161" s="500" t="s">
        <v>773</v>
      </c>
      <c r="BR161" s="502">
        <v>41983</v>
      </c>
      <c r="BS161" s="372">
        <f t="shared" si="177"/>
        <v>42348</v>
      </c>
      <c r="BT161" s="452">
        <v>73</v>
      </c>
      <c r="BU161" s="452">
        <v>20</v>
      </c>
      <c r="BV161" s="376">
        <f t="shared" si="172"/>
        <v>0</v>
      </c>
      <c r="BW161" s="377">
        <f t="shared" si="173"/>
        <v>1</v>
      </c>
      <c r="BX161" s="370">
        <f t="shared" si="174"/>
        <v>291</v>
      </c>
      <c r="BY161" s="708">
        <f t="shared" si="178"/>
        <v>0</v>
      </c>
      <c r="BZ161" s="507"/>
      <c r="CA161" s="482">
        <v>0.9</v>
      </c>
      <c r="CB161" s="389">
        <f t="shared" si="175"/>
        <v>261.90000000000003</v>
      </c>
      <c r="CC161" s="476">
        <v>5</v>
      </c>
      <c r="CD161" s="375" t="str">
        <f t="shared" si="176"/>
        <v>Excellent coverage</v>
      </c>
      <c r="CE161" s="452">
        <v>0</v>
      </c>
      <c r="CF161" s="469" t="s">
        <v>66</v>
      </c>
      <c r="CG161" s="509" t="s">
        <v>736</v>
      </c>
    </row>
    <row r="162" spans="2:85" s="40" customFormat="1" ht="30.75" customHeight="1" x14ac:dyDescent="0.2">
      <c r="B162" s="449" t="s">
        <v>468</v>
      </c>
      <c r="C162" s="450" t="s">
        <v>579</v>
      </c>
      <c r="D162" s="451" t="s">
        <v>267</v>
      </c>
      <c r="E162" s="450" t="s">
        <v>213</v>
      </c>
      <c r="F162" s="451">
        <v>97.685199999999995</v>
      </c>
      <c r="G162" s="451">
        <v>23.833100000000002</v>
      </c>
      <c r="H162" s="451" t="s">
        <v>449</v>
      </c>
      <c r="I162" s="451" t="s">
        <v>214</v>
      </c>
      <c r="J162" s="452">
        <v>50</v>
      </c>
      <c r="K162" s="452">
        <v>217</v>
      </c>
      <c r="L162" s="452">
        <v>217</v>
      </c>
      <c r="M162" s="362" t="str">
        <f t="shared" si="180"/>
        <v>1. Small</v>
      </c>
      <c r="N162" s="701" t="s">
        <v>834</v>
      </c>
      <c r="O162" s="453" t="s">
        <v>231</v>
      </c>
      <c r="P162" s="461" t="s">
        <v>231</v>
      </c>
      <c r="Q162" s="382" t="str">
        <f t="shared" si="147"/>
        <v>Covered</v>
      </c>
      <c r="R162" s="462">
        <v>42369</v>
      </c>
      <c r="S162" s="453" t="s">
        <v>253</v>
      </c>
      <c r="T162" s="380" t="str">
        <f t="shared" si="148"/>
        <v>Documented</v>
      </c>
      <c r="U162" s="468">
        <v>0</v>
      </c>
      <c r="V162" s="452">
        <v>0</v>
      </c>
      <c r="W162" s="469" t="s">
        <v>19</v>
      </c>
      <c r="X162" s="476">
        <v>1</v>
      </c>
      <c r="Y162" s="452">
        <v>0</v>
      </c>
      <c r="Z162" s="469">
        <v>35500</v>
      </c>
      <c r="AA162" s="481">
        <v>1</v>
      </c>
      <c r="AB162" s="482">
        <v>0</v>
      </c>
      <c r="AC162" s="385">
        <f t="shared" ref="AC162:AC179" si="184">IF((((U162/15)+((V162/30)/15)+X162*400+Y162*500+(Z162/15))/L162)&gt;1,1,(((U162/15)+((V162/30)/15)+X162*400+Y162*500+(Z162/15))/L162))</f>
        <v>1</v>
      </c>
      <c r="AD162" s="364">
        <f t="shared" ref="AD162:AD179" si="185">AC162*L162</f>
        <v>217</v>
      </c>
      <c r="AE162" s="365">
        <f t="shared" ref="AE162:AE179" si="186">IF(((X162*400+Y162*500+(Z162/15))/L162)&gt;1,1,(X162*400+Y162*500+(Z162/15))/L162)</f>
        <v>1</v>
      </c>
      <c r="AF162" s="366">
        <f t="shared" ref="AF162:AF179" si="187">AE162*L162</f>
        <v>217</v>
      </c>
      <c r="AG162" s="363">
        <f t="shared" si="181"/>
        <v>1</v>
      </c>
      <c r="AH162" s="366">
        <f t="shared" ref="AH162:AH179" si="188">AG162*L162</f>
        <v>217</v>
      </c>
      <c r="AI162" s="367" t="str">
        <f t="shared" si="182"/>
        <v>80-100%</v>
      </c>
      <c r="AJ162" s="363">
        <f t="shared" si="183"/>
        <v>0</v>
      </c>
      <c r="AK162" s="368">
        <f t="shared" ref="AK162:AK179" si="189">AJ162*L162</f>
        <v>0</v>
      </c>
      <c r="AL162" s="366">
        <f t="shared" ref="AL162:AL179" si="190">IF(L162/400-(X162+Y162)&lt;0,0,L162/400-(X162+Y162))</f>
        <v>0</v>
      </c>
      <c r="AM162" s="366">
        <f t="shared" ref="AM162:AM179" si="191">AB162*J162</f>
        <v>0</v>
      </c>
      <c r="AN162" s="366">
        <f t="shared" ref="AN162:AN179" si="192">AA162*L162</f>
        <v>217</v>
      </c>
      <c r="AO162" s="490">
        <v>1</v>
      </c>
      <c r="AP162" s="486">
        <f t="shared" ref="AP162:AP180" si="193">AO162*L162</f>
        <v>217</v>
      </c>
      <c r="AQ162" s="475"/>
      <c r="AR162" s="732">
        <v>10</v>
      </c>
      <c r="AS162" s="452">
        <v>0</v>
      </c>
      <c r="AT162" s="452">
        <v>15</v>
      </c>
      <c r="AU162" s="452" t="s">
        <v>291</v>
      </c>
      <c r="AV162" s="369">
        <f t="shared" ref="AV162:AV180" si="194">IF((((AS162+AT162)*20)/L162)&gt;1,1,(((AS162+AT162)*20)/L162))</f>
        <v>1</v>
      </c>
      <c r="AW162" s="366">
        <f t="shared" ref="AW162:AW180" si="195">AV162*L162</f>
        <v>217</v>
      </c>
      <c r="AX162" s="369">
        <f t="shared" si="179"/>
        <v>0</v>
      </c>
      <c r="AY162" s="366">
        <f t="shared" ref="AY162:AY180" si="196">AX162*L162</f>
        <v>0</v>
      </c>
      <c r="AZ162" s="369">
        <f t="shared" ref="AZ162:AZ180" si="197">IF(((AT162*20)/L162)&gt;1,1,((AT162*20)/L162))</f>
        <v>1</v>
      </c>
      <c r="BA162" s="366">
        <f t="shared" ref="BA162:BA180" si="198">AZ162*L162</f>
        <v>217</v>
      </c>
      <c r="BB162" s="474">
        <v>3</v>
      </c>
      <c r="BC162" s="490">
        <v>1</v>
      </c>
      <c r="BD162" s="370">
        <f t="shared" ref="BD162:BD168" si="199">BC162*L162</f>
        <v>217</v>
      </c>
      <c r="BE162" s="371">
        <f t="shared" ref="BE162:BE168" si="200">IF((L162/20-AT162+BB162)&lt;0,0,(L162/20-AT162+BB162))</f>
        <v>0</v>
      </c>
      <c r="BF162" s="452">
        <v>2</v>
      </c>
      <c r="BG162" s="452" t="s">
        <v>291</v>
      </c>
      <c r="BH162" s="369">
        <f t="shared" ref="BH162:BH180" si="201">IF((BF162*100/L162)&gt;1,1,(BF162*100/L162))</f>
        <v>0.92165898617511521</v>
      </c>
      <c r="BI162" s="366">
        <f t="shared" ref="BI162:BI180" si="202">BH162*L162</f>
        <v>200</v>
      </c>
      <c r="BJ162" s="371">
        <f t="shared" ref="BJ162:BJ180" si="203">IF(K162/100-BF162&lt;0,0,K162/100-BF162)</f>
        <v>0.16999999999999993</v>
      </c>
      <c r="BK162" s="490">
        <v>0.92</v>
      </c>
      <c r="BL162" s="366">
        <f t="shared" ref="BL162:BL178" si="204">BK162*L162</f>
        <v>199.64000000000001</v>
      </c>
      <c r="BM162" s="452">
        <v>0</v>
      </c>
      <c r="BN162" s="369">
        <f t="shared" ref="BN162:BN180" si="205">IF((BM162*100/L162)&gt;1,1,(BM162*100/L162))</f>
        <v>0</v>
      </c>
      <c r="BO162" s="371">
        <f t="shared" ref="BO162:BO180" si="206">IF(K162/100-BM162&lt;0,0,K162/100-BM162)</f>
        <v>2.17</v>
      </c>
      <c r="BP162" s="478">
        <v>1</v>
      </c>
      <c r="BQ162" s="500" t="s">
        <v>774</v>
      </c>
      <c r="BR162" s="502">
        <v>41983</v>
      </c>
      <c r="BS162" s="372">
        <f t="shared" si="177"/>
        <v>42348</v>
      </c>
      <c r="BT162" s="452">
        <v>53</v>
      </c>
      <c r="BU162" s="452">
        <v>17</v>
      </c>
      <c r="BV162" s="376">
        <f t="shared" ref="BV162:BV180" si="207">IF(BS162="n/a",0,IF(BS162="To be realised",J162,IF((J162-BT162)&lt;0,0,(J162-BT162))))</f>
        <v>0</v>
      </c>
      <c r="BW162" s="377">
        <f t="shared" ref="BW162:BW180" si="208">IF(BV162=0,1,(J162-BV162)/J162)</f>
        <v>1</v>
      </c>
      <c r="BX162" s="370">
        <f t="shared" ref="BX162:BX180" si="209">BW162*L162</f>
        <v>217</v>
      </c>
      <c r="BY162" s="708">
        <f t="shared" si="178"/>
        <v>0</v>
      </c>
      <c r="BZ162" s="507"/>
      <c r="CA162" s="482">
        <v>0.5</v>
      </c>
      <c r="CB162" s="389">
        <f t="shared" ref="CB162:CB168" si="210">CA162*L162</f>
        <v>108.5</v>
      </c>
      <c r="CC162" s="476">
        <v>3</v>
      </c>
      <c r="CD162" s="375" t="str">
        <f t="shared" ref="CD162:CD180" si="211">IF(CC162=0,"No coverage",IF(L162/CC162&gt;1000,"Low coverage",IF(L162/CC162&gt;750,"Average coverage",IF(L162/CC162&gt;500,"Good coverage","Excellent coverage"))))</f>
        <v>Excellent coverage</v>
      </c>
      <c r="CE162" s="452">
        <v>0</v>
      </c>
      <c r="CF162" s="469" t="s">
        <v>66</v>
      </c>
      <c r="CG162" s="509" t="s">
        <v>736</v>
      </c>
    </row>
    <row r="163" spans="2:85" s="40" customFormat="1" ht="30.75" customHeight="1" x14ac:dyDescent="0.2">
      <c r="B163" s="449" t="s">
        <v>210</v>
      </c>
      <c r="C163" s="450" t="s">
        <v>707</v>
      </c>
      <c r="D163" s="451" t="s">
        <v>267</v>
      </c>
      <c r="E163" s="450" t="s">
        <v>625</v>
      </c>
      <c r="F163" s="451">
        <v>98.132779999999997</v>
      </c>
      <c r="G163" s="451">
        <v>23.951699999999999</v>
      </c>
      <c r="H163" s="451" t="s">
        <v>449</v>
      </c>
      <c r="I163" s="451" t="s">
        <v>214</v>
      </c>
      <c r="J163" s="452">
        <v>10</v>
      </c>
      <c r="K163" s="452">
        <v>48</v>
      </c>
      <c r="L163" s="452">
        <v>48</v>
      </c>
      <c r="M163" s="362" t="str">
        <f t="shared" si="180"/>
        <v>1. Small</v>
      </c>
      <c r="N163" s="701" t="s">
        <v>836</v>
      </c>
      <c r="O163" s="453" t="s">
        <v>235</v>
      </c>
      <c r="P163" s="461" t="s">
        <v>233</v>
      </c>
      <c r="Q163" s="382" t="str">
        <f t="shared" si="147"/>
        <v>Covered</v>
      </c>
      <c r="R163" s="462">
        <v>42460</v>
      </c>
      <c r="S163" s="453" t="s">
        <v>253</v>
      </c>
      <c r="T163" s="380" t="str">
        <f t="shared" si="148"/>
        <v>Documented</v>
      </c>
      <c r="U163" s="468">
        <v>0</v>
      </c>
      <c r="V163" s="452">
        <v>0</v>
      </c>
      <c r="W163" s="469" t="s">
        <v>19</v>
      </c>
      <c r="X163" s="476">
        <v>0</v>
      </c>
      <c r="Y163" s="452">
        <v>0</v>
      </c>
      <c r="Z163" s="469">
        <v>0</v>
      </c>
      <c r="AA163" s="481">
        <v>1</v>
      </c>
      <c r="AB163" s="482">
        <v>0</v>
      </c>
      <c r="AC163" s="385">
        <f t="shared" si="184"/>
        <v>0</v>
      </c>
      <c r="AD163" s="364">
        <f t="shared" si="185"/>
        <v>0</v>
      </c>
      <c r="AE163" s="365">
        <f t="shared" si="186"/>
        <v>0</v>
      </c>
      <c r="AF163" s="366">
        <f t="shared" si="187"/>
        <v>0</v>
      </c>
      <c r="AG163" s="363">
        <f t="shared" si="181"/>
        <v>0</v>
      </c>
      <c r="AH163" s="366">
        <f t="shared" si="188"/>
        <v>0</v>
      </c>
      <c r="AI163" s="367" t="str">
        <f t="shared" si="182"/>
        <v>0-10%</v>
      </c>
      <c r="AJ163" s="363">
        <f t="shared" si="183"/>
        <v>0</v>
      </c>
      <c r="AK163" s="368">
        <f t="shared" si="189"/>
        <v>0</v>
      </c>
      <c r="AL163" s="366">
        <f t="shared" si="190"/>
        <v>0.12</v>
      </c>
      <c r="AM163" s="366">
        <f t="shared" si="191"/>
        <v>0</v>
      </c>
      <c r="AN163" s="366">
        <f t="shared" si="192"/>
        <v>48</v>
      </c>
      <c r="AO163" s="490">
        <v>1</v>
      </c>
      <c r="AP163" s="486">
        <f t="shared" si="193"/>
        <v>48</v>
      </c>
      <c r="AQ163" s="469" t="s">
        <v>768</v>
      </c>
      <c r="AR163" s="732">
        <v>138</v>
      </c>
      <c r="AS163" s="452">
        <v>3</v>
      </c>
      <c r="AT163" s="452">
        <v>0</v>
      </c>
      <c r="AU163" s="452" t="s">
        <v>291</v>
      </c>
      <c r="AV163" s="369">
        <f t="shared" si="194"/>
        <v>1</v>
      </c>
      <c r="AW163" s="366">
        <f t="shared" si="195"/>
        <v>48</v>
      </c>
      <c r="AX163" s="369">
        <f t="shared" si="179"/>
        <v>1</v>
      </c>
      <c r="AY163" s="366">
        <f t="shared" si="196"/>
        <v>48</v>
      </c>
      <c r="AZ163" s="369">
        <f t="shared" si="197"/>
        <v>0</v>
      </c>
      <c r="BA163" s="366">
        <f t="shared" si="198"/>
        <v>0</v>
      </c>
      <c r="BB163" s="474">
        <v>0</v>
      </c>
      <c r="BC163" s="490">
        <v>1</v>
      </c>
      <c r="BD163" s="370">
        <f t="shared" si="199"/>
        <v>48</v>
      </c>
      <c r="BE163" s="371">
        <f t="shared" si="200"/>
        <v>2.4</v>
      </c>
      <c r="BF163" s="452">
        <v>1</v>
      </c>
      <c r="BG163" s="452" t="s">
        <v>89</v>
      </c>
      <c r="BH163" s="369">
        <f t="shared" si="201"/>
        <v>1</v>
      </c>
      <c r="BI163" s="366">
        <f t="shared" si="202"/>
        <v>48</v>
      </c>
      <c r="BJ163" s="371">
        <f t="shared" si="203"/>
        <v>0</v>
      </c>
      <c r="BK163" s="490">
        <v>1</v>
      </c>
      <c r="BL163" s="366">
        <f t="shared" si="204"/>
        <v>48</v>
      </c>
      <c r="BM163" s="452">
        <v>0</v>
      </c>
      <c r="BN163" s="369">
        <f t="shared" si="205"/>
        <v>0</v>
      </c>
      <c r="BO163" s="371">
        <f t="shared" si="206"/>
        <v>0.48</v>
      </c>
      <c r="BP163" s="478">
        <v>0.8</v>
      </c>
      <c r="BQ163" s="500"/>
      <c r="BR163" s="502">
        <v>42125</v>
      </c>
      <c r="BS163" s="372">
        <f t="shared" si="177"/>
        <v>42490</v>
      </c>
      <c r="BT163" s="452">
        <v>10</v>
      </c>
      <c r="BU163" s="452">
        <v>10</v>
      </c>
      <c r="BV163" s="376">
        <f t="shared" si="207"/>
        <v>0</v>
      </c>
      <c r="BW163" s="377">
        <f t="shared" si="208"/>
        <v>1</v>
      </c>
      <c r="BX163" s="370">
        <f t="shared" si="209"/>
        <v>48</v>
      </c>
      <c r="BY163" s="708">
        <f t="shared" si="178"/>
        <v>0</v>
      </c>
      <c r="BZ163" s="468" t="s">
        <v>862</v>
      </c>
      <c r="CA163" s="482">
        <v>0</v>
      </c>
      <c r="CB163" s="389">
        <f t="shared" si="210"/>
        <v>0</v>
      </c>
      <c r="CC163" s="476">
        <v>0</v>
      </c>
      <c r="CD163" s="375" t="str">
        <f t="shared" si="211"/>
        <v>No coverage</v>
      </c>
      <c r="CE163" s="452">
        <v>0</v>
      </c>
      <c r="CF163" s="469" t="s">
        <v>65</v>
      </c>
      <c r="CG163" s="509"/>
    </row>
    <row r="164" spans="2:85" s="40" customFormat="1" ht="30.75" customHeight="1" x14ac:dyDescent="0.2">
      <c r="B164" s="449" t="s">
        <v>468</v>
      </c>
      <c r="C164" s="450" t="s">
        <v>708</v>
      </c>
      <c r="D164" s="451" t="s">
        <v>267</v>
      </c>
      <c r="E164" s="450" t="s">
        <v>469</v>
      </c>
      <c r="F164" s="451">
        <v>97.709548999999996</v>
      </c>
      <c r="G164" s="451">
        <v>23.838459</v>
      </c>
      <c r="H164" s="451" t="s">
        <v>449</v>
      </c>
      <c r="I164" s="451" t="s">
        <v>214</v>
      </c>
      <c r="J164" s="452">
        <v>140</v>
      </c>
      <c r="K164" s="452">
        <v>580</v>
      </c>
      <c r="L164" s="452">
        <v>580</v>
      </c>
      <c r="M164" s="362" t="str">
        <f t="shared" si="180"/>
        <v>2. Medium</v>
      </c>
      <c r="N164" s="701" t="s">
        <v>836</v>
      </c>
      <c r="O164" s="453" t="s">
        <v>235</v>
      </c>
      <c r="P164" s="461" t="s">
        <v>233</v>
      </c>
      <c r="Q164" s="382" t="str">
        <f t="shared" si="147"/>
        <v>Covered</v>
      </c>
      <c r="R164" s="462">
        <v>42460</v>
      </c>
      <c r="S164" s="453" t="s">
        <v>253</v>
      </c>
      <c r="T164" s="380" t="str">
        <f t="shared" si="148"/>
        <v>Documented</v>
      </c>
      <c r="U164" s="468">
        <v>0</v>
      </c>
      <c r="V164" s="452">
        <v>0</v>
      </c>
      <c r="W164" s="469" t="s">
        <v>19</v>
      </c>
      <c r="X164" s="476">
        <v>0</v>
      </c>
      <c r="Y164" s="452">
        <v>0</v>
      </c>
      <c r="Z164" s="469">
        <v>35000</v>
      </c>
      <c r="AA164" s="481">
        <v>1</v>
      </c>
      <c r="AB164" s="482">
        <v>0</v>
      </c>
      <c r="AC164" s="385">
        <f t="shared" si="184"/>
        <v>1</v>
      </c>
      <c r="AD164" s="364">
        <f t="shared" si="185"/>
        <v>580</v>
      </c>
      <c r="AE164" s="365">
        <f t="shared" si="186"/>
        <v>1</v>
      </c>
      <c r="AF164" s="366">
        <f t="shared" si="187"/>
        <v>580</v>
      </c>
      <c r="AG164" s="363">
        <f t="shared" si="181"/>
        <v>1</v>
      </c>
      <c r="AH164" s="366">
        <f t="shared" si="188"/>
        <v>580</v>
      </c>
      <c r="AI164" s="367" t="str">
        <f t="shared" si="182"/>
        <v>80-100%</v>
      </c>
      <c r="AJ164" s="363">
        <f t="shared" si="183"/>
        <v>0</v>
      </c>
      <c r="AK164" s="368">
        <f t="shared" si="189"/>
        <v>0</v>
      </c>
      <c r="AL164" s="366">
        <f t="shared" si="190"/>
        <v>1.45</v>
      </c>
      <c r="AM164" s="366">
        <f t="shared" si="191"/>
        <v>0</v>
      </c>
      <c r="AN164" s="366">
        <f t="shared" si="192"/>
        <v>580</v>
      </c>
      <c r="AO164" s="490">
        <v>1</v>
      </c>
      <c r="AP164" s="486">
        <f t="shared" si="193"/>
        <v>580</v>
      </c>
      <c r="AQ164" s="469" t="s">
        <v>839</v>
      </c>
      <c r="AR164" s="732">
        <v>15</v>
      </c>
      <c r="AS164" s="452">
        <v>11</v>
      </c>
      <c r="AT164" s="452">
        <v>12</v>
      </c>
      <c r="AU164" s="452" t="s">
        <v>89</v>
      </c>
      <c r="AV164" s="369">
        <f t="shared" si="194"/>
        <v>0.7931034482758621</v>
      </c>
      <c r="AW164" s="366">
        <f t="shared" si="195"/>
        <v>460</v>
      </c>
      <c r="AX164" s="369">
        <f t="shared" si="179"/>
        <v>0.37931034482758624</v>
      </c>
      <c r="AY164" s="366">
        <f t="shared" si="196"/>
        <v>220.00000000000003</v>
      </c>
      <c r="AZ164" s="369">
        <f t="shared" si="197"/>
        <v>0.41379310344827586</v>
      </c>
      <c r="BA164" s="366">
        <f t="shared" si="198"/>
        <v>240</v>
      </c>
      <c r="BB164" s="474">
        <v>7</v>
      </c>
      <c r="BC164" s="490">
        <v>0.79</v>
      </c>
      <c r="BD164" s="370">
        <f t="shared" si="199"/>
        <v>458.20000000000005</v>
      </c>
      <c r="BE164" s="371">
        <f t="shared" si="200"/>
        <v>24</v>
      </c>
      <c r="BF164" s="452">
        <v>6</v>
      </c>
      <c r="BG164" s="452" t="s">
        <v>291</v>
      </c>
      <c r="BH164" s="369">
        <f t="shared" si="201"/>
        <v>1</v>
      </c>
      <c r="BI164" s="366">
        <f t="shared" si="202"/>
        <v>580</v>
      </c>
      <c r="BJ164" s="371">
        <f t="shared" si="203"/>
        <v>0</v>
      </c>
      <c r="BK164" s="490">
        <v>1</v>
      </c>
      <c r="BL164" s="366">
        <f t="shared" si="204"/>
        <v>580</v>
      </c>
      <c r="BM164" s="452">
        <v>5</v>
      </c>
      <c r="BN164" s="369">
        <f t="shared" si="205"/>
        <v>0.86206896551724133</v>
      </c>
      <c r="BO164" s="371">
        <f t="shared" si="206"/>
        <v>0.79999999999999982</v>
      </c>
      <c r="BP164" s="478">
        <v>1</v>
      </c>
      <c r="BQ164" s="500" t="s">
        <v>772</v>
      </c>
      <c r="BR164" s="502">
        <v>42125</v>
      </c>
      <c r="BS164" s="372">
        <f t="shared" si="177"/>
        <v>42490</v>
      </c>
      <c r="BT164" s="452">
        <v>141</v>
      </c>
      <c r="BU164" s="452">
        <v>5</v>
      </c>
      <c r="BV164" s="376">
        <f t="shared" si="207"/>
        <v>0</v>
      </c>
      <c r="BW164" s="377">
        <f t="shared" si="208"/>
        <v>1</v>
      </c>
      <c r="BX164" s="370">
        <f t="shared" si="209"/>
        <v>580</v>
      </c>
      <c r="BY164" s="708">
        <f t="shared" si="178"/>
        <v>0</v>
      </c>
      <c r="BZ164" s="468" t="s">
        <v>777</v>
      </c>
      <c r="CA164" s="482">
        <v>0.2</v>
      </c>
      <c r="CB164" s="389">
        <f t="shared" si="210"/>
        <v>116</v>
      </c>
      <c r="CC164" s="476">
        <v>7</v>
      </c>
      <c r="CD164" s="375" t="str">
        <f t="shared" si="211"/>
        <v>Excellent coverage</v>
      </c>
      <c r="CE164" s="452">
        <v>0</v>
      </c>
      <c r="CF164" s="469" t="s">
        <v>65</v>
      </c>
      <c r="CG164" s="509"/>
    </row>
    <row r="165" spans="2:85" s="40" customFormat="1" ht="30.75" customHeight="1" x14ac:dyDescent="0.2">
      <c r="B165" s="449" t="s">
        <v>468</v>
      </c>
      <c r="C165" s="450" t="s">
        <v>709</v>
      </c>
      <c r="D165" s="451" t="s">
        <v>267</v>
      </c>
      <c r="E165" s="450" t="s">
        <v>470</v>
      </c>
      <c r="F165" s="451">
        <v>97.701576000000003</v>
      </c>
      <c r="G165" s="451">
        <v>23.842051000000001</v>
      </c>
      <c r="H165" s="451" t="s">
        <v>449</v>
      </c>
      <c r="I165" s="451" t="s">
        <v>214</v>
      </c>
      <c r="J165" s="452">
        <v>41</v>
      </c>
      <c r="K165" s="452">
        <v>218</v>
      </c>
      <c r="L165" s="452">
        <v>218</v>
      </c>
      <c r="M165" s="362" t="str">
        <f t="shared" si="180"/>
        <v>1. Small</v>
      </c>
      <c r="N165" s="701" t="s">
        <v>836</v>
      </c>
      <c r="O165" s="453" t="s">
        <v>235</v>
      </c>
      <c r="P165" s="461" t="s">
        <v>233</v>
      </c>
      <c r="Q165" s="382" t="str">
        <f t="shared" si="147"/>
        <v>Covered</v>
      </c>
      <c r="R165" s="462">
        <v>42460</v>
      </c>
      <c r="S165" s="453" t="s">
        <v>253</v>
      </c>
      <c r="T165" s="380" t="str">
        <f t="shared" si="148"/>
        <v>Documented</v>
      </c>
      <c r="U165" s="468">
        <v>0</v>
      </c>
      <c r="V165" s="452">
        <v>0</v>
      </c>
      <c r="W165" s="469" t="s">
        <v>19</v>
      </c>
      <c r="X165" s="476">
        <v>0</v>
      </c>
      <c r="Y165" s="452">
        <v>0</v>
      </c>
      <c r="Z165" s="469">
        <v>7000</v>
      </c>
      <c r="AA165" s="481">
        <v>1</v>
      </c>
      <c r="AB165" s="482">
        <v>0</v>
      </c>
      <c r="AC165" s="385">
        <f t="shared" si="184"/>
        <v>1</v>
      </c>
      <c r="AD165" s="364">
        <f t="shared" si="185"/>
        <v>218</v>
      </c>
      <c r="AE165" s="365">
        <f t="shared" si="186"/>
        <v>1</v>
      </c>
      <c r="AF165" s="366">
        <f t="shared" si="187"/>
        <v>218</v>
      </c>
      <c r="AG165" s="363">
        <f t="shared" si="181"/>
        <v>1</v>
      </c>
      <c r="AH165" s="366">
        <f t="shared" si="188"/>
        <v>218</v>
      </c>
      <c r="AI165" s="367" t="str">
        <f t="shared" si="182"/>
        <v>80-100%</v>
      </c>
      <c r="AJ165" s="363">
        <f t="shared" si="183"/>
        <v>0</v>
      </c>
      <c r="AK165" s="368">
        <f t="shared" si="189"/>
        <v>0</v>
      </c>
      <c r="AL165" s="366">
        <f t="shared" si="190"/>
        <v>0.54500000000000004</v>
      </c>
      <c r="AM165" s="366">
        <f t="shared" si="191"/>
        <v>0</v>
      </c>
      <c r="AN165" s="366">
        <f t="shared" si="192"/>
        <v>218</v>
      </c>
      <c r="AO165" s="490">
        <v>1</v>
      </c>
      <c r="AP165" s="486">
        <f t="shared" si="193"/>
        <v>218</v>
      </c>
      <c r="AQ165" s="469" t="s">
        <v>839</v>
      </c>
      <c r="AR165" s="732">
        <v>10</v>
      </c>
      <c r="AS165" s="452">
        <v>6</v>
      </c>
      <c r="AT165" s="452">
        <v>0</v>
      </c>
      <c r="AU165" s="452" t="s">
        <v>291</v>
      </c>
      <c r="AV165" s="369">
        <f t="shared" si="194"/>
        <v>0.55045871559633031</v>
      </c>
      <c r="AW165" s="366">
        <f t="shared" si="195"/>
        <v>120</v>
      </c>
      <c r="AX165" s="369">
        <f t="shared" si="179"/>
        <v>0.55045871559633031</v>
      </c>
      <c r="AY165" s="366">
        <f t="shared" si="196"/>
        <v>120</v>
      </c>
      <c r="AZ165" s="369">
        <f t="shared" si="197"/>
        <v>0</v>
      </c>
      <c r="BA165" s="366">
        <f t="shared" si="198"/>
        <v>0</v>
      </c>
      <c r="BB165" s="474">
        <v>2</v>
      </c>
      <c r="BC165" s="490">
        <v>0.55000000000000004</v>
      </c>
      <c r="BD165" s="370">
        <f t="shared" si="199"/>
        <v>119.9</v>
      </c>
      <c r="BE165" s="371">
        <f t="shared" si="200"/>
        <v>12.9</v>
      </c>
      <c r="BF165" s="452">
        <v>3</v>
      </c>
      <c r="BG165" s="452" t="s">
        <v>291</v>
      </c>
      <c r="BH165" s="369">
        <f t="shared" si="201"/>
        <v>1</v>
      </c>
      <c r="BI165" s="366">
        <f t="shared" si="202"/>
        <v>218</v>
      </c>
      <c r="BJ165" s="371">
        <f t="shared" si="203"/>
        <v>0</v>
      </c>
      <c r="BK165" s="490">
        <v>1</v>
      </c>
      <c r="BL165" s="366">
        <f t="shared" si="204"/>
        <v>218</v>
      </c>
      <c r="BM165" s="452">
        <v>4</v>
      </c>
      <c r="BN165" s="369">
        <f t="shared" si="205"/>
        <v>1</v>
      </c>
      <c r="BO165" s="371">
        <f t="shared" si="206"/>
        <v>0</v>
      </c>
      <c r="BP165" s="478">
        <v>1</v>
      </c>
      <c r="BQ165" s="500" t="s">
        <v>772</v>
      </c>
      <c r="BR165" s="502">
        <v>42125</v>
      </c>
      <c r="BS165" s="372">
        <f t="shared" si="177"/>
        <v>42490</v>
      </c>
      <c r="BT165" s="452">
        <v>59</v>
      </c>
      <c r="BU165" s="452">
        <v>5</v>
      </c>
      <c r="BV165" s="376">
        <f t="shared" si="207"/>
        <v>0</v>
      </c>
      <c r="BW165" s="377">
        <f t="shared" si="208"/>
        <v>1</v>
      </c>
      <c r="BX165" s="370">
        <f t="shared" si="209"/>
        <v>218</v>
      </c>
      <c r="BY165" s="708">
        <f t="shared" si="178"/>
        <v>0</v>
      </c>
      <c r="BZ165" s="468" t="s">
        <v>777</v>
      </c>
      <c r="CA165" s="482">
        <v>1</v>
      </c>
      <c r="CB165" s="389">
        <f t="shared" si="210"/>
        <v>218</v>
      </c>
      <c r="CC165" s="476">
        <v>3</v>
      </c>
      <c r="CD165" s="375" t="str">
        <f t="shared" si="211"/>
        <v>Excellent coverage</v>
      </c>
      <c r="CE165" s="452">
        <v>0</v>
      </c>
      <c r="CF165" s="469" t="s">
        <v>65</v>
      </c>
      <c r="CG165" s="509"/>
    </row>
    <row r="166" spans="2:85" s="40" customFormat="1" ht="30.75" customHeight="1" x14ac:dyDescent="0.2">
      <c r="B166" s="449" t="s">
        <v>201</v>
      </c>
      <c r="C166" s="450" t="s">
        <v>542</v>
      </c>
      <c r="D166" s="451" t="s">
        <v>268</v>
      </c>
      <c r="E166" s="450" t="s">
        <v>202</v>
      </c>
      <c r="F166" s="451">
        <v>97.848529999999997</v>
      </c>
      <c r="G166" s="451">
        <v>23.4008</v>
      </c>
      <c r="H166" s="451" t="s">
        <v>449</v>
      </c>
      <c r="I166" s="451" t="s">
        <v>214</v>
      </c>
      <c r="J166" s="452">
        <v>85</v>
      </c>
      <c r="K166" s="452">
        <v>325</v>
      </c>
      <c r="L166" s="452">
        <v>325</v>
      </c>
      <c r="M166" s="362" t="str">
        <f t="shared" si="180"/>
        <v>2. Medium</v>
      </c>
      <c r="N166" s="701" t="s">
        <v>836</v>
      </c>
      <c r="O166" s="453" t="s">
        <v>235</v>
      </c>
      <c r="P166" s="461" t="s">
        <v>233</v>
      </c>
      <c r="Q166" s="382" t="str">
        <f t="shared" si="147"/>
        <v>Covered</v>
      </c>
      <c r="R166" s="462">
        <v>42460</v>
      </c>
      <c r="S166" s="453" t="s">
        <v>253</v>
      </c>
      <c r="T166" s="380" t="str">
        <f t="shared" si="148"/>
        <v>Documented</v>
      </c>
      <c r="U166" s="468">
        <v>0</v>
      </c>
      <c r="V166" s="452">
        <v>0</v>
      </c>
      <c r="W166" s="469" t="s">
        <v>19</v>
      </c>
      <c r="X166" s="476">
        <v>0</v>
      </c>
      <c r="Y166" s="452">
        <v>0</v>
      </c>
      <c r="Z166" s="469">
        <v>86400</v>
      </c>
      <c r="AA166" s="481">
        <v>1</v>
      </c>
      <c r="AB166" s="482">
        <v>0</v>
      </c>
      <c r="AC166" s="385">
        <f t="shared" si="184"/>
        <v>1</v>
      </c>
      <c r="AD166" s="364">
        <f t="shared" si="185"/>
        <v>325</v>
      </c>
      <c r="AE166" s="365">
        <f t="shared" si="186"/>
        <v>1</v>
      </c>
      <c r="AF166" s="366">
        <f t="shared" si="187"/>
        <v>325</v>
      </c>
      <c r="AG166" s="363">
        <f t="shared" si="181"/>
        <v>1</v>
      </c>
      <c r="AH166" s="366">
        <f t="shared" si="188"/>
        <v>325</v>
      </c>
      <c r="AI166" s="367" t="str">
        <f t="shared" si="182"/>
        <v>80-100%</v>
      </c>
      <c r="AJ166" s="363">
        <f t="shared" si="183"/>
        <v>0</v>
      </c>
      <c r="AK166" s="368">
        <f t="shared" si="189"/>
        <v>0</v>
      </c>
      <c r="AL166" s="366">
        <f t="shared" si="190"/>
        <v>0.8125</v>
      </c>
      <c r="AM166" s="366">
        <f t="shared" si="191"/>
        <v>0</v>
      </c>
      <c r="AN166" s="366">
        <f t="shared" si="192"/>
        <v>325</v>
      </c>
      <c r="AO166" s="490">
        <v>1</v>
      </c>
      <c r="AP166" s="486">
        <f t="shared" si="193"/>
        <v>325</v>
      </c>
      <c r="AQ166" s="469" t="s">
        <v>840</v>
      </c>
      <c r="AR166" s="732">
        <v>74</v>
      </c>
      <c r="AS166" s="452">
        <v>86</v>
      </c>
      <c r="AT166" s="452">
        <v>0</v>
      </c>
      <c r="AU166" s="452" t="s">
        <v>290</v>
      </c>
      <c r="AV166" s="369">
        <f t="shared" si="194"/>
        <v>1</v>
      </c>
      <c r="AW166" s="366">
        <f t="shared" si="195"/>
        <v>325</v>
      </c>
      <c r="AX166" s="369">
        <f t="shared" si="179"/>
        <v>1</v>
      </c>
      <c r="AY166" s="366">
        <f t="shared" si="196"/>
        <v>325</v>
      </c>
      <c r="AZ166" s="369">
        <f t="shared" si="197"/>
        <v>0</v>
      </c>
      <c r="BA166" s="366">
        <f t="shared" si="198"/>
        <v>0</v>
      </c>
      <c r="BB166" s="474">
        <v>2</v>
      </c>
      <c r="BC166" s="490">
        <v>1</v>
      </c>
      <c r="BD166" s="370">
        <f t="shared" si="199"/>
        <v>325</v>
      </c>
      <c r="BE166" s="371">
        <f t="shared" si="200"/>
        <v>18.25</v>
      </c>
      <c r="BF166" s="452">
        <v>1</v>
      </c>
      <c r="BG166" s="452" t="s">
        <v>89</v>
      </c>
      <c r="BH166" s="369">
        <f t="shared" si="201"/>
        <v>0.30769230769230771</v>
      </c>
      <c r="BI166" s="366">
        <f t="shared" si="202"/>
        <v>100</v>
      </c>
      <c r="BJ166" s="371">
        <f t="shared" si="203"/>
        <v>2.25</v>
      </c>
      <c r="BK166" s="490">
        <v>0.31</v>
      </c>
      <c r="BL166" s="366">
        <f t="shared" si="204"/>
        <v>100.75</v>
      </c>
      <c r="BM166" s="452">
        <v>0</v>
      </c>
      <c r="BN166" s="369">
        <f t="shared" si="205"/>
        <v>0</v>
      </c>
      <c r="BO166" s="371">
        <f t="shared" si="206"/>
        <v>3.25</v>
      </c>
      <c r="BP166" s="478">
        <v>0.7</v>
      </c>
      <c r="BQ166" s="500" t="s">
        <v>642</v>
      </c>
      <c r="BR166" s="502">
        <v>42125</v>
      </c>
      <c r="BS166" s="372">
        <f t="shared" si="177"/>
        <v>42490</v>
      </c>
      <c r="BT166" s="452">
        <v>82</v>
      </c>
      <c r="BU166" s="452">
        <v>5</v>
      </c>
      <c r="BV166" s="376">
        <f t="shared" si="207"/>
        <v>3</v>
      </c>
      <c r="BW166" s="377">
        <f t="shared" si="208"/>
        <v>0.96470588235294119</v>
      </c>
      <c r="BX166" s="370">
        <f t="shared" si="209"/>
        <v>313.52941176470591</v>
      </c>
      <c r="BY166" s="708">
        <f t="shared" si="178"/>
        <v>0</v>
      </c>
      <c r="BZ166" s="468"/>
      <c r="CA166" s="482">
        <v>0.25</v>
      </c>
      <c r="CB166" s="389">
        <f t="shared" si="210"/>
        <v>81.25</v>
      </c>
      <c r="CC166" s="476">
        <v>3</v>
      </c>
      <c r="CD166" s="375" t="str">
        <f t="shared" si="211"/>
        <v>Excellent coverage</v>
      </c>
      <c r="CE166" s="452">
        <v>0</v>
      </c>
      <c r="CF166" s="469" t="s">
        <v>66</v>
      </c>
      <c r="CG166" s="509"/>
    </row>
    <row r="167" spans="2:85" s="40" customFormat="1" ht="30.75" customHeight="1" x14ac:dyDescent="0.2">
      <c r="B167" s="449" t="s">
        <v>201</v>
      </c>
      <c r="C167" s="450" t="s">
        <v>543</v>
      </c>
      <c r="D167" s="451" t="s">
        <v>268</v>
      </c>
      <c r="E167" s="450" t="s">
        <v>203</v>
      </c>
      <c r="F167" s="451">
        <v>97.926813999999993</v>
      </c>
      <c r="G167" s="451">
        <v>23.450914000000001</v>
      </c>
      <c r="H167" s="451" t="s">
        <v>449</v>
      </c>
      <c r="I167" s="451" t="s">
        <v>214</v>
      </c>
      <c r="J167" s="452">
        <v>63</v>
      </c>
      <c r="K167" s="452">
        <v>294</v>
      </c>
      <c r="L167" s="452">
        <v>294</v>
      </c>
      <c r="M167" s="362" t="str">
        <f t="shared" ref="M167:M180" si="212">IF(J167&gt;50,IF(J167&gt;250,IF(J167&gt;500,IF(J167&gt;1000,"5. Massive","4. Big"),"3. Large"),"2. Medium"),"1. Small")</f>
        <v>2. Medium</v>
      </c>
      <c r="N167" s="701" t="s">
        <v>836</v>
      </c>
      <c r="O167" s="453" t="s">
        <v>235</v>
      </c>
      <c r="P167" s="461" t="s">
        <v>233</v>
      </c>
      <c r="Q167" s="382" t="str">
        <f t="shared" si="147"/>
        <v>Covered</v>
      </c>
      <c r="R167" s="462">
        <v>42460</v>
      </c>
      <c r="S167" s="453" t="s">
        <v>253</v>
      </c>
      <c r="T167" s="380" t="str">
        <f t="shared" ref="T167:T168" si="213">IF(S167="Not documented","Not documented","Documented")</f>
        <v>Documented</v>
      </c>
      <c r="U167" s="468">
        <v>0</v>
      </c>
      <c r="V167" s="452">
        <v>0</v>
      </c>
      <c r="W167" s="469" t="s">
        <v>19</v>
      </c>
      <c r="X167" s="476">
        <v>0</v>
      </c>
      <c r="Y167" s="452">
        <v>0</v>
      </c>
      <c r="Z167" s="469">
        <v>2000</v>
      </c>
      <c r="AA167" s="481">
        <v>1</v>
      </c>
      <c r="AB167" s="482">
        <v>0</v>
      </c>
      <c r="AC167" s="385">
        <f t="shared" si="184"/>
        <v>0.45351473922902497</v>
      </c>
      <c r="AD167" s="364">
        <f t="shared" si="185"/>
        <v>133.33333333333334</v>
      </c>
      <c r="AE167" s="365">
        <f t="shared" si="186"/>
        <v>0.45351473922902497</v>
      </c>
      <c r="AF167" s="366">
        <f t="shared" si="187"/>
        <v>133.33333333333334</v>
      </c>
      <c r="AG167" s="363">
        <f t="shared" ref="AG167:AG168" si="214">IF(AB167=0,AC167,IF(AB167&lt;AC167,AC167,AB167))</f>
        <v>0.45351473922902497</v>
      </c>
      <c r="AH167" s="366">
        <f t="shared" si="188"/>
        <v>133.33333333333334</v>
      </c>
      <c r="AI167" s="367" t="str">
        <f t="shared" ref="AI167:AI168" si="215">IF(AC167&gt;0.15,IF(AC167&gt;0.3,IF(AC167&gt;0.45,IF(AC167&gt;0.6,IF(AC167&gt;0.8,"80-100%","60-80%"),"45-60%"),"30-45%"),"15-30%"),"0-10%")</f>
        <v>45-60%</v>
      </c>
      <c r="AJ167" s="363">
        <f t="shared" ref="AJ167:AJ168" si="216">IF((AC167-AE167)&lt; 0, 0, AC167-AE167)</f>
        <v>0</v>
      </c>
      <c r="AK167" s="368">
        <f t="shared" si="189"/>
        <v>0</v>
      </c>
      <c r="AL167" s="366">
        <f t="shared" si="190"/>
        <v>0.73499999999999999</v>
      </c>
      <c r="AM167" s="366">
        <f t="shared" si="191"/>
        <v>0</v>
      </c>
      <c r="AN167" s="366">
        <f t="shared" si="192"/>
        <v>294</v>
      </c>
      <c r="AO167" s="490">
        <v>1</v>
      </c>
      <c r="AP167" s="486">
        <f t="shared" si="193"/>
        <v>294</v>
      </c>
      <c r="AQ167" s="469" t="s">
        <v>841</v>
      </c>
      <c r="AR167" s="732">
        <v>49</v>
      </c>
      <c r="AS167" s="452">
        <v>6</v>
      </c>
      <c r="AT167" s="452">
        <v>0</v>
      </c>
      <c r="AU167" s="452" t="s">
        <v>290</v>
      </c>
      <c r="AV167" s="369">
        <f t="shared" si="194"/>
        <v>0.40816326530612246</v>
      </c>
      <c r="AW167" s="366">
        <f t="shared" si="195"/>
        <v>120</v>
      </c>
      <c r="AX167" s="369">
        <f t="shared" ref="AX167:AX168" si="217">AV167-AZ167</f>
        <v>0.40816326530612246</v>
      </c>
      <c r="AY167" s="366">
        <f t="shared" si="196"/>
        <v>120</v>
      </c>
      <c r="AZ167" s="369">
        <f t="shared" si="197"/>
        <v>0</v>
      </c>
      <c r="BA167" s="366">
        <f t="shared" si="198"/>
        <v>0</v>
      </c>
      <c r="BB167" s="474">
        <v>3</v>
      </c>
      <c r="BC167" s="490">
        <v>0.41</v>
      </c>
      <c r="BD167" s="370">
        <f t="shared" si="199"/>
        <v>120.53999999999999</v>
      </c>
      <c r="BE167" s="371">
        <f t="shared" si="200"/>
        <v>17.7</v>
      </c>
      <c r="BF167" s="452">
        <v>2</v>
      </c>
      <c r="BG167" s="452" t="s">
        <v>89</v>
      </c>
      <c r="BH167" s="369">
        <f t="shared" si="201"/>
        <v>0.68027210884353739</v>
      </c>
      <c r="BI167" s="366">
        <f t="shared" si="202"/>
        <v>200</v>
      </c>
      <c r="BJ167" s="371">
        <f t="shared" si="203"/>
        <v>0.94</v>
      </c>
      <c r="BK167" s="490">
        <v>0.68</v>
      </c>
      <c r="BL167" s="366">
        <f t="shared" si="204"/>
        <v>199.92000000000002</v>
      </c>
      <c r="BM167" s="452">
        <v>2</v>
      </c>
      <c r="BN167" s="369">
        <f t="shared" si="205"/>
        <v>0.68027210884353739</v>
      </c>
      <c r="BO167" s="371">
        <f t="shared" si="206"/>
        <v>0.94</v>
      </c>
      <c r="BP167" s="478">
        <v>0.86</v>
      </c>
      <c r="BQ167" s="500" t="s">
        <v>772</v>
      </c>
      <c r="BR167" s="502">
        <v>41183</v>
      </c>
      <c r="BS167" s="372" t="str">
        <f t="shared" ref="BS167:BS168" si="218">IF(BR167="","To be realised",IF(BR167="n/a","n/a",IF(BR167+365&lt;$E$2,"To be realised",BR167+365)))</f>
        <v>To be realised</v>
      </c>
      <c r="BT167" s="452">
        <v>84</v>
      </c>
      <c r="BU167" s="452">
        <v>2</v>
      </c>
      <c r="BV167" s="376">
        <f t="shared" si="207"/>
        <v>63</v>
      </c>
      <c r="BW167" s="377">
        <f t="shared" si="208"/>
        <v>0</v>
      </c>
      <c r="BX167" s="370">
        <f t="shared" si="209"/>
        <v>0</v>
      </c>
      <c r="BY167" s="708">
        <f t="shared" ref="BY167:BY178" si="219">IF(BR167="","Column BN to be completed", IF(BR167="n/a",0,IF(($E$2-BR167-30)/30-BU167&lt;0,0,ROUND((($E$2-BR167-30)/30-BU167),0))))</f>
        <v>31</v>
      </c>
      <c r="BZ167" s="468"/>
      <c r="CA167" s="482">
        <v>0.3</v>
      </c>
      <c r="CB167" s="389">
        <f t="shared" si="210"/>
        <v>88.2</v>
      </c>
      <c r="CC167" s="476">
        <v>2</v>
      </c>
      <c r="CD167" s="375" t="str">
        <f t="shared" si="211"/>
        <v>Excellent coverage</v>
      </c>
      <c r="CE167" s="452">
        <v>0</v>
      </c>
      <c r="CF167" s="469" t="s">
        <v>65</v>
      </c>
      <c r="CG167" s="509"/>
    </row>
    <row r="168" spans="2:85" s="40" customFormat="1" ht="30.75" customHeight="1" x14ac:dyDescent="0.2">
      <c r="B168" s="449" t="s">
        <v>201</v>
      </c>
      <c r="C168" s="450" t="s">
        <v>544</v>
      </c>
      <c r="D168" s="451" t="s">
        <v>268</v>
      </c>
      <c r="E168" s="450" t="s">
        <v>204</v>
      </c>
      <c r="F168" s="451">
        <v>97.947360000000003</v>
      </c>
      <c r="G168" s="451">
        <v>23.460349999999998</v>
      </c>
      <c r="H168" s="451" t="s">
        <v>449</v>
      </c>
      <c r="I168" s="451" t="s">
        <v>214</v>
      </c>
      <c r="J168" s="452">
        <v>34</v>
      </c>
      <c r="K168" s="452">
        <v>150</v>
      </c>
      <c r="L168" s="452">
        <v>150</v>
      </c>
      <c r="M168" s="362" t="str">
        <f t="shared" si="212"/>
        <v>1. Small</v>
      </c>
      <c r="N168" s="701" t="s">
        <v>834</v>
      </c>
      <c r="O168" s="453" t="s">
        <v>231</v>
      </c>
      <c r="P168" s="461" t="s">
        <v>231</v>
      </c>
      <c r="Q168" s="382" t="str">
        <f t="shared" si="147"/>
        <v>Covered</v>
      </c>
      <c r="R168" s="462">
        <v>42369</v>
      </c>
      <c r="S168" s="453" t="s">
        <v>253</v>
      </c>
      <c r="T168" s="380" t="str">
        <f t="shared" si="213"/>
        <v>Documented</v>
      </c>
      <c r="U168" s="468">
        <v>0</v>
      </c>
      <c r="V168" s="452">
        <v>0</v>
      </c>
      <c r="W168" s="469" t="s">
        <v>19</v>
      </c>
      <c r="X168" s="476">
        <v>1</v>
      </c>
      <c r="Y168" s="452">
        <v>0</v>
      </c>
      <c r="Z168" s="469">
        <v>10960</v>
      </c>
      <c r="AA168" s="481">
        <v>1</v>
      </c>
      <c r="AB168" s="482">
        <v>0</v>
      </c>
      <c r="AC168" s="385">
        <f t="shared" si="184"/>
        <v>1</v>
      </c>
      <c r="AD168" s="364">
        <f t="shared" si="185"/>
        <v>150</v>
      </c>
      <c r="AE168" s="365">
        <f t="shared" si="186"/>
        <v>1</v>
      </c>
      <c r="AF168" s="366">
        <f t="shared" si="187"/>
        <v>150</v>
      </c>
      <c r="AG168" s="363">
        <f t="shared" si="214"/>
        <v>1</v>
      </c>
      <c r="AH168" s="366">
        <f t="shared" si="188"/>
        <v>150</v>
      </c>
      <c r="AI168" s="367" t="str">
        <f t="shared" si="215"/>
        <v>80-100%</v>
      </c>
      <c r="AJ168" s="363">
        <f t="shared" si="216"/>
        <v>0</v>
      </c>
      <c r="AK168" s="368">
        <f t="shared" si="189"/>
        <v>0</v>
      </c>
      <c r="AL168" s="366">
        <f t="shared" si="190"/>
        <v>0</v>
      </c>
      <c r="AM168" s="366">
        <f t="shared" si="191"/>
        <v>0</v>
      </c>
      <c r="AN168" s="366">
        <f t="shared" si="192"/>
        <v>150</v>
      </c>
      <c r="AO168" s="490">
        <v>1</v>
      </c>
      <c r="AP168" s="486">
        <f t="shared" si="193"/>
        <v>150</v>
      </c>
      <c r="AQ168" s="469" t="s">
        <v>769</v>
      </c>
      <c r="AR168" s="732">
        <v>12</v>
      </c>
      <c r="AS168" s="452">
        <v>0</v>
      </c>
      <c r="AT168" s="452">
        <v>8</v>
      </c>
      <c r="AU168" s="452" t="s">
        <v>291</v>
      </c>
      <c r="AV168" s="369">
        <f t="shared" si="194"/>
        <v>1</v>
      </c>
      <c r="AW168" s="366">
        <f t="shared" si="195"/>
        <v>150</v>
      </c>
      <c r="AX168" s="369">
        <f t="shared" si="217"/>
        <v>0</v>
      </c>
      <c r="AY168" s="366">
        <f t="shared" si="196"/>
        <v>0</v>
      </c>
      <c r="AZ168" s="369">
        <f t="shared" si="197"/>
        <v>1</v>
      </c>
      <c r="BA168" s="366">
        <f t="shared" si="198"/>
        <v>150</v>
      </c>
      <c r="BB168" s="474">
        <v>2</v>
      </c>
      <c r="BC168" s="490">
        <v>1</v>
      </c>
      <c r="BD168" s="370">
        <f t="shared" si="199"/>
        <v>150</v>
      </c>
      <c r="BE168" s="371">
        <f t="shared" si="200"/>
        <v>1.5</v>
      </c>
      <c r="BF168" s="452">
        <v>2</v>
      </c>
      <c r="BG168" s="452" t="s">
        <v>291</v>
      </c>
      <c r="BH168" s="369">
        <f t="shared" si="201"/>
        <v>1</v>
      </c>
      <c r="BI168" s="366">
        <f t="shared" si="202"/>
        <v>150</v>
      </c>
      <c r="BJ168" s="371">
        <f t="shared" si="203"/>
        <v>0</v>
      </c>
      <c r="BK168" s="490">
        <v>1</v>
      </c>
      <c r="BL168" s="366">
        <f t="shared" si="204"/>
        <v>150</v>
      </c>
      <c r="BM168" s="452">
        <v>0</v>
      </c>
      <c r="BN168" s="369">
        <f t="shared" si="205"/>
        <v>0</v>
      </c>
      <c r="BO168" s="371">
        <f t="shared" si="206"/>
        <v>1.5</v>
      </c>
      <c r="BP168" s="478">
        <v>0</v>
      </c>
      <c r="BQ168" s="500" t="s">
        <v>749</v>
      </c>
      <c r="BR168" s="502"/>
      <c r="BS168" s="372" t="str">
        <f t="shared" si="218"/>
        <v>To be realised</v>
      </c>
      <c r="BT168" s="452">
        <v>0</v>
      </c>
      <c r="BU168" s="452">
        <v>3</v>
      </c>
      <c r="BV168" s="376">
        <f t="shared" si="207"/>
        <v>34</v>
      </c>
      <c r="BW168" s="377">
        <f t="shared" si="208"/>
        <v>0</v>
      </c>
      <c r="BX168" s="370">
        <f t="shared" si="209"/>
        <v>0</v>
      </c>
      <c r="BY168" s="708" t="str">
        <f t="shared" si="219"/>
        <v>Column BN to be completed</v>
      </c>
      <c r="BZ168" s="468" t="s">
        <v>880</v>
      </c>
      <c r="CA168" s="482">
        <v>0</v>
      </c>
      <c r="CB168" s="389">
        <f t="shared" si="210"/>
        <v>0</v>
      </c>
      <c r="CC168" s="476">
        <v>2</v>
      </c>
      <c r="CD168" s="375" t="str">
        <f t="shared" si="211"/>
        <v>Excellent coverage</v>
      </c>
      <c r="CE168" s="452">
        <v>0</v>
      </c>
      <c r="CF168" s="469" t="s">
        <v>65</v>
      </c>
      <c r="CG168" s="509"/>
    </row>
    <row r="169" spans="2:85" s="40" customFormat="1" ht="30.75" customHeight="1" x14ac:dyDescent="0.2">
      <c r="B169" s="449" t="s">
        <v>201</v>
      </c>
      <c r="C169" s="450" t="s">
        <v>545</v>
      </c>
      <c r="D169" s="451" t="s">
        <v>268</v>
      </c>
      <c r="E169" s="450" t="s">
        <v>205</v>
      </c>
      <c r="F169" s="451">
        <v>97.793306999999999</v>
      </c>
      <c r="G169" s="451">
        <v>23.589089000000001</v>
      </c>
      <c r="H169" s="451" t="s">
        <v>449</v>
      </c>
      <c r="I169" s="451" t="s">
        <v>214</v>
      </c>
      <c r="J169" s="452">
        <v>76</v>
      </c>
      <c r="K169" s="452">
        <v>403</v>
      </c>
      <c r="L169" s="452">
        <v>403</v>
      </c>
      <c r="M169" s="362" t="str">
        <f t="shared" si="212"/>
        <v>2. Medium</v>
      </c>
      <c r="N169" s="701" t="s">
        <v>836</v>
      </c>
      <c r="O169" s="453" t="s">
        <v>235</v>
      </c>
      <c r="P169" s="461" t="s">
        <v>233</v>
      </c>
      <c r="Q169" s="382" t="str">
        <f t="shared" si="147"/>
        <v>Covered</v>
      </c>
      <c r="R169" s="462">
        <v>42460</v>
      </c>
      <c r="S169" s="453" t="s">
        <v>253</v>
      </c>
      <c r="T169" s="380" t="str">
        <f t="shared" si="148"/>
        <v>Documented</v>
      </c>
      <c r="U169" s="468">
        <v>0</v>
      </c>
      <c r="V169" s="452">
        <v>0</v>
      </c>
      <c r="W169" s="469" t="s">
        <v>19</v>
      </c>
      <c r="X169" s="476">
        <v>0</v>
      </c>
      <c r="Y169" s="452">
        <v>0</v>
      </c>
      <c r="Z169" s="469">
        <v>100000</v>
      </c>
      <c r="AA169" s="481">
        <v>1</v>
      </c>
      <c r="AB169" s="482">
        <v>0</v>
      </c>
      <c r="AC169" s="385">
        <f t="shared" si="184"/>
        <v>1</v>
      </c>
      <c r="AD169" s="364">
        <f t="shared" si="185"/>
        <v>403</v>
      </c>
      <c r="AE169" s="365">
        <f t="shared" si="186"/>
        <v>1</v>
      </c>
      <c r="AF169" s="366">
        <f t="shared" si="187"/>
        <v>403</v>
      </c>
      <c r="AG169" s="363">
        <f t="shared" ref="AG169:AG170" si="220">IF(AB169=0,AC169,IF(AB169&lt;AC169,AC169,AB169))</f>
        <v>1</v>
      </c>
      <c r="AH169" s="366">
        <f t="shared" si="188"/>
        <v>403</v>
      </c>
      <c r="AI169" s="367" t="str">
        <f t="shared" ref="AI169:AI170" si="221">IF(AC169&gt;0.15,IF(AC169&gt;0.3,IF(AC169&gt;0.45,IF(AC169&gt;0.6,IF(AC169&gt;0.8,"80-100%","60-80%"),"45-60%"),"30-45%"),"15-30%"),"0-10%")</f>
        <v>80-100%</v>
      </c>
      <c r="AJ169" s="363">
        <f t="shared" ref="AJ169:AJ170" si="222">IF((AC169-AE169)&lt; 0, 0, AC169-AE169)</f>
        <v>0</v>
      </c>
      <c r="AK169" s="368">
        <f t="shared" si="189"/>
        <v>0</v>
      </c>
      <c r="AL169" s="366">
        <f t="shared" si="190"/>
        <v>1.0075000000000001</v>
      </c>
      <c r="AM169" s="366">
        <f t="shared" si="191"/>
        <v>0</v>
      </c>
      <c r="AN169" s="366">
        <f t="shared" si="192"/>
        <v>403</v>
      </c>
      <c r="AO169" s="490">
        <v>1</v>
      </c>
      <c r="AP169" s="486">
        <f t="shared" si="193"/>
        <v>403</v>
      </c>
      <c r="AQ169" s="469"/>
      <c r="AR169" s="732">
        <v>9</v>
      </c>
      <c r="AS169" s="452">
        <v>74</v>
      </c>
      <c r="AT169" s="452">
        <v>0</v>
      </c>
      <c r="AU169" s="452" t="s">
        <v>290</v>
      </c>
      <c r="AV169" s="369">
        <f t="shared" si="194"/>
        <v>1</v>
      </c>
      <c r="AW169" s="366">
        <f t="shared" si="195"/>
        <v>403</v>
      </c>
      <c r="AX169" s="369">
        <f t="shared" si="179"/>
        <v>1</v>
      </c>
      <c r="AY169" s="366">
        <f t="shared" si="196"/>
        <v>403</v>
      </c>
      <c r="AZ169" s="369">
        <f t="shared" si="197"/>
        <v>0</v>
      </c>
      <c r="BA169" s="366">
        <f t="shared" si="198"/>
        <v>0</v>
      </c>
      <c r="BB169" s="474">
        <v>2</v>
      </c>
      <c r="BC169" s="490">
        <v>1</v>
      </c>
      <c r="BD169" s="370"/>
      <c r="BE169" s="371"/>
      <c r="BF169" s="452">
        <v>5</v>
      </c>
      <c r="BG169" s="452" t="s">
        <v>739</v>
      </c>
      <c r="BH169" s="369">
        <f t="shared" si="201"/>
        <v>1</v>
      </c>
      <c r="BI169" s="366">
        <f t="shared" si="202"/>
        <v>403</v>
      </c>
      <c r="BJ169" s="371">
        <f t="shared" si="203"/>
        <v>0</v>
      </c>
      <c r="BK169" s="485">
        <v>1</v>
      </c>
      <c r="BL169" s="366">
        <f t="shared" si="204"/>
        <v>403</v>
      </c>
      <c r="BM169" s="452">
        <v>0</v>
      </c>
      <c r="BN169" s="369">
        <f t="shared" si="205"/>
        <v>0</v>
      </c>
      <c r="BO169" s="371">
        <f t="shared" si="206"/>
        <v>4.03</v>
      </c>
      <c r="BP169" s="478">
        <v>0.7</v>
      </c>
      <c r="BQ169" s="500" t="s">
        <v>864</v>
      </c>
      <c r="BR169" s="502">
        <v>42125</v>
      </c>
      <c r="BS169" s="372">
        <f t="shared" si="177"/>
        <v>42490</v>
      </c>
      <c r="BT169" s="452">
        <v>78</v>
      </c>
      <c r="BU169" s="452">
        <v>5</v>
      </c>
      <c r="BV169" s="376">
        <f t="shared" si="207"/>
        <v>0</v>
      </c>
      <c r="BW169" s="377">
        <f t="shared" si="208"/>
        <v>1</v>
      </c>
      <c r="BX169" s="370">
        <f t="shared" si="209"/>
        <v>403</v>
      </c>
      <c r="BY169" s="708">
        <f t="shared" si="219"/>
        <v>0</v>
      </c>
      <c r="BZ169" s="468"/>
      <c r="CA169" s="482">
        <v>0</v>
      </c>
      <c r="CB169" s="389"/>
      <c r="CC169" s="476">
        <v>2</v>
      </c>
      <c r="CD169" s="375" t="str">
        <f t="shared" si="211"/>
        <v>Excellent coverage</v>
      </c>
      <c r="CE169" s="452">
        <v>0</v>
      </c>
      <c r="CF169" s="469" t="s">
        <v>65</v>
      </c>
      <c r="CG169" s="509"/>
    </row>
    <row r="170" spans="2:85" s="40" customFormat="1" ht="30.75" customHeight="1" x14ac:dyDescent="0.2">
      <c r="B170" s="449" t="s">
        <v>201</v>
      </c>
      <c r="C170" s="450" t="s">
        <v>546</v>
      </c>
      <c r="D170" s="451" t="s">
        <v>268</v>
      </c>
      <c r="E170" s="450" t="s">
        <v>206</v>
      </c>
      <c r="F170" s="451">
        <v>98.220614999999995</v>
      </c>
      <c r="G170" s="451">
        <v>23.400155999999999</v>
      </c>
      <c r="H170" s="451" t="s">
        <v>449</v>
      </c>
      <c r="I170" s="451" t="s">
        <v>214</v>
      </c>
      <c r="J170" s="452">
        <v>45</v>
      </c>
      <c r="K170" s="452">
        <v>211</v>
      </c>
      <c r="L170" s="452">
        <v>211</v>
      </c>
      <c r="M170" s="362" t="str">
        <f t="shared" si="212"/>
        <v>1. Small</v>
      </c>
      <c r="N170" s="701" t="s">
        <v>836</v>
      </c>
      <c r="O170" s="453" t="s">
        <v>235</v>
      </c>
      <c r="P170" s="461" t="s">
        <v>233</v>
      </c>
      <c r="Q170" s="382" t="str">
        <f t="shared" si="147"/>
        <v>Covered</v>
      </c>
      <c r="R170" s="462">
        <v>42460</v>
      </c>
      <c r="S170" s="453" t="s">
        <v>253</v>
      </c>
      <c r="T170" s="380" t="str">
        <f t="shared" ref="T170" si="223">IF(S170="Not documented","Not documented","Documented")</f>
        <v>Documented</v>
      </c>
      <c r="U170" s="468">
        <v>0</v>
      </c>
      <c r="V170" s="452">
        <v>0</v>
      </c>
      <c r="W170" s="469" t="s">
        <v>19</v>
      </c>
      <c r="X170" s="476">
        <v>0</v>
      </c>
      <c r="Y170" s="452">
        <v>0</v>
      </c>
      <c r="Z170" s="469">
        <v>3500</v>
      </c>
      <c r="AA170" s="481">
        <v>1</v>
      </c>
      <c r="AB170" s="482">
        <v>0</v>
      </c>
      <c r="AC170" s="385">
        <f t="shared" si="184"/>
        <v>1</v>
      </c>
      <c r="AD170" s="364">
        <f t="shared" si="185"/>
        <v>211</v>
      </c>
      <c r="AE170" s="365">
        <f t="shared" si="186"/>
        <v>1</v>
      </c>
      <c r="AF170" s="366">
        <f t="shared" si="187"/>
        <v>211</v>
      </c>
      <c r="AG170" s="363">
        <f t="shared" si="220"/>
        <v>1</v>
      </c>
      <c r="AH170" s="366">
        <f t="shared" si="188"/>
        <v>211</v>
      </c>
      <c r="AI170" s="367" t="str">
        <f t="shared" si="221"/>
        <v>80-100%</v>
      </c>
      <c r="AJ170" s="363">
        <f t="shared" si="222"/>
        <v>0</v>
      </c>
      <c r="AK170" s="368">
        <f t="shared" si="189"/>
        <v>0</v>
      </c>
      <c r="AL170" s="366">
        <f t="shared" si="190"/>
        <v>0.52749999999999997</v>
      </c>
      <c r="AM170" s="366">
        <f t="shared" si="191"/>
        <v>0</v>
      </c>
      <c r="AN170" s="366">
        <f t="shared" si="192"/>
        <v>211</v>
      </c>
      <c r="AO170" s="490">
        <v>1</v>
      </c>
      <c r="AP170" s="486">
        <f t="shared" si="193"/>
        <v>211</v>
      </c>
      <c r="AQ170" s="469"/>
      <c r="AR170" s="732">
        <v>4</v>
      </c>
      <c r="AS170" s="452">
        <v>41</v>
      </c>
      <c r="AT170" s="452">
        <v>0</v>
      </c>
      <c r="AU170" s="452" t="s">
        <v>290</v>
      </c>
      <c r="AV170" s="369">
        <f t="shared" si="194"/>
        <v>1</v>
      </c>
      <c r="AW170" s="366">
        <f t="shared" si="195"/>
        <v>211</v>
      </c>
      <c r="AX170" s="369">
        <f t="shared" ref="AX170" si="224">AV170-AZ170</f>
        <v>1</v>
      </c>
      <c r="AY170" s="366">
        <f t="shared" si="196"/>
        <v>211</v>
      </c>
      <c r="AZ170" s="369">
        <f t="shared" si="197"/>
        <v>0</v>
      </c>
      <c r="BA170" s="366">
        <f t="shared" si="198"/>
        <v>0</v>
      </c>
      <c r="BB170" s="474">
        <v>2</v>
      </c>
      <c r="BC170" s="490">
        <v>1</v>
      </c>
      <c r="BD170" s="370">
        <f t="shared" ref="BD170:BD180" si="225">BC170*L170</f>
        <v>211</v>
      </c>
      <c r="BE170" s="371">
        <f t="shared" ref="BE170:BE180" si="226">IF((L170/20-AT170+BB170)&lt;0,0,(L170/20-AT170+BB170))</f>
        <v>12.55</v>
      </c>
      <c r="BF170" s="452">
        <v>3</v>
      </c>
      <c r="BG170" s="452" t="s">
        <v>739</v>
      </c>
      <c r="BH170" s="369">
        <f t="shared" si="201"/>
        <v>1</v>
      </c>
      <c r="BI170" s="366">
        <f t="shared" si="202"/>
        <v>211</v>
      </c>
      <c r="BJ170" s="371">
        <f t="shared" si="203"/>
        <v>0</v>
      </c>
      <c r="BK170" s="485">
        <v>1</v>
      </c>
      <c r="BL170" s="366">
        <f t="shared" si="204"/>
        <v>211</v>
      </c>
      <c r="BM170" s="452">
        <v>0</v>
      </c>
      <c r="BN170" s="369">
        <f t="shared" si="205"/>
        <v>0</v>
      </c>
      <c r="BO170" s="371">
        <f t="shared" si="206"/>
        <v>2.11</v>
      </c>
      <c r="BP170" s="478">
        <v>0.7</v>
      </c>
      <c r="BQ170" s="500" t="s">
        <v>642</v>
      </c>
      <c r="BR170" s="502">
        <v>42125</v>
      </c>
      <c r="BS170" s="372">
        <f t="shared" ref="BS170:BS178" si="227">IF(BR170="","To be realised",IF(BR170="n/a","n/a",IF(BR170+365&lt;$E$2,"To be realised",BR170+365)))</f>
        <v>42490</v>
      </c>
      <c r="BT170" s="452">
        <v>49</v>
      </c>
      <c r="BU170" s="452">
        <v>5</v>
      </c>
      <c r="BV170" s="376">
        <f t="shared" si="207"/>
        <v>0</v>
      </c>
      <c r="BW170" s="377">
        <f t="shared" si="208"/>
        <v>1</v>
      </c>
      <c r="BX170" s="370">
        <f t="shared" si="209"/>
        <v>211</v>
      </c>
      <c r="BY170" s="708">
        <f t="shared" si="219"/>
        <v>0</v>
      </c>
      <c r="BZ170" s="468" t="s">
        <v>862</v>
      </c>
      <c r="CA170" s="482">
        <v>1</v>
      </c>
      <c r="CB170" s="389">
        <f>CA170*L170</f>
        <v>211</v>
      </c>
      <c r="CC170" s="476">
        <v>0</v>
      </c>
      <c r="CD170" s="375" t="str">
        <f t="shared" si="211"/>
        <v>No coverage</v>
      </c>
      <c r="CE170" s="452">
        <v>0</v>
      </c>
      <c r="CF170" s="469" t="s">
        <v>65</v>
      </c>
      <c r="CG170" s="500"/>
    </row>
    <row r="171" spans="2:85" ht="30.75" customHeight="1" x14ac:dyDescent="0.2">
      <c r="B171" s="449" t="s">
        <v>201</v>
      </c>
      <c r="C171" s="450" t="s">
        <v>547</v>
      </c>
      <c r="D171" s="451" t="s">
        <v>268</v>
      </c>
      <c r="E171" s="450" t="s">
        <v>207</v>
      </c>
      <c r="F171" s="451">
        <v>98.213958000000005</v>
      </c>
      <c r="G171" s="451">
        <v>23.391741</v>
      </c>
      <c r="H171" s="451" t="s">
        <v>449</v>
      </c>
      <c r="I171" s="451" t="s">
        <v>214</v>
      </c>
      <c r="J171" s="452">
        <v>67</v>
      </c>
      <c r="K171" s="452">
        <v>350</v>
      </c>
      <c r="L171" s="452">
        <v>350</v>
      </c>
      <c r="M171" s="362" t="str">
        <f t="shared" si="212"/>
        <v>2. Medium</v>
      </c>
      <c r="N171" s="701" t="s">
        <v>834</v>
      </c>
      <c r="O171" s="453" t="s">
        <v>231</v>
      </c>
      <c r="P171" s="461" t="s">
        <v>231</v>
      </c>
      <c r="Q171" s="382" t="str">
        <f>IF(P171="None","Not covered","Covered")</f>
        <v>Covered</v>
      </c>
      <c r="R171" s="462">
        <v>42369</v>
      </c>
      <c r="S171" s="453" t="s">
        <v>253</v>
      </c>
      <c r="T171" s="380" t="str">
        <f>IF(S171="Not documented","Not documented","Documented")</f>
        <v>Documented</v>
      </c>
      <c r="U171" s="468">
        <v>0</v>
      </c>
      <c r="V171" s="452">
        <v>0</v>
      </c>
      <c r="W171" s="469" t="s">
        <v>19</v>
      </c>
      <c r="X171" s="476">
        <v>0</v>
      </c>
      <c r="Y171" s="452">
        <v>0</v>
      </c>
      <c r="Z171" s="469">
        <v>14400</v>
      </c>
      <c r="AA171" s="481">
        <v>1</v>
      </c>
      <c r="AB171" s="482">
        <v>0</v>
      </c>
      <c r="AC171" s="385">
        <f t="shared" si="184"/>
        <v>1</v>
      </c>
      <c r="AD171" s="364">
        <f t="shared" si="185"/>
        <v>350</v>
      </c>
      <c r="AE171" s="365">
        <f t="shared" si="186"/>
        <v>1</v>
      </c>
      <c r="AF171" s="366">
        <f t="shared" si="187"/>
        <v>350</v>
      </c>
      <c r="AG171" s="363">
        <f t="shared" ref="AG171:AG172" si="228">IF(AB171=0,AC171,IF(AB171&lt;AC171,AC171,AB171))</f>
        <v>1</v>
      </c>
      <c r="AH171" s="366">
        <f t="shared" si="188"/>
        <v>350</v>
      </c>
      <c r="AI171" s="367" t="str">
        <f t="shared" ref="AI171:AI172" si="229">IF(AC171&gt;0.15,IF(AC171&gt;0.3,IF(AC171&gt;0.45,IF(AC171&gt;0.6,IF(AC171&gt;0.8,"80-100%","60-80%"),"45-60%"),"30-45%"),"15-30%"),"0-10%")</f>
        <v>80-100%</v>
      </c>
      <c r="AJ171" s="363">
        <f t="shared" ref="AJ171:AJ172" si="230">IF((AC171-AE171)&lt; 0, 0, AC171-AE171)</f>
        <v>0</v>
      </c>
      <c r="AK171" s="368">
        <f t="shared" si="189"/>
        <v>0</v>
      </c>
      <c r="AL171" s="366">
        <f t="shared" si="190"/>
        <v>0.875</v>
      </c>
      <c r="AM171" s="366">
        <f t="shared" si="191"/>
        <v>0</v>
      </c>
      <c r="AN171" s="366">
        <f t="shared" si="192"/>
        <v>350</v>
      </c>
      <c r="AO171" s="490">
        <v>1</v>
      </c>
      <c r="AP171" s="486">
        <f t="shared" si="193"/>
        <v>350</v>
      </c>
      <c r="AQ171" s="491" t="s">
        <v>769</v>
      </c>
      <c r="AR171" s="732">
        <v>81</v>
      </c>
      <c r="AS171" s="452">
        <v>12</v>
      </c>
      <c r="AT171" s="452">
        <v>8</v>
      </c>
      <c r="AU171" s="452" t="s">
        <v>291</v>
      </c>
      <c r="AV171" s="369">
        <f t="shared" si="194"/>
        <v>1</v>
      </c>
      <c r="AW171" s="366">
        <f t="shared" si="195"/>
        <v>350</v>
      </c>
      <c r="AX171" s="369">
        <f t="shared" ref="AX171" si="231">AV171-AZ171</f>
        <v>0.54285714285714293</v>
      </c>
      <c r="AY171" s="366">
        <f t="shared" si="196"/>
        <v>190.00000000000003</v>
      </c>
      <c r="AZ171" s="369">
        <f t="shared" si="197"/>
        <v>0.45714285714285713</v>
      </c>
      <c r="BA171" s="366">
        <f t="shared" si="198"/>
        <v>160</v>
      </c>
      <c r="BB171" s="474">
        <v>2</v>
      </c>
      <c r="BC171" s="490">
        <v>1</v>
      </c>
      <c r="BD171" s="370">
        <f t="shared" si="225"/>
        <v>350</v>
      </c>
      <c r="BE171" s="371">
        <f t="shared" si="226"/>
        <v>11.5</v>
      </c>
      <c r="BF171" s="452">
        <v>2</v>
      </c>
      <c r="BG171" s="452" t="s">
        <v>291</v>
      </c>
      <c r="BH171" s="369">
        <f t="shared" si="201"/>
        <v>0.5714285714285714</v>
      </c>
      <c r="BI171" s="366">
        <f t="shared" si="202"/>
        <v>200</v>
      </c>
      <c r="BJ171" s="371">
        <f t="shared" si="203"/>
        <v>1.5</v>
      </c>
      <c r="BK171" s="485">
        <v>0.56999999999999995</v>
      </c>
      <c r="BL171" s="366">
        <f t="shared" si="204"/>
        <v>199.49999999999997</v>
      </c>
      <c r="BM171" s="452">
        <v>0</v>
      </c>
      <c r="BN171" s="369">
        <f t="shared" si="205"/>
        <v>0</v>
      </c>
      <c r="BO171" s="371">
        <f t="shared" si="206"/>
        <v>3.5</v>
      </c>
      <c r="BP171" s="478">
        <v>0</v>
      </c>
      <c r="BQ171" s="500"/>
      <c r="BR171" s="502"/>
      <c r="BS171" s="372" t="str">
        <f t="shared" si="227"/>
        <v>To be realised</v>
      </c>
      <c r="BT171" s="452">
        <v>0</v>
      </c>
      <c r="BU171" s="452">
        <v>3</v>
      </c>
      <c r="BV171" s="376">
        <f t="shared" si="207"/>
        <v>67</v>
      </c>
      <c r="BW171" s="377">
        <f t="shared" si="208"/>
        <v>0</v>
      </c>
      <c r="BX171" s="370">
        <f t="shared" si="209"/>
        <v>0</v>
      </c>
      <c r="BY171" s="708" t="str">
        <f t="shared" si="219"/>
        <v>Column BN to be completed</v>
      </c>
      <c r="BZ171" s="468" t="s">
        <v>880</v>
      </c>
      <c r="CA171" s="482">
        <v>0</v>
      </c>
      <c r="CB171" s="389">
        <f>CA171*L171</f>
        <v>0</v>
      </c>
      <c r="CC171" s="476">
        <v>2</v>
      </c>
      <c r="CD171" s="375" t="str">
        <f t="shared" si="211"/>
        <v>Excellent coverage</v>
      </c>
      <c r="CE171" s="452">
        <v>0</v>
      </c>
      <c r="CF171" s="469" t="s">
        <v>65</v>
      </c>
      <c r="CG171" s="500"/>
    </row>
    <row r="172" spans="2:85" ht="30.75" customHeight="1" x14ac:dyDescent="0.2">
      <c r="B172" s="449" t="s">
        <v>201</v>
      </c>
      <c r="C172" s="450" t="s">
        <v>547</v>
      </c>
      <c r="D172" s="451" t="s">
        <v>268</v>
      </c>
      <c r="E172" s="450" t="s">
        <v>208</v>
      </c>
      <c r="F172" s="451">
        <v>97.819062000000002</v>
      </c>
      <c r="G172" s="451">
        <v>23.694047000000001</v>
      </c>
      <c r="H172" s="451" t="s">
        <v>449</v>
      </c>
      <c r="I172" s="451" t="s">
        <v>214</v>
      </c>
      <c r="J172" s="452">
        <v>75</v>
      </c>
      <c r="K172" s="452">
        <v>269</v>
      </c>
      <c r="L172" s="452">
        <v>269</v>
      </c>
      <c r="M172" s="362" t="str">
        <f t="shared" si="212"/>
        <v>2. Medium</v>
      </c>
      <c r="N172" s="701" t="s">
        <v>836</v>
      </c>
      <c r="O172" s="453" t="s">
        <v>235</v>
      </c>
      <c r="P172" s="461" t="s">
        <v>233</v>
      </c>
      <c r="Q172" s="382" t="str">
        <f>IF(P172="None","Not covered","Covered")</f>
        <v>Covered</v>
      </c>
      <c r="R172" s="462">
        <v>42460</v>
      </c>
      <c r="S172" s="453" t="s">
        <v>253</v>
      </c>
      <c r="T172" s="380" t="str">
        <f>IF(S172="Not documented","Not documented","Documented")</f>
        <v>Documented</v>
      </c>
      <c r="U172" s="468">
        <v>0</v>
      </c>
      <c r="V172" s="452">
        <v>0</v>
      </c>
      <c r="W172" s="469" t="s">
        <v>19</v>
      </c>
      <c r="X172" s="476">
        <v>0</v>
      </c>
      <c r="Y172" s="452">
        <v>0</v>
      </c>
      <c r="Z172" s="469">
        <v>57600</v>
      </c>
      <c r="AA172" s="481">
        <v>1</v>
      </c>
      <c r="AB172" s="482">
        <v>0</v>
      </c>
      <c r="AC172" s="385">
        <f t="shared" si="184"/>
        <v>1</v>
      </c>
      <c r="AD172" s="364">
        <f t="shared" si="185"/>
        <v>269</v>
      </c>
      <c r="AE172" s="365">
        <f t="shared" si="186"/>
        <v>1</v>
      </c>
      <c r="AF172" s="366">
        <f t="shared" si="187"/>
        <v>269</v>
      </c>
      <c r="AG172" s="363">
        <f t="shared" si="228"/>
        <v>1</v>
      </c>
      <c r="AH172" s="366">
        <f t="shared" si="188"/>
        <v>269</v>
      </c>
      <c r="AI172" s="367" t="str">
        <f t="shared" si="229"/>
        <v>80-100%</v>
      </c>
      <c r="AJ172" s="363">
        <f t="shared" si="230"/>
        <v>0</v>
      </c>
      <c r="AK172" s="368">
        <f t="shared" si="189"/>
        <v>0</v>
      </c>
      <c r="AL172" s="366">
        <f t="shared" si="190"/>
        <v>0.67249999999999999</v>
      </c>
      <c r="AM172" s="366">
        <f t="shared" si="191"/>
        <v>0</v>
      </c>
      <c r="AN172" s="366">
        <f t="shared" si="192"/>
        <v>269</v>
      </c>
      <c r="AO172" s="490">
        <v>1</v>
      </c>
      <c r="AP172" s="486">
        <f t="shared" si="193"/>
        <v>269</v>
      </c>
      <c r="AQ172" s="469"/>
      <c r="AR172" s="732">
        <v>2</v>
      </c>
      <c r="AS172" s="452">
        <v>9</v>
      </c>
      <c r="AT172" s="452">
        <v>9</v>
      </c>
      <c r="AU172" s="452" t="s">
        <v>89</v>
      </c>
      <c r="AV172" s="369">
        <f t="shared" ref="AV172:AV178" si="232">IF((((AS172+AT172)*20)/L172)&gt;1,1,(((AS172+AT172)*20)/L172))</f>
        <v>1</v>
      </c>
      <c r="AW172" s="366">
        <f t="shared" ref="AW172:AW178" si="233">AV172*L172</f>
        <v>269</v>
      </c>
      <c r="AX172" s="369">
        <f t="shared" ref="AX172:AX178" si="234">AV172-AZ172</f>
        <v>0.33085501858736055</v>
      </c>
      <c r="AY172" s="366">
        <f t="shared" si="196"/>
        <v>88.999999999999986</v>
      </c>
      <c r="AZ172" s="369">
        <f t="shared" si="197"/>
        <v>0.66914498141263945</v>
      </c>
      <c r="BA172" s="366">
        <f t="shared" si="198"/>
        <v>180</v>
      </c>
      <c r="BB172" s="474">
        <v>4</v>
      </c>
      <c r="BC172" s="490">
        <v>1</v>
      </c>
      <c r="BD172" s="370">
        <f t="shared" si="225"/>
        <v>269</v>
      </c>
      <c r="BE172" s="371">
        <f t="shared" si="226"/>
        <v>8.4499999999999993</v>
      </c>
      <c r="BF172" s="452">
        <v>2</v>
      </c>
      <c r="BG172" s="452" t="s">
        <v>89</v>
      </c>
      <c r="BH172" s="369">
        <f t="shared" ref="BH172:BH178" si="235">IF((BF172*100/L172)&gt;1,1,(BF172*100/L172))</f>
        <v>0.74349442379182151</v>
      </c>
      <c r="BI172" s="366">
        <f t="shared" ref="BI172:BI178" si="236">BH172*L172</f>
        <v>200</v>
      </c>
      <c r="BJ172" s="371">
        <f t="shared" ref="BJ172:BJ178" si="237">IF(K172/100-BF172&lt;0,0,K172/100-BF172)</f>
        <v>0.69</v>
      </c>
      <c r="BK172" s="485">
        <v>0.75</v>
      </c>
      <c r="BL172" s="366">
        <f t="shared" si="204"/>
        <v>201.75</v>
      </c>
      <c r="BM172" s="452">
        <v>0</v>
      </c>
      <c r="BN172" s="369">
        <f t="shared" si="205"/>
        <v>0</v>
      </c>
      <c r="BO172" s="371">
        <f t="shared" si="206"/>
        <v>2.69</v>
      </c>
      <c r="BP172" s="478">
        <v>0.8</v>
      </c>
      <c r="BQ172" s="500" t="s">
        <v>643</v>
      </c>
      <c r="BR172" s="502">
        <v>42135</v>
      </c>
      <c r="BS172" s="372">
        <f t="shared" si="227"/>
        <v>42500</v>
      </c>
      <c r="BT172" s="452">
        <v>85</v>
      </c>
      <c r="BU172" s="452">
        <v>2</v>
      </c>
      <c r="BV172" s="376">
        <f t="shared" ref="BV172:BV178" si="238">IF(BS172="n/a",0,IF(BS172="To be realised",J172,IF((J172-BT172)&lt;0,0,(J172-BT172))))</f>
        <v>0</v>
      </c>
      <c r="BW172" s="377">
        <f t="shared" ref="BW172:BW178" si="239">IF(BV172=0,1,(J172-BV172)/J172)</f>
        <v>1</v>
      </c>
      <c r="BX172" s="370">
        <f t="shared" si="209"/>
        <v>269</v>
      </c>
      <c r="BY172" s="708">
        <f t="shared" si="219"/>
        <v>0</v>
      </c>
      <c r="BZ172" s="468"/>
      <c r="CA172" s="482">
        <v>0.35</v>
      </c>
      <c r="CB172" s="389">
        <f t="shared" ref="CB172:CB178" si="240">CA172*L172</f>
        <v>94.149999999999991</v>
      </c>
      <c r="CC172" s="476">
        <v>2</v>
      </c>
      <c r="CD172" s="375" t="str">
        <f t="shared" si="211"/>
        <v>Excellent coverage</v>
      </c>
      <c r="CE172" s="452">
        <v>0</v>
      </c>
      <c r="CF172" s="469" t="s">
        <v>65</v>
      </c>
      <c r="CG172" s="500"/>
    </row>
    <row r="173" spans="2:85" ht="30.75" customHeight="1" thickBot="1" x14ac:dyDescent="0.25">
      <c r="B173" s="449" t="s">
        <v>750</v>
      </c>
      <c r="C173" s="450" t="s">
        <v>547</v>
      </c>
      <c r="D173" s="451" t="s">
        <v>268</v>
      </c>
      <c r="E173" s="450" t="s">
        <v>227</v>
      </c>
      <c r="F173" s="451">
        <v>98.128</v>
      </c>
      <c r="G173" s="451">
        <v>23.24</v>
      </c>
      <c r="H173" s="451" t="s">
        <v>449</v>
      </c>
      <c r="I173" s="451" t="s">
        <v>214</v>
      </c>
      <c r="J173" s="452">
        <v>67</v>
      </c>
      <c r="K173" s="452">
        <v>392</v>
      </c>
      <c r="L173" s="452">
        <v>392</v>
      </c>
      <c r="M173" s="362" t="str">
        <f t="shared" si="212"/>
        <v>2. Medium</v>
      </c>
      <c r="N173" s="701" t="s">
        <v>836</v>
      </c>
      <c r="O173" s="453" t="s">
        <v>282</v>
      </c>
      <c r="P173" s="461" t="s">
        <v>233</v>
      </c>
      <c r="Q173" s="382" t="str">
        <f>IF(P173="None","Not covered","Covered")</f>
        <v>Covered</v>
      </c>
      <c r="R173" s="462">
        <v>42460</v>
      </c>
      <c r="S173" s="453" t="s">
        <v>253</v>
      </c>
      <c r="T173" s="381" t="str">
        <f>IF(S173="Not documented","Not documented","Documented")</f>
        <v>Documented</v>
      </c>
      <c r="U173" s="468">
        <v>0</v>
      </c>
      <c r="V173" s="452">
        <v>0</v>
      </c>
      <c r="W173" s="469" t="s">
        <v>19</v>
      </c>
      <c r="X173" s="476">
        <v>0</v>
      </c>
      <c r="Y173" s="452">
        <v>0</v>
      </c>
      <c r="Z173" s="469">
        <v>17000</v>
      </c>
      <c r="AA173" s="481">
        <v>0</v>
      </c>
      <c r="AB173" s="482">
        <v>0</v>
      </c>
      <c r="AC173" s="385">
        <f t="shared" ref="AC173:AC178" si="241">IF((((U173/15)+((V173/30)/15)+X173*400+Y173*500+(Z173/15))/L173)&gt;1,1,(((U173/15)+((V173/30)/15)+X173*400+Y173*500+(Z173/15))/L173))</f>
        <v>1</v>
      </c>
      <c r="AD173" s="364">
        <f t="shared" ref="AD173:AD178" si="242">AC173*L173</f>
        <v>392</v>
      </c>
      <c r="AE173" s="365">
        <f t="shared" ref="AE173:AE178" si="243">IF(((X173*400+Y173*500+(Z173/15))/L173)&gt;1,1,(X173*400+Y173*500+(Z173/15))/L173)</f>
        <v>1</v>
      </c>
      <c r="AF173" s="366">
        <f t="shared" ref="AF173:AF178" si="244">AE173*L173</f>
        <v>392</v>
      </c>
      <c r="AG173" s="363">
        <f t="shared" ref="AG173:AG178" si="245">IF(AB173=0,AC173,IF(AB173&lt;AC173,AC173,AB173))</f>
        <v>1</v>
      </c>
      <c r="AH173" s="366">
        <f t="shared" ref="AH173:AH178" si="246">AG173*L173</f>
        <v>392</v>
      </c>
      <c r="AI173" s="367" t="str">
        <f t="shared" ref="AI173:AI178" si="247">IF(AC173&gt;0.15,IF(AC173&gt;0.3,IF(AC173&gt;0.45,IF(AC173&gt;0.6,IF(AC173&gt;0.8,"80-100%","60-80%"),"45-60%"),"30-45%"),"15-30%"),"0-10%")</f>
        <v>80-100%</v>
      </c>
      <c r="AJ173" s="363">
        <f t="shared" ref="AJ173:AJ178" si="248">IF((AC173-AE173)&lt; 0, 0, AC173-AE173)</f>
        <v>0</v>
      </c>
      <c r="AK173" s="368">
        <f t="shared" si="189"/>
        <v>0</v>
      </c>
      <c r="AL173" s="366">
        <f t="shared" si="190"/>
        <v>0.98</v>
      </c>
      <c r="AM173" s="366">
        <f t="shared" si="191"/>
        <v>0</v>
      </c>
      <c r="AN173" s="366">
        <f t="shared" si="192"/>
        <v>0</v>
      </c>
      <c r="AO173" s="490">
        <v>1</v>
      </c>
      <c r="AP173" s="486">
        <f t="shared" si="193"/>
        <v>392</v>
      </c>
      <c r="AQ173" s="469"/>
      <c r="AR173" s="732">
        <v>0</v>
      </c>
      <c r="AS173" s="452">
        <v>4</v>
      </c>
      <c r="AT173" s="452">
        <v>0</v>
      </c>
      <c r="AU173" s="452" t="s">
        <v>89</v>
      </c>
      <c r="AV173" s="369">
        <f t="shared" si="232"/>
        <v>0.20408163265306123</v>
      </c>
      <c r="AW173" s="366">
        <f t="shared" si="233"/>
        <v>80</v>
      </c>
      <c r="AX173" s="369">
        <f t="shared" si="234"/>
        <v>0.20408163265306123</v>
      </c>
      <c r="AY173" s="366">
        <f t="shared" si="196"/>
        <v>80</v>
      </c>
      <c r="AZ173" s="369">
        <f t="shared" si="197"/>
        <v>0</v>
      </c>
      <c r="BA173" s="366">
        <f t="shared" si="198"/>
        <v>0</v>
      </c>
      <c r="BB173" s="474">
        <v>0</v>
      </c>
      <c r="BC173" s="490">
        <v>1</v>
      </c>
      <c r="BD173" s="370">
        <f t="shared" si="225"/>
        <v>392</v>
      </c>
      <c r="BE173" s="371">
        <f t="shared" si="226"/>
        <v>19.600000000000001</v>
      </c>
      <c r="BF173" s="452">
        <v>0</v>
      </c>
      <c r="BG173" s="452"/>
      <c r="BH173" s="369">
        <f t="shared" si="235"/>
        <v>0</v>
      </c>
      <c r="BI173" s="366">
        <f t="shared" si="236"/>
        <v>0</v>
      </c>
      <c r="BJ173" s="371">
        <f t="shared" si="237"/>
        <v>3.92</v>
      </c>
      <c r="BK173" s="485">
        <v>0</v>
      </c>
      <c r="BL173" s="366">
        <f t="shared" si="204"/>
        <v>0</v>
      </c>
      <c r="BM173" s="452">
        <v>0</v>
      </c>
      <c r="BN173" s="369">
        <f t="shared" si="205"/>
        <v>0</v>
      </c>
      <c r="BO173" s="371">
        <f t="shared" si="206"/>
        <v>3.92</v>
      </c>
      <c r="BP173" s="480">
        <v>0.7</v>
      </c>
      <c r="BQ173" s="501" t="s">
        <v>775</v>
      </c>
      <c r="BR173" s="502"/>
      <c r="BS173" s="372" t="str">
        <f t="shared" si="227"/>
        <v>To be realised</v>
      </c>
      <c r="BT173" s="452">
        <v>0</v>
      </c>
      <c r="BU173" s="452">
        <v>2</v>
      </c>
      <c r="BV173" s="376">
        <f t="shared" si="238"/>
        <v>67</v>
      </c>
      <c r="BW173" s="377">
        <f t="shared" si="239"/>
        <v>0</v>
      </c>
      <c r="BX173" s="370">
        <f t="shared" si="209"/>
        <v>0</v>
      </c>
      <c r="BY173" s="708" t="str">
        <f t="shared" si="219"/>
        <v>Column BN to be completed</v>
      </c>
      <c r="BZ173" s="468" t="s">
        <v>862</v>
      </c>
      <c r="CA173" s="482">
        <v>0</v>
      </c>
      <c r="CB173" s="389">
        <f t="shared" si="240"/>
        <v>0</v>
      </c>
      <c r="CC173" s="476">
        <v>0</v>
      </c>
      <c r="CD173" s="375" t="str">
        <f t="shared" si="211"/>
        <v>No coverage</v>
      </c>
      <c r="CE173" s="452">
        <v>0</v>
      </c>
      <c r="CF173" s="469" t="s">
        <v>65</v>
      </c>
      <c r="CG173" s="500"/>
    </row>
    <row r="174" spans="2:85" ht="30.75" customHeight="1" thickBot="1" x14ac:dyDescent="0.25">
      <c r="B174" s="449" t="s">
        <v>183</v>
      </c>
      <c r="C174" s="450" t="s">
        <v>640</v>
      </c>
      <c r="D174" s="451" t="s">
        <v>269</v>
      </c>
      <c r="E174" s="450" t="s">
        <v>626</v>
      </c>
      <c r="F174" s="451">
        <v>97.127340000000004</v>
      </c>
      <c r="G174" s="451">
        <v>23.24954</v>
      </c>
      <c r="H174" s="451" t="s">
        <v>449</v>
      </c>
      <c r="I174" s="451" t="s">
        <v>214</v>
      </c>
      <c r="J174" s="452">
        <v>38</v>
      </c>
      <c r="K174" s="452">
        <v>164</v>
      </c>
      <c r="L174" s="452">
        <v>164</v>
      </c>
      <c r="M174" s="362" t="str">
        <f t="shared" si="212"/>
        <v>1. Small</v>
      </c>
      <c r="N174" s="701" t="s">
        <v>836</v>
      </c>
      <c r="O174" s="453" t="s">
        <v>235</v>
      </c>
      <c r="P174" s="461" t="s">
        <v>233</v>
      </c>
      <c r="Q174" s="382" t="str">
        <f t="shared" ref="Q174:Q178" si="249">IF(P174="None","Not covered","Covered")</f>
        <v>Covered</v>
      </c>
      <c r="R174" s="462">
        <v>42460</v>
      </c>
      <c r="S174" s="453" t="s">
        <v>253</v>
      </c>
      <c r="T174" s="381" t="str">
        <f t="shared" ref="T174:T178" si="250">IF(S174="Not documented","Not documented","Documented")</f>
        <v>Documented</v>
      </c>
      <c r="U174" s="468">
        <v>0</v>
      </c>
      <c r="V174" s="452">
        <v>0</v>
      </c>
      <c r="W174" s="469" t="s">
        <v>19</v>
      </c>
      <c r="X174" s="476">
        <v>0</v>
      </c>
      <c r="Y174" s="452">
        <v>0</v>
      </c>
      <c r="Z174" s="469">
        <v>7000</v>
      </c>
      <c r="AA174" s="481">
        <v>1</v>
      </c>
      <c r="AB174" s="482">
        <v>0</v>
      </c>
      <c r="AC174" s="385">
        <f t="shared" si="241"/>
        <v>1</v>
      </c>
      <c r="AD174" s="364">
        <f t="shared" si="242"/>
        <v>164</v>
      </c>
      <c r="AE174" s="365">
        <f t="shared" si="243"/>
        <v>1</v>
      </c>
      <c r="AF174" s="366">
        <f t="shared" si="244"/>
        <v>164</v>
      </c>
      <c r="AG174" s="363">
        <f t="shared" si="245"/>
        <v>1</v>
      </c>
      <c r="AH174" s="366">
        <f t="shared" si="246"/>
        <v>164</v>
      </c>
      <c r="AI174" s="367" t="str">
        <f t="shared" si="247"/>
        <v>80-100%</v>
      </c>
      <c r="AJ174" s="363">
        <f t="shared" si="248"/>
        <v>0</v>
      </c>
      <c r="AK174" s="368">
        <f t="shared" ref="AK174:AK178" si="251">AJ174*L174</f>
        <v>0</v>
      </c>
      <c r="AL174" s="366">
        <f t="shared" ref="AL174:AL178" si="252">IF(L174/400-(X174+Y174)&lt;0,0,L174/400-(X174+Y174))</f>
        <v>0.41</v>
      </c>
      <c r="AM174" s="366">
        <f t="shared" ref="AM174:AM178" si="253">AB174*J174</f>
        <v>0</v>
      </c>
      <c r="AN174" s="366">
        <f t="shared" ref="AN174:AN178" si="254">AA174*L174</f>
        <v>164</v>
      </c>
      <c r="AO174" s="490">
        <v>1</v>
      </c>
      <c r="AP174" s="486">
        <f t="shared" si="193"/>
        <v>164</v>
      </c>
      <c r="AQ174" s="469"/>
      <c r="AR174" s="732">
        <v>0</v>
      </c>
      <c r="AS174" s="452">
        <v>18</v>
      </c>
      <c r="AT174" s="452">
        <v>0</v>
      </c>
      <c r="AU174" s="452" t="s">
        <v>89</v>
      </c>
      <c r="AV174" s="369">
        <f t="shared" si="232"/>
        <v>1</v>
      </c>
      <c r="AW174" s="366">
        <f t="shared" si="233"/>
        <v>164</v>
      </c>
      <c r="AX174" s="369">
        <f t="shared" si="234"/>
        <v>1</v>
      </c>
      <c r="AY174" s="366">
        <f t="shared" si="196"/>
        <v>164</v>
      </c>
      <c r="AZ174" s="369">
        <f t="shared" si="197"/>
        <v>0</v>
      </c>
      <c r="BA174" s="366">
        <f t="shared" si="198"/>
        <v>0</v>
      </c>
      <c r="BB174" s="474">
        <v>2</v>
      </c>
      <c r="BC174" s="490">
        <v>1</v>
      </c>
      <c r="BD174" s="370">
        <f t="shared" si="225"/>
        <v>164</v>
      </c>
      <c r="BE174" s="371">
        <f t="shared" si="226"/>
        <v>10.199999999999999</v>
      </c>
      <c r="BF174" s="452">
        <v>2</v>
      </c>
      <c r="BG174" s="452" t="s">
        <v>739</v>
      </c>
      <c r="BH174" s="369">
        <f t="shared" si="235"/>
        <v>1</v>
      </c>
      <c r="BI174" s="366">
        <f t="shared" si="236"/>
        <v>164</v>
      </c>
      <c r="BJ174" s="371">
        <f t="shared" si="237"/>
        <v>0</v>
      </c>
      <c r="BK174" s="485">
        <v>1</v>
      </c>
      <c r="BL174" s="366">
        <f t="shared" si="204"/>
        <v>164</v>
      </c>
      <c r="BM174" s="452">
        <v>1</v>
      </c>
      <c r="BN174" s="369">
        <f t="shared" si="205"/>
        <v>0.6097560975609756</v>
      </c>
      <c r="BO174" s="371">
        <f t="shared" si="206"/>
        <v>0.6399999999999999</v>
      </c>
      <c r="BP174" s="480">
        <v>0.8</v>
      </c>
      <c r="BQ174" s="501" t="s">
        <v>644</v>
      </c>
      <c r="BR174" s="502">
        <v>42125</v>
      </c>
      <c r="BS174" s="372">
        <f t="shared" si="227"/>
        <v>42490</v>
      </c>
      <c r="BT174" s="452">
        <v>39</v>
      </c>
      <c r="BU174" s="452">
        <v>5</v>
      </c>
      <c r="BV174" s="376">
        <f t="shared" si="238"/>
        <v>0</v>
      </c>
      <c r="BW174" s="377">
        <f t="shared" si="239"/>
        <v>1</v>
      </c>
      <c r="BX174" s="370">
        <f t="shared" si="209"/>
        <v>164</v>
      </c>
      <c r="BY174" s="708">
        <f t="shared" si="219"/>
        <v>0</v>
      </c>
      <c r="BZ174" s="468" t="s">
        <v>862</v>
      </c>
      <c r="CA174" s="482">
        <v>0</v>
      </c>
      <c r="CB174" s="389">
        <f t="shared" si="240"/>
        <v>0</v>
      </c>
      <c r="CC174" s="476">
        <v>0</v>
      </c>
      <c r="CD174" s="375" t="str">
        <f t="shared" si="211"/>
        <v>No coverage</v>
      </c>
      <c r="CE174" s="452">
        <v>0</v>
      </c>
      <c r="CF174" s="469" t="s">
        <v>65</v>
      </c>
      <c r="CG174" s="500"/>
    </row>
    <row r="175" spans="2:85" ht="30.75" customHeight="1" thickBot="1" x14ac:dyDescent="0.25">
      <c r="B175" s="449" t="s">
        <v>183</v>
      </c>
      <c r="C175" s="450" t="s">
        <v>710</v>
      </c>
      <c r="D175" s="451" t="s">
        <v>269</v>
      </c>
      <c r="E175" s="450" t="s">
        <v>627</v>
      </c>
      <c r="F175" s="451">
        <v>97.123440000000002</v>
      </c>
      <c r="G175" s="451">
        <v>23.24568</v>
      </c>
      <c r="H175" s="451" t="s">
        <v>449</v>
      </c>
      <c r="I175" s="451" t="s">
        <v>214</v>
      </c>
      <c r="J175" s="452">
        <v>31</v>
      </c>
      <c r="K175" s="452">
        <v>182</v>
      </c>
      <c r="L175" s="452">
        <v>182</v>
      </c>
      <c r="M175" s="362" t="str">
        <f t="shared" si="212"/>
        <v>1. Small</v>
      </c>
      <c r="N175" s="701" t="s">
        <v>834</v>
      </c>
      <c r="O175" s="453" t="s">
        <v>231</v>
      </c>
      <c r="P175" s="461" t="s">
        <v>231</v>
      </c>
      <c r="Q175" s="382" t="str">
        <f t="shared" si="249"/>
        <v>Covered</v>
      </c>
      <c r="R175" s="462">
        <v>42369</v>
      </c>
      <c r="S175" s="453" t="s">
        <v>253</v>
      </c>
      <c r="T175" s="381" t="str">
        <f t="shared" si="250"/>
        <v>Documented</v>
      </c>
      <c r="U175" s="468">
        <v>0</v>
      </c>
      <c r="V175" s="452">
        <v>0</v>
      </c>
      <c r="W175" s="469" t="s">
        <v>19</v>
      </c>
      <c r="X175" s="476">
        <v>0</v>
      </c>
      <c r="Y175" s="452">
        <v>0</v>
      </c>
      <c r="Z175" s="469">
        <v>28800</v>
      </c>
      <c r="AA175" s="481">
        <v>0.8</v>
      </c>
      <c r="AB175" s="482">
        <v>0</v>
      </c>
      <c r="AC175" s="385">
        <f t="shared" si="241"/>
        <v>1</v>
      </c>
      <c r="AD175" s="364">
        <f t="shared" si="242"/>
        <v>182</v>
      </c>
      <c r="AE175" s="365">
        <f t="shared" si="243"/>
        <v>1</v>
      </c>
      <c r="AF175" s="366">
        <f t="shared" si="244"/>
        <v>182</v>
      </c>
      <c r="AG175" s="363">
        <f t="shared" si="245"/>
        <v>1</v>
      </c>
      <c r="AH175" s="366">
        <f t="shared" si="246"/>
        <v>182</v>
      </c>
      <c r="AI175" s="367" t="str">
        <f t="shared" si="247"/>
        <v>80-100%</v>
      </c>
      <c r="AJ175" s="363">
        <f t="shared" si="248"/>
        <v>0</v>
      </c>
      <c r="AK175" s="368">
        <f t="shared" si="251"/>
        <v>0</v>
      </c>
      <c r="AL175" s="366">
        <f t="shared" si="252"/>
        <v>0.45500000000000002</v>
      </c>
      <c r="AM175" s="366">
        <f t="shared" si="253"/>
        <v>0</v>
      </c>
      <c r="AN175" s="366">
        <f t="shared" si="254"/>
        <v>145.6</v>
      </c>
      <c r="AO175" s="490">
        <v>1</v>
      </c>
      <c r="AP175" s="486">
        <f t="shared" si="193"/>
        <v>182</v>
      </c>
      <c r="AQ175" s="469" t="s">
        <v>769</v>
      </c>
      <c r="AR175" s="732">
        <v>0</v>
      </c>
      <c r="AS175" s="452">
        <v>6</v>
      </c>
      <c r="AT175" s="452">
        <v>6</v>
      </c>
      <c r="AU175" s="452" t="s">
        <v>89</v>
      </c>
      <c r="AV175" s="369">
        <f t="shared" si="232"/>
        <v>1</v>
      </c>
      <c r="AW175" s="366">
        <f t="shared" si="233"/>
        <v>182</v>
      </c>
      <c r="AX175" s="369">
        <f t="shared" si="234"/>
        <v>0.34065934065934067</v>
      </c>
      <c r="AY175" s="366">
        <f t="shared" si="196"/>
        <v>62</v>
      </c>
      <c r="AZ175" s="369">
        <f t="shared" si="197"/>
        <v>0.65934065934065933</v>
      </c>
      <c r="BA175" s="366">
        <f t="shared" si="198"/>
        <v>120</v>
      </c>
      <c r="BB175" s="474">
        <v>2</v>
      </c>
      <c r="BC175" s="490">
        <v>1</v>
      </c>
      <c r="BD175" s="370">
        <f t="shared" si="225"/>
        <v>182</v>
      </c>
      <c r="BE175" s="371">
        <f t="shared" si="226"/>
        <v>5.0999999999999996</v>
      </c>
      <c r="BF175" s="452">
        <v>2</v>
      </c>
      <c r="BG175" s="452" t="s">
        <v>291</v>
      </c>
      <c r="BH175" s="369">
        <f t="shared" si="235"/>
        <v>1</v>
      </c>
      <c r="BI175" s="366">
        <f t="shared" si="236"/>
        <v>182</v>
      </c>
      <c r="BJ175" s="371">
        <f t="shared" si="237"/>
        <v>0</v>
      </c>
      <c r="BK175" s="485">
        <v>1</v>
      </c>
      <c r="BL175" s="366">
        <f t="shared" si="204"/>
        <v>182</v>
      </c>
      <c r="BM175" s="452">
        <v>0</v>
      </c>
      <c r="BN175" s="369">
        <f t="shared" si="205"/>
        <v>0</v>
      </c>
      <c r="BO175" s="371">
        <f t="shared" si="206"/>
        <v>1.82</v>
      </c>
      <c r="BP175" s="480">
        <v>0</v>
      </c>
      <c r="BQ175" s="501"/>
      <c r="BR175" s="502">
        <v>41183</v>
      </c>
      <c r="BS175" s="372" t="str">
        <f t="shared" si="227"/>
        <v>To be realised</v>
      </c>
      <c r="BT175" s="452">
        <v>30</v>
      </c>
      <c r="BU175" s="452">
        <v>3</v>
      </c>
      <c r="BV175" s="376">
        <f t="shared" si="238"/>
        <v>31</v>
      </c>
      <c r="BW175" s="377">
        <f t="shared" si="239"/>
        <v>0</v>
      </c>
      <c r="BX175" s="370">
        <f t="shared" si="209"/>
        <v>0</v>
      </c>
      <c r="BY175" s="708">
        <f t="shared" si="219"/>
        <v>30</v>
      </c>
      <c r="BZ175" s="468" t="s">
        <v>880</v>
      </c>
      <c r="CA175" s="482">
        <v>0</v>
      </c>
      <c r="CB175" s="389">
        <f t="shared" si="240"/>
        <v>0</v>
      </c>
      <c r="CC175" s="476">
        <v>2</v>
      </c>
      <c r="CD175" s="375" t="str">
        <f t="shared" si="211"/>
        <v>Excellent coverage</v>
      </c>
      <c r="CE175" s="452">
        <v>0</v>
      </c>
      <c r="CF175" s="469" t="s">
        <v>293</v>
      </c>
      <c r="CG175" s="500"/>
    </row>
    <row r="176" spans="2:85" ht="30.75" customHeight="1" thickBot="1" x14ac:dyDescent="0.25">
      <c r="B176" s="449" t="s">
        <v>201</v>
      </c>
      <c r="C176" s="450"/>
      <c r="D176" s="451" t="s">
        <v>269</v>
      </c>
      <c r="E176" s="450" t="s">
        <v>765</v>
      </c>
      <c r="F176" s="451">
        <v>97.875889999999998</v>
      </c>
      <c r="G176" s="451">
        <v>23.44744</v>
      </c>
      <c r="H176" s="451" t="s">
        <v>449</v>
      </c>
      <c r="I176" s="451" t="s">
        <v>214</v>
      </c>
      <c r="J176" s="452">
        <v>104</v>
      </c>
      <c r="K176" s="452">
        <v>580</v>
      </c>
      <c r="L176" s="452">
        <v>580</v>
      </c>
      <c r="M176" s="362" t="str">
        <f t="shared" si="212"/>
        <v>2. Medium</v>
      </c>
      <c r="N176" s="701" t="s">
        <v>836</v>
      </c>
      <c r="O176" s="453"/>
      <c r="P176" s="461" t="s">
        <v>233</v>
      </c>
      <c r="Q176" s="382" t="str">
        <f t="shared" si="249"/>
        <v>Covered</v>
      </c>
      <c r="R176" s="462">
        <v>42460</v>
      </c>
      <c r="S176" s="453" t="s">
        <v>253</v>
      </c>
      <c r="T176" s="381" t="str">
        <f t="shared" si="250"/>
        <v>Documented</v>
      </c>
      <c r="U176" s="468">
        <v>0</v>
      </c>
      <c r="V176" s="452">
        <v>0</v>
      </c>
      <c r="W176" s="469" t="s">
        <v>19</v>
      </c>
      <c r="X176" s="476">
        <v>0</v>
      </c>
      <c r="Y176" s="452">
        <v>0</v>
      </c>
      <c r="Z176" s="469">
        <v>0</v>
      </c>
      <c r="AA176" s="481">
        <v>0</v>
      </c>
      <c r="AB176" s="482">
        <v>0</v>
      </c>
      <c r="AC176" s="385">
        <f t="shared" si="241"/>
        <v>0</v>
      </c>
      <c r="AD176" s="364">
        <f t="shared" si="242"/>
        <v>0</v>
      </c>
      <c r="AE176" s="365">
        <f t="shared" si="243"/>
        <v>0</v>
      </c>
      <c r="AF176" s="366">
        <f t="shared" si="244"/>
        <v>0</v>
      </c>
      <c r="AG176" s="363">
        <f t="shared" si="245"/>
        <v>0</v>
      </c>
      <c r="AH176" s="366">
        <f t="shared" si="246"/>
        <v>0</v>
      </c>
      <c r="AI176" s="367" t="str">
        <f t="shared" si="247"/>
        <v>0-10%</v>
      </c>
      <c r="AJ176" s="363">
        <f t="shared" si="248"/>
        <v>0</v>
      </c>
      <c r="AK176" s="368">
        <f t="shared" si="251"/>
        <v>0</v>
      </c>
      <c r="AL176" s="366">
        <f t="shared" si="252"/>
        <v>1.45</v>
      </c>
      <c r="AM176" s="366">
        <f t="shared" si="253"/>
        <v>0</v>
      </c>
      <c r="AN176" s="366">
        <f t="shared" si="254"/>
        <v>0</v>
      </c>
      <c r="AO176" s="490">
        <v>1</v>
      </c>
      <c r="AP176" s="486">
        <f t="shared" si="193"/>
        <v>580</v>
      </c>
      <c r="AQ176" s="469" t="s">
        <v>843</v>
      </c>
      <c r="AR176" s="732">
        <v>0</v>
      </c>
      <c r="AS176" s="452">
        <v>12</v>
      </c>
      <c r="AT176" s="452">
        <v>0</v>
      </c>
      <c r="AU176" s="452" t="s">
        <v>89</v>
      </c>
      <c r="AV176" s="369">
        <f t="shared" si="232"/>
        <v>0.41379310344827586</v>
      </c>
      <c r="AW176" s="366">
        <f t="shared" si="233"/>
        <v>240</v>
      </c>
      <c r="AX176" s="369">
        <f t="shared" si="234"/>
        <v>0.41379310344827586</v>
      </c>
      <c r="AY176" s="366">
        <f t="shared" si="196"/>
        <v>240</v>
      </c>
      <c r="AZ176" s="369">
        <f t="shared" si="197"/>
        <v>0</v>
      </c>
      <c r="BA176" s="366">
        <f t="shared" si="198"/>
        <v>0</v>
      </c>
      <c r="BB176" s="474">
        <v>0</v>
      </c>
      <c r="BC176" s="490">
        <v>1</v>
      </c>
      <c r="BD176" s="370">
        <f t="shared" si="225"/>
        <v>580</v>
      </c>
      <c r="BE176" s="371">
        <f t="shared" si="226"/>
        <v>29</v>
      </c>
      <c r="BF176" s="452">
        <v>0</v>
      </c>
      <c r="BG176" s="452"/>
      <c r="BH176" s="369">
        <f t="shared" si="235"/>
        <v>0</v>
      </c>
      <c r="BI176" s="366">
        <f t="shared" si="236"/>
        <v>0</v>
      </c>
      <c r="BJ176" s="371">
        <f t="shared" si="237"/>
        <v>5.8</v>
      </c>
      <c r="BK176" s="485">
        <v>0</v>
      </c>
      <c r="BL176" s="366">
        <f t="shared" si="204"/>
        <v>0</v>
      </c>
      <c r="BM176" s="452">
        <v>0</v>
      </c>
      <c r="BN176" s="369">
        <f t="shared" si="205"/>
        <v>0</v>
      </c>
      <c r="BO176" s="371">
        <f t="shared" si="206"/>
        <v>5.8</v>
      </c>
      <c r="BP176" s="480">
        <v>0</v>
      </c>
      <c r="BQ176" s="501" t="s">
        <v>776</v>
      </c>
      <c r="BR176" s="502">
        <v>42102</v>
      </c>
      <c r="BS176" s="372">
        <f t="shared" si="227"/>
        <v>42467</v>
      </c>
      <c r="BT176" s="452">
        <v>73</v>
      </c>
      <c r="BU176" s="452">
        <v>0</v>
      </c>
      <c r="BV176" s="376">
        <f t="shared" si="238"/>
        <v>31</v>
      </c>
      <c r="BW176" s="377">
        <f t="shared" si="239"/>
        <v>0.70192307692307687</v>
      </c>
      <c r="BX176" s="370">
        <f t="shared" si="209"/>
        <v>407.11538461538458</v>
      </c>
      <c r="BY176" s="708">
        <f t="shared" si="219"/>
        <v>3</v>
      </c>
      <c r="BZ176" s="468" t="s">
        <v>862</v>
      </c>
      <c r="CA176" s="482">
        <v>0</v>
      </c>
      <c r="CB176" s="389">
        <f t="shared" si="240"/>
        <v>0</v>
      </c>
      <c r="CC176" s="476">
        <v>0</v>
      </c>
      <c r="CD176" s="375" t="str">
        <f t="shared" si="211"/>
        <v>No coverage</v>
      </c>
      <c r="CE176" s="452">
        <v>0</v>
      </c>
      <c r="CF176" s="469" t="s">
        <v>66</v>
      </c>
      <c r="CG176" s="500"/>
    </row>
    <row r="177" spans="2:85" ht="30.75" customHeight="1" thickBot="1" x14ac:dyDescent="0.3">
      <c r="B177" s="449" t="s">
        <v>201</v>
      </c>
      <c r="C177" s="450" t="s">
        <v>547</v>
      </c>
      <c r="D177" s="451" t="s">
        <v>268</v>
      </c>
      <c r="E177" s="450" t="s">
        <v>209</v>
      </c>
      <c r="F177" s="451">
        <v>97.837040000000002</v>
      </c>
      <c r="G177" s="451">
        <v>23.38503</v>
      </c>
      <c r="H177" s="451" t="s">
        <v>449</v>
      </c>
      <c r="I177" s="451" t="s">
        <v>214</v>
      </c>
      <c r="J177" s="703">
        <v>178</v>
      </c>
      <c r="K177" s="703">
        <v>826</v>
      </c>
      <c r="L177" s="703">
        <v>826</v>
      </c>
      <c r="M177" s="362" t="str">
        <f t="shared" si="212"/>
        <v>2. Medium</v>
      </c>
      <c r="N177" s="701" t="s">
        <v>836</v>
      </c>
      <c r="O177" s="456" t="s">
        <v>235</v>
      </c>
      <c r="P177" s="463" t="s">
        <v>233</v>
      </c>
      <c r="Q177" s="382" t="str">
        <f t="shared" si="249"/>
        <v>Covered</v>
      </c>
      <c r="R177" s="462">
        <v>42460</v>
      </c>
      <c r="S177" s="453" t="s">
        <v>253</v>
      </c>
      <c r="T177" s="381" t="str">
        <f t="shared" si="250"/>
        <v>Documented</v>
      </c>
      <c r="U177" s="470">
        <v>0</v>
      </c>
      <c r="V177" s="455">
        <v>0</v>
      </c>
      <c r="W177" s="471" t="s">
        <v>19</v>
      </c>
      <c r="X177" s="470">
        <v>0</v>
      </c>
      <c r="Y177" s="455">
        <v>0</v>
      </c>
      <c r="Z177" s="471">
        <v>0</v>
      </c>
      <c r="AA177" s="479">
        <v>1</v>
      </c>
      <c r="AB177" s="480">
        <v>0</v>
      </c>
      <c r="AC177" s="385">
        <f t="shared" si="241"/>
        <v>0</v>
      </c>
      <c r="AD177" s="364">
        <f t="shared" si="242"/>
        <v>0</v>
      </c>
      <c r="AE177" s="365">
        <f t="shared" si="243"/>
        <v>0</v>
      </c>
      <c r="AF177" s="366">
        <f t="shared" si="244"/>
        <v>0</v>
      </c>
      <c r="AG177" s="363">
        <f t="shared" si="245"/>
        <v>0</v>
      </c>
      <c r="AH177" s="366">
        <f t="shared" si="246"/>
        <v>0</v>
      </c>
      <c r="AI177" s="367" t="str">
        <f t="shared" si="247"/>
        <v>0-10%</v>
      </c>
      <c r="AJ177" s="363">
        <f t="shared" si="248"/>
        <v>0</v>
      </c>
      <c r="AK177" s="368">
        <f t="shared" si="251"/>
        <v>0</v>
      </c>
      <c r="AL177" s="366">
        <f t="shared" si="252"/>
        <v>2.0649999999999999</v>
      </c>
      <c r="AM177" s="366">
        <f t="shared" si="253"/>
        <v>0</v>
      </c>
      <c r="AN177" s="366">
        <f t="shared" si="254"/>
        <v>826</v>
      </c>
      <c r="AO177" s="488">
        <v>1</v>
      </c>
      <c r="AP177" s="486">
        <f t="shared" si="193"/>
        <v>826</v>
      </c>
      <c r="AQ177" s="469" t="s">
        <v>842</v>
      </c>
      <c r="AR177" s="733">
        <v>8</v>
      </c>
      <c r="AS177" s="455">
        <v>81</v>
      </c>
      <c r="AT177" s="455">
        <v>0</v>
      </c>
      <c r="AU177" s="455" t="s">
        <v>290</v>
      </c>
      <c r="AV177" s="369">
        <f t="shared" si="232"/>
        <v>1</v>
      </c>
      <c r="AW177" s="366">
        <f t="shared" si="233"/>
        <v>826</v>
      </c>
      <c r="AX177" s="369">
        <f t="shared" si="234"/>
        <v>1</v>
      </c>
      <c r="AY177" s="366">
        <f t="shared" si="196"/>
        <v>826</v>
      </c>
      <c r="AZ177" s="369">
        <f t="shared" si="197"/>
        <v>0</v>
      </c>
      <c r="BA177" s="366">
        <f t="shared" si="198"/>
        <v>0</v>
      </c>
      <c r="BB177" s="496">
        <v>3</v>
      </c>
      <c r="BC177" s="488">
        <v>1</v>
      </c>
      <c r="BD177" s="370">
        <f t="shared" si="225"/>
        <v>826</v>
      </c>
      <c r="BE177" s="371">
        <f t="shared" si="226"/>
        <v>44.3</v>
      </c>
      <c r="BF177" s="497">
        <v>9</v>
      </c>
      <c r="BG177" s="497" t="s">
        <v>739</v>
      </c>
      <c r="BH177" s="369">
        <f t="shared" si="235"/>
        <v>1</v>
      </c>
      <c r="BI177" s="366">
        <f t="shared" si="236"/>
        <v>826</v>
      </c>
      <c r="BJ177" s="371">
        <f t="shared" si="237"/>
        <v>0</v>
      </c>
      <c r="BK177" s="498">
        <v>1</v>
      </c>
      <c r="BL177" s="366">
        <f t="shared" si="204"/>
        <v>826</v>
      </c>
      <c r="BM177" s="497">
        <v>1</v>
      </c>
      <c r="BN177" s="369">
        <f t="shared" si="205"/>
        <v>0.12106537530266344</v>
      </c>
      <c r="BO177" s="371">
        <f t="shared" si="206"/>
        <v>7.26</v>
      </c>
      <c r="BP177" s="495">
        <v>0.7</v>
      </c>
      <c r="BQ177" s="501" t="s">
        <v>644</v>
      </c>
      <c r="BR177" s="502">
        <v>42125</v>
      </c>
      <c r="BS177" s="372">
        <f t="shared" si="227"/>
        <v>42490</v>
      </c>
      <c r="BT177" s="493">
        <v>173</v>
      </c>
      <c r="BU177" s="493">
        <v>5</v>
      </c>
      <c r="BV177" s="376">
        <f t="shared" si="238"/>
        <v>5</v>
      </c>
      <c r="BW177" s="377">
        <f t="shared" si="239"/>
        <v>0.9719101123595506</v>
      </c>
      <c r="BX177" s="370">
        <f t="shared" si="209"/>
        <v>802.79775280898878</v>
      </c>
      <c r="BY177" s="708">
        <f t="shared" si="219"/>
        <v>0</v>
      </c>
      <c r="BZ177" s="504" t="s">
        <v>862</v>
      </c>
      <c r="CA177" s="480">
        <v>0</v>
      </c>
      <c r="CB177" s="389">
        <f t="shared" si="240"/>
        <v>0</v>
      </c>
      <c r="CC177" s="505">
        <v>0</v>
      </c>
      <c r="CD177" s="375" t="str">
        <f t="shared" si="211"/>
        <v>No coverage</v>
      </c>
      <c r="CE177" s="452">
        <v>0</v>
      </c>
      <c r="CF177" s="513" t="s">
        <v>65</v>
      </c>
      <c r="CG177" s="705"/>
    </row>
    <row r="178" spans="2:85" s="40" customFormat="1" ht="30.75" customHeight="1" thickBot="1" x14ac:dyDescent="0.25">
      <c r="B178" s="449" t="s">
        <v>228</v>
      </c>
      <c r="C178" s="450" t="s">
        <v>547</v>
      </c>
      <c r="D178" s="451" t="s">
        <v>269</v>
      </c>
      <c r="E178" s="450" t="s">
        <v>458</v>
      </c>
      <c r="F178" s="451">
        <v>97.406869999999998</v>
      </c>
      <c r="G178" s="451">
        <v>23.092880000000001</v>
      </c>
      <c r="H178" s="451" t="s">
        <v>449</v>
      </c>
      <c r="I178" s="451" t="s">
        <v>214</v>
      </c>
      <c r="J178" s="452">
        <v>10</v>
      </c>
      <c r="K178" s="452">
        <v>47</v>
      </c>
      <c r="L178" s="452">
        <v>47</v>
      </c>
      <c r="M178" s="362" t="str">
        <f t="shared" si="212"/>
        <v>1. Small</v>
      </c>
      <c r="N178" s="701" t="s">
        <v>836</v>
      </c>
      <c r="O178" s="453" t="s">
        <v>235</v>
      </c>
      <c r="P178" s="461" t="s">
        <v>233</v>
      </c>
      <c r="Q178" s="382" t="str">
        <f t="shared" si="249"/>
        <v>Covered</v>
      </c>
      <c r="R178" s="462">
        <v>42460</v>
      </c>
      <c r="S178" s="453" t="s">
        <v>253</v>
      </c>
      <c r="T178" s="381" t="str">
        <f t="shared" si="250"/>
        <v>Documented</v>
      </c>
      <c r="U178" s="468">
        <v>0</v>
      </c>
      <c r="V178" s="452">
        <v>0</v>
      </c>
      <c r="W178" s="469" t="s">
        <v>19</v>
      </c>
      <c r="X178" s="476">
        <v>0</v>
      </c>
      <c r="Y178" s="452">
        <v>0</v>
      </c>
      <c r="Z178" s="469">
        <v>2000</v>
      </c>
      <c r="AA178" s="481">
        <v>1</v>
      </c>
      <c r="AB178" s="482">
        <v>0</v>
      </c>
      <c r="AC178" s="385">
        <f t="shared" si="241"/>
        <v>1</v>
      </c>
      <c r="AD178" s="364">
        <f t="shared" si="242"/>
        <v>47</v>
      </c>
      <c r="AE178" s="365">
        <f t="shared" si="243"/>
        <v>1</v>
      </c>
      <c r="AF178" s="366">
        <f t="shared" si="244"/>
        <v>47</v>
      </c>
      <c r="AG178" s="363">
        <f t="shared" si="245"/>
        <v>1</v>
      </c>
      <c r="AH178" s="366">
        <f t="shared" si="246"/>
        <v>47</v>
      </c>
      <c r="AI178" s="367" t="str">
        <f t="shared" si="247"/>
        <v>80-100%</v>
      </c>
      <c r="AJ178" s="363">
        <f t="shared" si="248"/>
        <v>0</v>
      </c>
      <c r="AK178" s="368">
        <f t="shared" si="251"/>
        <v>0</v>
      </c>
      <c r="AL178" s="366">
        <f t="shared" si="252"/>
        <v>0.11749999999999999</v>
      </c>
      <c r="AM178" s="366">
        <f t="shared" si="253"/>
        <v>0</v>
      </c>
      <c r="AN178" s="366">
        <f t="shared" si="254"/>
        <v>47</v>
      </c>
      <c r="AO178" s="490">
        <v>1</v>
      </c>
      <c r="AP178" s="486">
        <f t="shared" si="193"/>
        <v>47</v>
      </c>
      <c r="AQ178" s="469"/>
      <c r="AR178" s="732">
        <v>2</v>
      </c>
      <c r="AS178" s="452">
        <v>2</v>
      </c>
      <c r="AT178" s="452">
        <v>2</v>
      </c>
      <c r="AU178" s="452" t="s">
        <v>291</v>
      </c>
      <c r="AV178" s="369">
        <f t="shared" si="232"/>
        <v>1</v>
      </c>
      <c r="AW178" s="366">
        <f t="shared" si="233"/>
        <v>47</v>
      </c>
      <c r="AX178" s="369">
        <f t="shared" si="234"/>
        <v>0.14893617021276595</v>
      </c>
      <c r="AY178" s="366">
        <f t="shared" si="196"/>
        <v>7</v>
      </c>
      <c r="AZ178" s="369">
        <f t="shared" si="197"/>
        <v>0.85106382978723405</v>
      </c>
      <c r="BA178" s="366">
        <f t="shared" si="198"/>
        <v>40</v>
      </c>
      <c r="BB178" s="474">
        <v>2</v>
      </c>
      <c r="BC178" s="490">
        <v>1</v>
      </c>
      <c r="BD178" s="370">
        <f t="shared" si="225"/>
        <v>47</v>
      </c>
      <c r="BE178" s="371">
        <f t="shared" si="226"/>
        <v>2.35</v>
      </c>
      <c r="BF178" s="452">
        <v>2</v>
      </c>
      <c r="BG178" s="452" t="s">
        <v>89</v>
      </c>
      <c r="BH178" s="369">
        <f t="shared" si="235"/>
        <v>1</v>
      </c>
      <c r="BI178" s="366">
        <f t="shared" si="236"/>
        <v>47</v>
      </c>
      <c r="BJ178" s="371">
        <f t="shared" si="237"/>
        <v>0</v>
      </c>
      <c r="BK178" s="485">
        <v>1</v>
      </c>
      <c r="BL178" s="366">
        <f t="shared" si="204"/>
        <v>47</v>
      </c>
      <c r="BM178" s="452">
        <v>2</v>
      </c>
      <c r="BN178" s="369">
        <f t="shared" si="205"/>
        <v>1</v>
      </c>
      <c r="BO178" s="371">
        <f t="shared" si="206"/>
        <v>0</v>
      </c>
      <c r="BP178" s="478">
        <v>1</v>
      </c>
      <c r="BQ178" s="500"/>
      <c r="BR178" s="502">
        <v>42125</v>
      </c>
      <c r="BS178" s="372">
        <f t="shared" si="227"/>
        <v>42490</v>
      </c>
      <c r="BT178" s="452">
        <v>14</v>
      </c>
      <c r="BU178" s="452">
        <v>5</v>
      </c>
      <c r="BV178" s="376">
        <f t="shared" si="238"/>
        <v>0</v>
      </c>
      <c r="BW178" s="377">
        <f t="shared" si="239"/>
        <v>1</v>
      </c>
      <c r="BX178" s="370">
        <f t="shared" si="209"/>
        <v>47</v>
      </c>
      <c r="BY178" s="708">
        <f t="shared" si="219"/>
        <v>0</v>
      </c>
      <c r="BZ178" s="468"/>
      <c r="CA178" s="482">
        <v>0.5</v>
      </c>
      <c r="CB178" s="389">
        <f t="shared" si="240"/>
        <v>23.5</v>
      </c>
      <c r="CC178" s="476">
        <v>2</v>
      </c>
      <c r="CD178" s="375" t="str">
        <f t="shared" si="211"/>
        <v>Excellent coverage</v>
      </c>
      <c r="CE178" s="452">
        <v>0</v>
      </c>
      <c r="CF178" s="469" t="s">
        <v>65</v>
      </c>
      <c r="CG178" s="500"/>
    </row>
    <row r="179" spans="2:85" s="40" customFormat="1" ht="30.75" customHeight="1" thickBot="1" x14ac:dyDescent="0.25">
      <c r="B179" s="449" t="s">
        <v>183</v>
      </c>
      <c r="C179" s="450"/>
      <c r="D179" s="451" t="s">
        <v>269</v>
      </c>
      <c r="E179" s="450" t="s">
        <v>628</v>
      </c>
      <c r="F179" s="451"/>
      <c r="G179" s="451"/>
      <c r="H179" s="451" t="s">
        <v>460</v>
      </c>
      <c r="I179" s="451" t="s">
        <v>222</v>
      </c>
      <c r="J179" s="452">
        <v>100</v>
      </c>
      <c r="K179" s="452">
        <v>446</v>
      </c>
      <c r="L179" s="452">
        <v>446</v>
      </c>
      <c r="M179" s="362" t="str">
        <f t="shared" si="212"/>
        <v>2. Medium</v>
      </c>
      <c r="N179" s="701"/>
      <c r="O179" s="453" t="s">
        <v>231</v>
      </c>
      <c r="P179" s="461" t="s">
        <v>300</v>
      </c>
      <c r="Q179" s="382" t="str">
        <f t="shared" si="147"/>
        <v>Not covered</v>
      </c>
      <c r="R179" s="462" t="s">
        <v>629</v>
      </c>
      <c r="S179" s="453" t="s">
        <v>255</v>
      </c>
      <c r="T179" s="381" t="str">
        <f t="shared" si="148"/>
        <v>Not documented</v>
      </c>
      <c r="U179" s="468">
        <v>0</v>
      </c>
      <c r="V179" s="452">
        <v>0</v>
      </c>
      <c r="W179" s="469" t="s">
        <v>19</v>
      </c>
      <c r="X179" s="476">
        <v>0</v>
      </c>
      <c r="Y179" s="452">
        <v>0</v>
      </c>
      <c r="Z179" s="469">
        <v>0</v>
      </c>
      <c r="AA179" s="481">
        <v>0</v>
      </c>
      <c r="AB179" s="482">
        <v>0</v>
      </c>
      <c r="AC179" s="385">
        <f t="shared" si="184"/>
        <v>0</v>
      </c>
      <c r="AD179" s="364">
        <f t="shared" si="185"/>
        <v>0</v>
      </c>
      <c r="AE179" s="365">
        <f t="shared" si="186"/>
        <v>0</v>
      </c>
      <c r="AF179" s="366">
        <f t="shared" si="187"/>
        <v>0</v>
      </c>
      <c r="AG179" s="363">
        <f t="shared" si="181"/>
        <v>0</v>
      </c>
      <c r="AH179" s="366">
        <f t="shared" si="188"/>
        <v>0</v>
      </c>
      <c r="AI179" s="367" t="str">
        <f t="shared" si="182"/>
        <v>0-10%</v>
      </c>
      <c r="AJ179" s="363">
        <f t="shared" si="183"/>
        <v>0</v>
      </c>
      <c r="AK179" s="368">
        <f t="shared" si="189"/>
        <v>0</v>
      </c>
      <c r="AL179" s="366">
        <f t="shared" si="190"/>
        <v>1.115</v>
      </c>
      <c r="AM179" s="366">
        <f t="shared" si="191"/>
        <v>0</v>
      </c>
      <c r="AN179" s="366">
        <f t="shared" si="192"/>
        <v>0</v>
      </c>
      <c r="AO179" s="490">
        <v>0</v>
      </c>
      <c r="AP179" s="486">
        <f t="shared" si="193"/>
        <v>0</v>
      </c>
      <c r="AQ179" s="469"/>
      <c r="AR179" s="732">
        <v>16</v>
      </c>
      <c r="AS179" s="452">
        <v>0</v>
      </c>
      <c r="AT179" s="452">
        <v>0</v>
      </c>
      <c r="AU179" s="452" t="s">
        <v>291</v>
      </c>
      <c r="AV179" s="369">
        <f t="shared" si="194"/>
        <v>0</v>
      </c>
      <c r="AW179" s="366">
        <f t="shared" si="195"/>
        <v>0</v>
      </c>
      <c r="AX179" s="369">
        <f t="shared" si="179"/>
        <v>0</v>
      </c>
      <c r="AY179" s="366">
        <f t="shared" si="196"/>
        <v>0</v>
      </c>
      <c r="AZ179" s="369">
        <f t="shared" si="197"/>
        <v>0</v>
      </c>
      <c r="BA179" s="366">
        <f t="shared" si="198"/>
        <v>0</v>
      </c>
      <c r="BB179" s="474">
        <v>0</v>
      </c>
      <c r="BC179" s="490">
        <v>0</v>
      </c>
      <c r="BD179" s="370">
        <f t="shared" si="225"/>
        <v>0</v>
      </c>
      <c r="BE179" s="371">
        <f t="shared" si="226"/>
        <v>22.3</v>
      </c>
      <c r="BF179" s="452">
        <v>0</v>
      </c>
      <c r="BG179" s="452"/>
      <c r="BH179" s="369">
        <f t="shared" si="201"/>
        <v>0</v>
      </c>
      <c r="BI179" s="366">
        <f t="shared" si="202"/>
        <v>0</v>
      </c>
      <c r="BJ179" s="371">
        <f t="shared" si="203"/>
        <v>4.46</v>
      </c>
      <c r="BK179" s="485">
        <v>0</v>
      </c>
      <c r="BL179" s="366">
        <f>BK179*L179</f>
        <v>0</v>
      </c>
      <c r="BM179" s="452">
        <v>0</v>
      </c>
      <c r="BN179" s="369">
        <f t="shared" si="205"/>
        <v>0</v>
      </c>
      <c r="BO179" s="371">
        <f t="shared" si="206"/>
        <v>4.46</v>
      </c>
      <c r="BP179" s="478">
        <v>0</v>
      </c>
      <c r="BQ179" s="500"/>
      <c r="BR179" s="502"/>
      <c r="BS179" s="372" t="str">
        <f t="shared" si="177"/>
        <v>To be realised</v>
      </c>
      <c r="BT179" s="452">
        <v>0</v>
      </c>
      <c r="BU179" s="452">
        <v>0</v>
      </c>
      <c r="BV179" s="376">
        <f t="shared" si="207"/>
        <v>100</v>
      </c>
      <c r="BW179" s="377">
        <f t="shared" si="208"/>
        <v>0</v>
      </c>
      <c r="BX179" s="370">
        <f t="shared" si="209"/>
        <v>0</v>
      </c>
      <c r="BY179" s="708" t="str">
        <f t="shared" si="178"/>
        <v>Column BN to be completed</v>
      </c>
      <c r="BZ179" s="468" t="s">
        <v>645</v>
      </c>
      <c r="CA179" s="482">
        <v>0</v>
      </c>
      <c r="CB179" s="706">
        <f>CA179*L179</f>
        <v>0</v>
      </c>
      <c r="CC179" s="476">
        <v>0</v>
      </c>
      <c r="CD179" s="375" t="str">
        <f t="shared" si="211"/>
        <v>No coverage</v>
      </c>
      <c r="CE179" s="452">
        <v>0</v>
      </c>
      <c r="CF179" s="469" t="s">
        <v>66</v>
      </c>
      <c r="CG179" s="500"/>
    </row>
    <row r="180" spans="2:85" ht="27.75" customHeight="1" thickBot="1" x14ac:dyDescent="0.25">
      <c r="B180" s="449" t="s">
        <v>750</v>
      </c>
      <c r="C180" s="450" t="s">
        <v>824</v>
      </c>
      <c r="D180" s="451" t="s">
        <v>268</v>
      </c>
      <c r="E180" s="450" t="s">
        <v>825</v>
      </c>
      <c r="F180" s="451"/>
      <c r="G180" s="451"/>
      <c r="H180" s="451" t="s">
        <v>449</v>
      </c>
      <c r="I180" s="451" t="s">
        <v>214</v>
      </c>
      <c r="J180" s="452">
        <v>43</v>
      </c>
      <c r="K180" s="452">
        <v>197</v>
      </c>
      <c r="L180" s="452">
        <v>197</v>
      </c>
      <c r="M180" s="362" t="str">
        <f t="shared" si="212"/>
        <v>1. Small</v>
      </c>
      <c r="N180" s="702" t="s">
        <v>836</v>
      </c>
      <c r="O180" s="453" t="s">
        <v>235</v>
      </c>
      <c r="P180" s="461" t="s">
        <v>233</v>
      </c>
      <c r="Q180" s="382" t="str">
        <f t="shared" si="147"/>
        <v>Covered</v>
      </c>
      <c r="R180" s="462">
        <v>42460</v>
      </c>
      <c r="S180" s="453" t="s">
        <v>253</v>
      </c>
      <c r="T180" s="381" t="str">
        <f t="shared" si="148"/>
        <v>Documented</v>
      </c>
      <c r="U180" s="468">
        <v>0</v>
      </c>
      <c r="V180" s="452">
        <v>0</v>
      </c>
      <c r="W180" s="469" t="s">
        <v>19</v>
      </c>
      <c r="X180" s="476">
        <v>2</v>
      </c>
      <c r="Y180" s="452">
        <v>0</v>
      </c>
      <c r="Z180" s="469">
        <v>4000</v>
      </c>
      <c r="AA180" s="481">
        <v>1</v>
      </c>
      <c r="AB180" s="482">
        <v>1</v>
      </c>
      <c r="AC180" s="385">
        <f t="shared" ref="AC180" si="255">IF((((U180/15)+((V180/30)/15)+X180*400+Y180*500+(Z180/15))/L180)&gt;1,1,(((U180/15)+((V180/30)/15)+X180*400+Y180*500+(Z180/15))/L180))</f>
        <v>1</v>
      </c>
      <c r="AD180" s="364">
        <f t="shared" ref="AD180" si="256">AC180*L180</f>
        <v>197</v>
      </c>
      <c r="AE180" s="365">
        <f t="shared" ref="AE180" si="257">IF(((X180*400+Y180*500+(Z180/15))/L180)&gt;1,1,(X180*400+Y180*500+(Z180/15))/L180)</f>
        <v>1</v>
      </c>
      <c r="AF180" s="366">
        <f t="shared" ref="AF180" si="258">AE180*L180</f>
        <v>197</v>
      </c>
      <c r="AG180" s="363">
        <f t="shared" ref="AG180" si="259">IF(AB180=0,AC180,IF(AB180&lt;AC180,AC180,AB180))</f>
        <v>1</v>
      </c>
      <c r="AH180" s="366">
        <f t="shared" ref="AH180" si="260">AG180*L180</f>
        <v>197</v>
      </c>
      <c r="AI180" s="367" t="str">
        <f t="shared" ref="AI180" si="261">IF(AC180&gt;0.15,IF(AC180&gt;0.3,IF(AC180&gt;0.45,IF(AC180&gt;0.6,IF(AC180&gt;0.8,"80-100%","60-80%"),"45-60%"),"30-45%"),"15-30%"),"0-10%")</f>
        <v>80-100%</v>
      </c>
      <c r="AJ180" s="363">
        <f t="shared" ref="AJ180" si="262">IF((AC180-AE180)&lt; 0, 0, AC180-AE180)</f>
        <v>0</v>
      </c>
      <c r="AK180" s="368">
        <f t="shared" ref="AK180" si="263">AJ180*L180</f>
        <v>0</v>
      </c>
      <c r="AL180" s="366">
        <f t="shared" ref="AL180" si="264">IF(L180/400-(X180+Y180)&lt;0,0,L180/400-(X180+Y180))</f>
        <v>0</v>
      </c>
      <c r="AM180" s="366">
        <f t="shared" ref="AM180" si="265">AB180*J180</f>
        <v>43</v>
      </c>
      <c r="AN180" s="366">
        <f t="shared" ref="AN180" si="266">AA180*L180</f>
        <v>197</v>
      </c>
      <c r="AO180" s="490">
        <v>1</v>
      </c>
      <c r="AP180" s="486">
        <f t="shared" si="193"/>
        <v>197</v>
      </c>
      <c r="AQ180" s="704"/>
      <c r="AR180" s="732">
        <v>12</v>
      </c>
      <c r="AS180" s="452">
        <v>0</v>
      </c>
      <c r="AT180" s="452">
        <v>12</v>
      </c>
      <c r="AU180" s="452" t="s">
        <v>291</v>
      </c>
      <c r="AV180" s="369">
        <f t="shared" si="194"/>
        <v>1</v>
      </c>
      <c r="AW180" s="366">
        <f t="shared" si="195"/>
        <v>197</v>
      </c>
      <c r="AX180" s="369">
        <f t="shared" ref="AX180" si="267">AV180-AZ180</f>
        <v>0</v>
      </c>
      <c r="AY180" s="366">
        <f t="shared" si="196"/>
        <v>0</v>
      </c>
      <c r="AZ180" s="369">
        <f t="shared" si="197"/>
        <v>1</v>
      </c>
      <c r="BA180" s="366">
        <f t="shared" si="198"/>
        <v>197</v>
      </c>
      <c r="BB180" s="474">
        <v>0</v>
      </c>
      <c r="BC180" s="490">
        <v>1</v>
      </c>
      <c r="BD180" s="370">
        <f t="shared" si="225"/>
        <v>197</v>
      </c>
      <c r="BE180" s="371">
        <f t="shared" si="226"/>
        <v>0</v>
      </c>
      <c r="BF180" s="452">
        <v>0</v>
      </c>
      <c r="BG180" s="452"/>
      <c r="BH180" s="369">
        <f t="shared" si="201"/>
        <v>0</v>
      </c>
      <c r="BI180" s="366">
        <f t="shared" si="202"/>
        <v>0</v>
      </c>
      <c r="BJ180" s="371">
        <f t="shared" si="203"/>
        <v>1.97</v>
      </c>
      <c r="BK180" s="485">
        <v>0</v>
      </c>
      <c r="BL180" s="366">
        <f>BK180*L180</f>
        <v>0</v>
      </c>
      <c r="BM180" s="452">
        <v>4</v>
      </c>
      <c r="BN180" s="369">
        <f t="shared" si="205"/>
        <v>1</v>
      </c>
      <c r="BO180" s="371">
        <f t="shared" si="206"/>
        <v>0</v>
      </c>
      <c r="BP180" s="478">
        <v>1</v>
      </c>
      <c r="BQ180" s="500"/>
      <c r="BR180" s="502">
        <v>42125</v>
      </c>
      <c r="BS180" s="372">
        <f t="shared" si="177"/>
        <v>42490</v>
      </c>
      <c r="BT180" s="452">
        <v>46</v>
      </c>
      <c r="BU180" s="452">
        <v>4</v>
      </c>
      <c r="BV180" s="376">
        <f t="shared" si="207"/>
        <v>0</v>
      </c>
      <c r="BW180" s="377">
        <f t="shared" si="208"/>
        <v>1</v>
      </c>
      <c r="BX180" s="370">
        <f t="shared" si="209"/>
        <v>197</v>
      </c>
      <c r="BY180" s="708">
        <f t="shared" ref="BY180" si="268">IF(BR180="","Column BN to be completed", IF(BR180="n/a",0,IF(($E$2-BR180-30)/30-BU180&lt;0,0,ROUND((($E$2-BR180-30)/30-BU180),0))))</f>
        <v>0</v>
      </c>
      <c r="BZ180" s="468"/>
      <c r="CA180" s="482">
        <v>0</v>
      </c>
      <c r="CB180" s="706">
        <f>CA180*L180</f>
        <v>0</v>
      </c>
      <c r="CC180" s="476">
        <v>2</v>
      </c>
      <c r="CD180" s="375" t="str">
        <f t="shared" si="211"/>
        <v>Excellent coverage</v>
      </c>
      <c r="CE180" s="452">
        <v>0</v>
      </c>
      <c r="CF180" s="469" t="s">
        <v>65</v>
      </c>
      <c r="CG180" s="500"/>
    </row>
  </sheetData>
  <sheetProtection formatCells="0" formatRows="0" insertRows="0" sort="0" autoFilter="0" pivotTables="0"/>
  <dataConsolidate/>
  <mergeCells count="13">
    <mergeCell ref="BR3:BY3"/>
    <mergeCell ref="CC3:CF3"/>
    <mergeCell ref="F2:L2"/>
    <mergeCell ref="F3:I3"/>
    <mergeCell ref="P3:S3"/>
    <mergeCell ref="U3:W3"/>
    <mergeCell ref="X3:Z3"/>
    <mergeCell ref="AA3:AB3"/>
    <mergeCell ref="AR3:BP3"/>
    <mergeCell ref="AC3:AQ3"/>
    <mergeCell ref="U2:AQ2"/>
    <mergeCell ref="AR2:BQ2"/>
    <mergeCell ref="BZ3:CB3"/>
  </mergeCells>
  <conditionalFormatting sqref="L5:L180">
    <cfRule type="cellIs" dxfId="1" priority="2" operator="notEqual">
      <formula>$K5</formula>
    </cfRule>
  </conditionalFormatting>
  <conditionalFormatting sqref="BC5:BC180">
    <cfRule type="cellIs" dxfId="0" priority="1" operator="lessThan">
      <formula>$AV5</formula>
    </cfRule>
  </conditionalFormatting>
  <dataValidations count="17">
    <dataValidation type="whole" allowBlank="1" showInputMessage="1" showErrorMessage="1" sqref="AR65469:AT65475 KS65469:KU65475 UO65469:UQ65475 AEK65469:AEM65475 AOG65469:AOI65475 AYC65469:AYE65475 BHY65469:BIA65475 BRU65469:BRW65475 CBQ65469:CBS65475 CLM65469:CLO65475 CVI65469:CVK65475 DFE65469:DFG65475 DPA65469:DPC65475 DYW65469:DYY65475 EIS65469:EIU65475 ESO65469:ESQ65475 FCK65469:FCM65475 FMG65469:FMI65475 FWC65469:FWE65475 GFY65469:GGA65475 GPU65469:GPW65475 GZQ65469:GZS65475 HJM65469:HJO65475 HTI65469:HTK65475 IDE65469:IDG65475 INA65469:INC65475 IWW65469:IWY65475 JGS65469:JGU65475 JQO65469:JQQ65475 KAK65469:KAM65475 KKG65469:KKI65475 KUC65469:KUE65475 LDY65469:LEA65475 LNU65469:LNW65475 LXQ65469:LXS65475 MHM65469:MHO65475 MRI65469:MRK65475 NBE65469:NBG65475 NLA65469:NLC65475 NUW65469:NUY65475 OES65469:OEU65475 OOO65469:OOQ65475 OYK65469:OYM65475 PIG65469:PII65475 PSC65469:PSE65475 QBY65469:QCA65475 QLU65469:QLW65475 QVQ65469:QVS65475 RFM65469:RFO65475 RPI65469:RPK65475 RZE65469:RZG65475 SJA65469:SJC65475 SSW65469:SSY65475 TCS65469:TCU65475 TMO65469:TMQ65475 TWK65469:TWM65475 UGG65469:UGI65475 UQC65469:UQE65475 UZY65469:VAA65475 VJU65469:VJW65475 VTQ65469:VTS65475 WDM65469:WDO65475 WNI65469:WNK65475 WXE65469:WXG65475 AR131005:AT131011 KS131005:KU131011 UO131005:UQ131011 AEK131005:AEM131011 AOG131005:AOI131011 AYC131005:AYE131011 BHY131005:BIA131011 BRU131005:BRW131011 CBQ131005:CBS131011 CLM131005:CLO131011 CVI131005:CVK131011 DFE131005:DFG131011 DPA131005:DPC131011 DYW131005:DYY131011 EIS131005:EIU131011 ESO131005:ESQ131011 FCK131005:FCM131011 FMG131005:FMI131011 FWC131005:FWE131011 GFY131005:GGA131011 GPU131005:GPW131011 GZQ131005:GZS131011 HJM131005:HJO131011 HTI131005:HTK131011 IDE131005:IDG131011 INA131005:INC131011 IWW131005:IWY131011 JGS131005:JGU131011 JQO131005:JQQ131011 KAK131005:KAM131011 KKG131005:KKI131011 KUC131005:KUE131011 LDY131005:LEA131011 LNU131005:LNW131011 LXQ131005:LXS131011 MHM131005:MHO131011 MRI131005:MRK131011 NBE131005:NBG131011 NLA131005:NLC131011 NUW131005:NUY131011 OES131005:OEU131011 OOO131005:OOQ131011 OYK131005:OYM131011 PIG131005:PII131011 PSC131005:PSE131011 QBY131005:QCA131011 QLU131005:QLW131011 QVQ131005:QVS131011 RFM131005:RFO131011 RPI131005:RPK131011 RZE131005:RZG131011 SJA131005:SJC131011 SSW131005:SSY131011 TCS131005:TCU131011 TMO131005:TMQ131011 TWK131005:TWM131011 UGG131005:UGI131011 UQC131005:UQE131011 UZY131005:VAA131011 VJU131005:VJW131011 VTQ131005:VTS131011 WDM131005:WDO131011 WNI131005:WNK131011 WXE131005:WXG131011 AR196541:AT196547 KS196541:KU196547 UO196541:UQ196547 AEK196541:AEM196547 AOG196541:AOI196547 AYC196541:AYE196547 BHY196541:BIA196547 BRU196541:BRW196547 CBQ196541:CBS196547 CLM196541:CLO196547 CVI196541:CVK196547 DFE196541:DFG196547 DPA196541:DPC196547 DYW196541:DYY196547 EIS196541:EIU196547 ESO196541:ESQ196547 FCK196541:FCM196547 FMG196541:FMI196547 FWC196541:FWE196547 GFY196541:GGA196547 GPU196541:GPW196547 GZQ196541:GZS196547 HJM196541:HJO196547 HTI196541:HTK196547 IDE196541:IDG196547 INA196541:INC196547 IWW196541:IWY196547 JGS196541:JGU196547 JQO196541:JQQ196547 KAK196541:KAM196547 KKG196541:KKI196547 KUC196541:KUE196547 LDY196541:LEA196547 LNU196541:LNW196547 LXQ196541:LXS196547 MHM196541:MHO196547 MRI196541:MRK196547 NBE196541:NBG196547 NLA196541:NLC196547 NUW196541:NUY196547 OES196541:OEU196547 OOO196541:OOQ196547 OYK196541:OYM196547 PIG196541:PII196547 PSC196541:PSE196547 QBY196541:QCA196547 QLU196541:QLW196547 QVQ196541:QVS196547 RFM196541:RFO196547 RPI196541:RPK196547 RZE196541:RZG196547 SJA196541:SJC196547 SSW196541:SSY196547 TCS196541:TCU196547 TMO196541:TMQ196547 TWK196541:TWM196547 UGG196541:UGI196547 UQC196541:UQE196547 UZY196541:VAA196547 VJU196541:VJW196547 VTQ196541:VTS196547 WDM196541:WDO196547 WNI196541:WNK196547 WXE196541:WXG196547 AR262077:AT262083 KS262077:KU262083 UO262077:UQ262083 AEK262077:AEM262083 AOG262077:AOI262083 AYC262077:AYE262083 BHY262077:BIA262083 BRU262077:BRW262083 CBQ262077:CBS262083 CLM262077:CLO262083 CVI262077:CVK262083 DFE262077:DFG262083 DPA262077:DPC262083 DYW262077:DYY262083 EIS262077:EIU262083 ESO262077:ESQ262083 FCK262077:FCM262083 FMG262077:FMI262083 FWC262077:FWE262083 GFY262077:GGA262083 GPU262077:GPW262083 GZQ262077:GZS262083 HJM262077:HJO262083 HTI262077:HTK262083 IDE262077:IDG262083 INA262077:INC262083 IWW262077:IWY262083 JGS262077:JGU262083 JQO262077:JQQ262083 KAK262077:KAM262083 KKG262077:KKI262083 KUC262077:KUE262083 LDY262077:LEA262083 LNU262077:LNW262083 LXQ262077:LXS262083 MHM262077:MHO262083 MRI262077:MRK262083 NBE262077:NBG262083 NLA262077:NLC262083 NUW262077:NUY262083 OES262077:OEU262083 OOO262077:OOQ262083 OYK262077:OYM262083 PIG262077:PII262083 PSC262077:PSE262083 QBY262077:QCA262083 QLU262077:QLW262083 QVQ262077:QVS262083 RFM262077:RFO262083 RPI262077:RPK262083 RZE262077:RZG262083 SJA262077:SJC262083 SSW262077:SSY262083 TCS262077:TCU262083 TMO262077:TMQ262083 TWK262077:TWM262083 UGG262077:UGI262083 UQC262077:UQE262083 UZY262077:VAA262083 VJU262077:VJW262083 VTQ262077:VTS262083 WDM262077:WDO262083 WNI262077:WNK262083 WXE262077:WXG262083 AR327613:AT327619 KS327613:KU327619 UO327613:UQ327619 AEK327613:AEM327619 AOG327613:AOI327619 AYC327613:AYE327619 BHY327613:BIA327619 BRU327613:BRW327619 CBQ327613:CBS327619 CLM327613:CLO327619 CVI327613:CVK327619 DFE327613:DFG327619 DPA327613:DPC327619 DYW327613:DYY327619 EIS327613:EIU327619 ESO327613:ESQ327619 FCK327613:FCM327619 FMG327613:FMI327619 FWC327613:FWE327619 GFY327613:GGA327619 GPU327613:GPW327619 GZQ327613:GZS327619 HJM327613:HJO327619 HTI327613:HTK327619 IDE327613:IDG327619 INA327613:INC327619 IWW327613:IWY327619 JGS327613:JGU327619 JQO327613:JQQ327619 KAK327613:KAM327619 KKG327613:KKI327619 KUC327613:KUE327619 LDY327613:LEA327619 LNU327613:LNW327619 LXQ327613:LXS327619 MHM327613:MHO327619 MRI327613:MRK327619 NBE327613:NBG327619 NLA327613:NLC327619 NUW327613:NUY327619 OES327613:OEU327619 OOO327613:OOQ327619 OYK327613:OYM327619 PIG327613:PII327619 PSC327613:PSE327619 QBY327613:QCA327619 QLU327613:QLW327619 QVQ327613:QVS327619 RFM327613:RFO327619 RPI327613:RPK327619 RZE327613:RZG327619 SJA327613:SJC327619 SSW327613:SSY327619 TCS327613:TCU327619 TMO327613:TMQ327619 TWK327613:TWM327619 UGG327613:UGI327619 UQC327613:UQE327619 UZY327613:VAA327619 VJU327613:VJW327619 VTQ327613:VTS327619 WDM327613:WDO327619 WNI327613:WNK327619 WXE327613:WXG327619 AR393149:AT393155 KS393149:KU393155 UO393149:UQ393155 AEK393149:AEM393155 AOG393149:AOI393155 AYC393149:AYE393155 BHY393149:BIA393155 BRU393149:BRW393155 CBQ393149:CBS393155 CLM393149:CLO393155 CVI393149:CVK393155 DFE393149:DFG393155 DPA393149:DPC393155 DYW393149:DYY393155 EIS393149:EIU393155 ESO393149:ESQ393155 FCK393149:FCM393155 FMG393149:FMI393155 FWC393149:FWE393155 GFY393149:GGA393155 GPU393149:GPW393155 GZQ393149:GZS393155 HJM393149:HJO393155 HTI393149:HTK393155 IDE393149:IDG393155 INA393149:INC393155 IWW393149:IWY393155 JGS393149:JGU393155 JQO393149:JQQ393155 KAK393149:KAM393155 KKG393149:KKI393155 KUC393149:KUE393155 LDY393149:LEA393155 LNU393149:LNW393155 LXQ393149:LXS393155 MHM393149:MHO393155 MRI393149:MRK393155 NBE393149:NBG393155 NLA393149:NLC393155 NUW393149:NUY393155 OES393149:OEU393155 OOO393149:OOQ393155 OYK393149:OYM393155 PIG393149:PII393155 PSC393149:PSE393155 QBY393149:QCA393155 QLU393149:QLW393155 QVQ393149:QVS393155 RFM393149:RFO393155 RPI393149:RPK393155 RZE393149:RZG393155 SJA393149:SJC393155 SSW393149:SSY393155 TCS393149:TCU393155 TMO393149:TMQ393155 TWK393149:TWM393155 UGG393149:UGI393155 UQC393149:UQE393155 UZY393149:VAA393155 VJU393149:VJW393155 VTQ393149:VTS393155 WDM393149:WDO393155 WNI393149:WNK393155 WXE393149:WXG393155 AR458685:AT458691 KS458685:KU458691 UO458685:UQ458691 AEK458685:AEM458691 AOG458685:AOI458691 AYC458685:AYE458691 BHY458685:BIA458691 BRU458685:BRW458691 CBQ458685:CBS458691 CLM458685:CLO458691 CVI458685:CVK458691 DFE458685:DFG458691 DPA458685:DPC458691 DYW458685:DYY458691 EIS458685:EIU458691 ESO458685:ESQ458691 FCK458685:FCM458691 FMG458685:FMI458691 FWC458685:FWE458691 GFY458685:GGA458691 GPU458685:GPW458691 GZQ458685:GZS458691 HJM458685:HJO458691 HTI458685:HTK458691 IDE458685:IDG458691 INA458685:INC458691 IWW458685:IWY458691 JGS458685:JGU458691 JQO458685:JQQ458691 KAK458685:KAM458691 KKG458685:KKI458691 KUC458685:KUE458691 LDY458685:LEA458691 LNU458685:LNW458691 LXQ458685:LXS458691 MHM458685:MHO458691 MRI458685:MRK458691 NBE458685:NBG458691 NLA458685:NLC458691 NUW458685:NUY458691 OES458685:OEU458691 OOO458685:OOQ458691 OYK458685:OYM458691 PIG458685:PII458691 PSC458685:PSE458691 QBY458685:QCA458691 QLU458685:QLW458691 QVQ458685:QVS458691 RFM458685:RFO458691 RPI458685:RPK458691 RZE458685:RZG458691 SJA458685:SJC458691 SSW458685:SSY458691 TCS458685:TCU458691 TMO458685:TMQ458691 TWK458685:TWM458691 UGG458685:UGI458691 UQC458685:UQE458691 UZY458685:VAA458691 VJU458685:VJW458691 VTQ458685:VTS458691 WDM458685:WDO458691 WNI458685:WNK458691 WXE458685:WXG458691 AR524221:AT524227 KS524221:KU524227 UO524221:UQ524227 AEK524221:AEM524227 AOG524221:AOI524227 AYC524221:AYE524227 BHY524221:BIA524227 BRU524221:BRW524227 CBQ524221:CBS524227 CLM524221:CLO524227 CVI524221:CVK524227 DFE524221:DFG524227 DPA524221:DPC524227 DYW524221:DYY524227 EIS524221:EIU524227 ESO524221:ESQ524227 FCK524221:FCM524227 FMG524221:FMI524227 FWC524221:FWE524227 GFY524221:GGA524227 GPU524221:GPW524227 GZQ524221:GZS524227 HJM524221:HJO524227 HTI524221:HTK524227 IDE524221:IDG524227 INA524221:INC524227 IWW524221:IWY524227 JGS524221:JGU524227 JQO524221:JQQ524227 KAK524221:KAM524227 KKG524221:KKI524227 KUC524221:KUE524227 LDY524221:LEA524227 LNU524221:LNW524227 LXQ524221:LXS524227 MHM524221:MHO524227 MRI524221:MRK524227 NBE524221:NBG524227 NLA524221:NLC524227 NUW524221:NUY524227 OES524221:OEU524227 OOO524221:OOQ524227 OYK524221:OYM524227 PIG524221:PII524227 PSC524221:PSE524227 QBY524221:QCA524227 QLU524221:QLW524227 QVQ524221:QVS524227 RFM524221:RFO524227 RPI524221:RPK524227 RZE524221:RZG524227 SJA524221:SJC524227 SSW524221:SSY524227 TCS524221:TCU524227 TMO524221:TMQ524227 TWK524221:TWM524227 UGG524221:UGI524227 UQC524221:UQE524227 UZY524221:VAA524227 VJU524221:VJW524227 VTQ524221:VTS524227 WDM524221:WDO524227 WNI524221:WNK524227 WXE524221:WXG524227 AR589757:AT589763 KS589757:KU589763 UO589757:UQ589763 AEK589757:AEM589763 AOG589757:AOI589763 AYC589757:AYE589763 BHY589757:BIA589763 BRU589757:BRW589763 CBQ589757:CBS589763 CLM589757:CLO589763 CVI589757:CVK589763 DFE589757:DFG589763 DPA589757:DPC589763 DYW589757:DYY589763 EIS589757:EIU589763 ESO589757:ESQ589763 FCK589757:FCM589763 FMG589757:FMI589763 FWC589757:FWE589763 GFY589757:GGA589763 GPU589757:GPW589763 GZQ589757:GZS589763 HJM589757:HJO589763 HTI589757:HTK589763 IDE589757:IDG589763 INA589757:INC589763 IWW589757:IWY589763 JGS589757:JGU589763 JQO589757:JQQ589763 KAK589757:KAM589763 KKG589757:KKI589763 KUC589757:KUE589763 LDY589757:LEA589763 LNU589757:LNW589763 LXQ589757:LXS589763 MHM589757:MHO589763 MRI589757:MRK589763 NBE589757:NBG589763 NLA589757:NLC589763 NUW589757:NUY589763 OES589757:OEU589763 OOO589757:OOQ589763 OYK589757:OYM589763 PIG589757:PII589763 PSC589757:PSE589763 QBY589757:QCA589763 QLU589757:QLW589763 QVQ589757:QVS589763 RFM589757:RFO589763 RPI589757:RPK589763 RZE589757:RZG589763 SJA589757:SJC589763 SSW589757:SSY589763 TCS589757:TCU589763 TMO589757:TMQ589763 TWK589757:TWM589763 UGG589757:UGI589763 UQC589757:UQE589763 UZY589757:VAA589763 VJU589757:VJW589763 VTQ589757:VTS589763 WDM589757:WDO589763 WNI589757:WNK589763 WXE589757:WXG589763 AR655293:AT655299 KS655293:KU655299 UO655293:UQ655299 AEK655293:AEM655299 AOG655293:AOI655299 AYC655293:AYE655299 BHY655293:BIA655299 BRU655293:BRW655299 CBQ655293:CBS655299 CLM655293:CLO655299 CVI655293:CVK655299 DFE655293:DFG655299 DPA655293:DPC655299 DYW655293:DYY655299 EIS655293:EIU655299 ESO655293:ESQ655299 FCK655293:FCM655299 FMG655293:FMI655299 FWC655293:FWE655299 GFY655293:GGA655299 GPU655293:GPW655299 GZQ655293:GZS655299 HJM655293:HJO655299 HTI655293:HTK655299 IDE655293:IDG655299 INA655293:INC655299 IWW655293:IWY655299 JGS655293:JGU655299 JQO655293:JQQ655299 KAK655293:KAM655299 KKG655293:KKI655299 KUC655293:KUE655299 LDY655293:LEA655299 LNU655293:LNW655299 LXQ655293:LXS655299 MHM655293:MHO655299 MRI655293:MRK655299 NBE655293:NBG655299 NLA655293:NLC655299 NUW655293:NUY655299 OES655293:OEU655299 OOO655293:OOQ655299 OYK655293:OYM655299 PIG655293:PII655299 PSC655293:PSE655299 QBY655293:QCA655299 QLU655293:QLW655299 QVQ655293:QVS655299 RFM655293:RFO655299 RPI655293:RPK655299 RZE655293:RZG655299 SJA655293:SJC655299 SSW655293:SSY655299 TCS655293:TCU655299 TMO655293:TMQ655299 TWK655293:TWM655299 UGG655293:UGI655299 UQC655293:UQE655299 UZY655293:VAA655299 VJU655293:VJW655299 VTQ655293:VTS655299 WDM655293:WDO655299 WNI655293:WNK655299 WXE655293:WXG655299 AR720829:AT720835 KS720829:KU720835 UO720829:UQ720835 AEK720829:AEM720835 AOG720829:AOI720835 AYC720829:AYE720835 BHY720829:BIA720835 BRU720829:BRW720835 CBQ720829:CBS720835 CLM720829:CLO720835 CVI720829:CVK720835 DFE720829:DFG720835 DPA720829:DPC720835 DYW720829:DYY720835 EIS720829:EIU720835 ESO720829:ESQ720835 FCK720829:FCM720835 FMG720829:FMI720835 FWC720829:FWE720835 GFY720829:GGA720835 GPU720829:GPW720835 GZQ720829:GZS720835 HJM720829:HJO720835 HTI720829:HTK720835 IDE720829:IDG720835 INA720829:INC720835 IWW720829:IWY720835 JGS720829:JGU720835 JQO720829:JQQ720835 KAK720829:KAM720835 KKG720829:KKI720835 KUC720829:KUE720835 LDY720829:LEA720835 LNU720829:LNW720835 LXQ720829:LXS720835 MHM720829:MHO720835 MRI720829:MRK720835 NBE720829:NBG720835 NLA720829:NLC720835 NUW720829:NUY720835 OES720829:OEU720835 OOO720829:OOQ720835 OYK720829:OYM720835 PIG720829:PII720835 PSC720829:PSE720835 QBY720829:QCA720835 QLU720829:QLW720835 QVQ720829:QVS720835 RFM720829:RFO720835 RPI720829:RPK720835 RZE720829:RZG720835 SJA720829:SJC720835 SSW720829:SSY720835 TCS720829:TCU720835 TMO720829:TMQ720835 TWK720829:TWM720835 UGG720829:UGI720835 UQC720829:UQE720835 UZY720829:VAA720835 VJU720829:VJW720835 VTQ720829:VTS720835 WDM720829:WDO720835 WNI720829:WNK720835 WXE720829:WXG720835 AR786365:AT786371 KS786365:KU786371 UO786365:UQ786371 AEK786365:AEM786371 AOG786365:AOI786371 AYC786365:AYE786371 BHY786365:BIA786371 BRU786365:BRW786371 CBQ786365:CBS786371 CLM786365:CLO786371 CVI786365:CVK786371 DFE786365:DFG786371 DPA786365:DPC786371 DYW786365:DYY786371 EIS786365:EIU786371 ESO786365:ESQ786371 FCK786365:FCM786371 FMG786365:FMI786371 FWC786365:FWE786371 GFY786365:GGA786371 GPU786365:GPW786371 GZQ786365:GZS786371 HJM786365:HJO786371 HTI786365:HTK786371 IDE786365:IDG786371 INA786365:INC786371 IWW786365:IWY786371 JGS786365:JGU786371 JQO786365:JQQ786371 KAK786365:KAM786371 KKG786365:KKI786371 KUC786365:KUE786371 LDY786365:LEA786371 LNU786365:LNW786371 LXQ786365:LXS786371 MHM786365:MHO786371 MRI786365:MRK786371 NBE786365:NBG786371 NLA786365:NLC786371 NUW786365:NUY786371 OES786365:OEU786371 OOO786365:OOQ786371 OYK786365:OYM786371 PIG786365:PII786371 PSC786365:PSE786371 QBY786365:QCA786371 QLU786365:QLW786371 QVQ786365:QVS786371 RFM786365:RFO786371 RPI786365:RPK786371 RZE786365:RZG786371 SJA786365:SJC786371 SSW786365:SSY786371 TCS786365:TCU786371 TMO786365:TMQ786371 TWK786365:TWM786371 UGG786365:UGI786371 UQC786365:UQE786371 UZY786365:VAA786371 VJU786365:VJW786371 VTQ786365:VTS786371 WDM786365:WDO786371 WNI786365:WNK786371 WXE786365:WXG786371 AR851901:AT851907 KS851901:KU851907 UO851901:UQ851907 AEK851901:AEM851907 AOG851901:AOI851907 AYC851901:AYE851907 BHY851901:BIA851907 BRU851901:BRW851907 CBQ851901:CBS851907 CLM851901:CLO851907 CVI851901:CVK851907 DFE851901:DFG851907 DPA851901:DPC851907 DYW851901:DYY851907 EIS851901:EIU851907 ESO851901:ESQ851907 FCK851901:FCM851907 FMG851901:FMI851907 FWC851901:FWE851907 GFY851901:GGA851907 GPU851901:GPW851907 GZQ851901:GZS851907 HJM851901:HJO851907 HTI851901:HTK851907 IDE851901:IDG851907 INA851901:INC851907 IWW851901:IWY851907 JGS851901:JGU851907 JQO851901:JQQ851907 KAK851901:KAM851907 KKG851901:KKI851907 KUC851901:KUE851907 LDY851901:LEA851907 LNU851901:LNW851907 LXQ851901:LXS851907 MHM851901:MHO851907 MRI851901:MRK851907 NBE851901:NBG851907 NLA851901:NLC851907 NUW851901:NUY851907 OES851901:OEU851907 OOO851901:OOQ851907 OYK851901:OYM851907 PIG851901:PII851907 PSC851901:PSE851907 QBY851901:QCA851907 QLU851901:QLW851907 QVQ851901:QVS851907 RFM851901:RFO851907 RPI851901:RPK851907 RZE851901:RZG851907 SJA851901:SJC851907 SSW851901:SSY851907 TCS851901:TCU851907 TMO851901:TMQ851907 TWK851901:TWM851907 UGG851901:UGI851907 UQC851901:UQE851907 UZY851901:VAA851907 VJU851901:VJW851907 VTQ851901:VTS851907 WDM851901:WDO851907 WNI851901:WNK851907 WXE851901:WXG851907 AR917437:AT917443 KS917437:KU917443 UO917437:UQ917443 AEK917437:AEM917443 AOG917437:AOI917443 AYC917437:AYE917443 BHY917437:BIA917443 BRU917437:BRW917443 CBQ917437:CBS917443 CLM917437:CLO917443 CVI917437:CVK917443 DFE917437:DFG917443 DPA917437:DPC917443 DYW917437:DYY917443 EIS917437:EIU917443 ESO917437:ESQ917443 FCK917437:FCM917443 FMG917437:FMI917443 FWC917437:FWE917443 GFY917437:GGA917443 GPU917437:GPW917443 GZQ917437:GZS917443 HJM917437:HJO917443 HTI917437:HTK917443 IDE917437:IDG917443 INA917437:INC917443 IWW917437:IWY917443 JGS917437:JGU917443 JQO917437:JQQ917443 KAK917437:KAM917443 KKG917437:KKI917443 KUC917437:KUE917443 LDY917437:LEA917443 LNU917437:LNW917443 LXQ917437:LXS917443 MHM917437:MHO917443 MRI917437:MRK917443 NBE917437:NBG917443 NLA917437:NLC917443 NUW917437:NUY917443 OES917437:OEU917443 OOO917437:OOQ917443 OYK917437:OYM917443 PIG917437:PII917443 PSC917437:PSE917443 QBY917437:QCA917443 QLU917437:QLW917443 QVQ917437:QVS917443 RFM917437:RFO917443 RPI917437:RPK917443 RZE917437:RZG917443 SJA917437:SJC917443 SSW917437:SSY917443 TCS917437:TCU917443 TMO917437:TMQ917443 TWK917437:TWM917443 UGG917437:UGI917443 UQC917437:UQE917443 UZY917437:VAA917443 VJU917437:VJW917443 VTQ917437:VTS917443 WDM917437:WDO917443 WNI917437:WNK917443 WXE917437:WXG917443 AR982973:AT982979 KS982973:KU982979 UO982973:UQ982979 AEK982973:AEM982979 AOG982973:AOI982979 AYC982973:AYE982979 BHY982973:BIA982979 BRU982973:BRW982979 CBQ982973:CBS982979 CLM982973:CLO982979 CVI982973:CVK982979 DFE982973:DFG982979 DPA982973:DPC982979 DYW982973:DYY982979 EIS982973:EIU982979 ESO982973:ESQ982979 FCK982973:FCM982979 FMG982973:FMI982979 FWC982973:FWE982979 GFY982973:GGA982979 GPU982973:GPW982979 GZQ982973:GZS982979 HJM982973:HJO982979 HTI982973:HTK982979 IDE982973:IDG982979 INA982973:INC982979 IWW982973:IWY982979 JGS982973:JGU982979 JQO982973:JQQ982979 KAK982973:KAM982979 KKG982973:KKI982979 KUC982973:KUE982979 LDY982973:LEA982979 LNU982973:LNW982979 LXQ982973:LXS982979 MHM982973:MHO982979 MRI982973:MRK982979 NBE982973:NBG982979 NLA982973:NLC982979 NUW982973:NUY982979 OES982973:OEU982979 OOO982973:OOQ982979 OYK982973:OYM982979 PIG982973:PII982979 PSC982973:PSE982979 QBY982973:QCA982979 QLU982973:QLW982979 QVQ982973:QVS982979 RFM982973:RFO982979 RPI982973:RPK982979 RZE982973:RZG982979 SJA982973:SJC982979 SSW982973:SSY982979 TCS982973:TCU982979 TMO982973:TMQ982979 TWK982973:TWM982979 UGG982973:UGI982979 UQC982973:UQE982979 UZY982973:VAA982979 VJU982973:VJW982979 VTQ982973:VTS982979 WDM982973:WDO982979 WNI982973:WNK982979 WXE982973:WXG982979 AR65451:AT65452 KS65451:KU65452 UO65451:UQ65452 AEK65451:AEM65452 AOG65451:AOI65452 AYC65451:AYE65452 BHY65451:BIA65452 BRU65451:BRW65452 CBQ65451:CBS65452 CLM65451:CLO65452 CVI65451:CVK65452 DFE65451:DFG65452 DPA65451:DPC65452 DYW65451:DYY65452 EIS65451:EIU65452 ESO65451:ESQ65452 FCK65451:FCM65452 FMG65451:FMI65452 FWC65451:FWE65452 GFY65451:GGA65452 GPU65451:GPW65452 GZQ65451:GZS65452 HJM65451:HJO65452 HTI65451:HTK65452 IDE65451:IDG65452 INA65451:INC65452 IWW65451:IWY65452 JGS65451:JGU65452 JQO65451:JQQ65452 KAK65451:KAM65452 KKG65451:KKI65452 KUC65451:KUE65452 LDY65451:LEA65452 LNU65451:LNW65452 LXQ65451:LXS65452 MHM65451:MHO65452 MRI65451:MRK65452 NBE65451:NBG65452 NLA65451:NLC65452 NUW65451:NUY65452 OES65451:OEU65452 OOO65451:OOQ65452 OYK65451:OYM65452 PIG65451:PII65452 PSC65451:PSE65452 QBY65451:QCA65452 QLU65451:QLW65452 QVQ65451:QVS65452 RFM65451:RFO65452 RPI65451:RPK65452 RZE65451:RZG65452 SJA65451:SJC65452 SSW65451:SSY65452 TCS65451:TCU65452 TMO65451:TMQ65452 TWK65451:TWM65452 UGG65451:UGI65452 UQC65451:UQE65452 UZY65451:VAA65452 VJU65451:VJW65452 VTQ65451:VTS65452 WDM65451:WDO65452 WNI65451:WNK65452 WXE65451:WXG65452 AR130987:AT130988 KS130987:KU130988 UO130987:UQ130988 AEK130987:AEM130988 AOG130987:AOI130988 AYC130987:AYE130988 BHY130987:BIA130988 BRU130987:BRW130988 CBQ130987:CBS130988 CLM130987:CLO130988 CVI130987:CVK130988 DFE130987:DFG130988 DPA130987:DPC130988 DYW130987:DYY130988 EIS130987:EIU130988 ESO130987:ESQ130988 FCK130987:FCM130988 FMG130987:FMI130988 FWC130987:FWE130988 GFY130987:GGA130988 GPU130987:GPW130988 GZQ130987:GZS130988 HJM130987:HJO130988 HTI130987:HTK130988 IDE130987:IDG130988 INA130987:INC130988 IWW130987:IWY130988 JGS130987:JGU130988 JQO130987:JQQ130988 KAK130987:KAM130988 KKG130987:KKI130988 KUC130987:KUE130988 LDY130987:LEA130988 LNU130987:LNW130988 LXQ130987:LXS130988 MHM130987:MHO130988 MRI130987:MRK130988 NBE130987:NBG130988 NLA130987:NLC130988 NUW130987:NUY130988 OES130987:OEU130988 OOO130987:OOQ130988 OYK130987:OYM130988 PIG130987:PII130988 PSC130987:PSE130988 QBY130987:QCA130988 QLU130987:QLW130988 QVQ130987:QVS130988 RFM130987:RFO130988 RPI130987:RPK130988 RZE130987:RZG130988 SJA130987:SJC130988 SSW130987:SSY130988 TCS130987:TCU130988 TMO130987:TMQ130988 TWK130987:TWM130988 UGG130987:UGI130988 UQC130987:UQE130988 UZY130987:VAA130988 VJU130987:VJW130988 VTQ130987:VTS130988 WDM130987:WDO130988 WNI130987:WNK130988 WXE130987:WXG130988 AR196523:AT196524 KS196523:KU196524 UO196523:UQ196524 AEK196523:AEM196524 AOG196523:AOI196524 AYC196523:AYE196524 BHY196523:BIA196524 BRU196523:BRW196524 CBQ196523:CBS196524 CLM196523:CLO196524 CVI196523:CVK196524 DFE196523:DFG196524 DPA196523:DPC196524 DYW196523:DYY196524 EIS196523:EIU196524 ESO196523:ESQ196524 FCK196523:FCM196524 FMG196523:FMI196524 FWC196523:FWE196524 GFY196523:GGA196524 GPU196523:GPW196524 GZQ196523:GZS196524 HJM196523:HJO196524 HTI196523:HTK196524 IDE196523:IDG196524 INA196523:INC196524 IWW196523:IWY196524 JGS196523:JGU196524 JQO196523:JQQ196524 KAK196523:KAM196524 KKG196523:KKI196524 KUC196523:KUE196524 LDY196523:LEA196524 LNU196523:LNW196524 LXQ196523:LXS196524 MHM196523:MHO196524 MRI196523:MRK196524 NBE196523:NBG196524 NLA196523:NLC196524 NUW196523:NUY196524 OES196523:OEU196524 OOO196523:OOQ196524 OYK196523:OYM196524 PIG196523:PII196524 PSC196523:PSE196524 QBY196523:QCA196524 QLU196523:QLW196524 QVQ196523:QVS196524 RFM196523:RFO196524 RPI196523:RPK196524 RZE196523:RZG196524 SJA196523:SJC196524 SSW196523:SSY196524 TCS196523:TCU196524 TMO196523:TMQ196524 TWK196523:TWM196524 UGG196523:UGI196524 UQC196523:UQE196524 UZY196523:VAA196524 VJU196523:VJW196524 VTQ196523:VTS196524 WDM196523:WDO196524 WNI196523:WNK196524 WXE196523:WXG196524 AR262059:AT262060 KS262059:KU262060 UO262059:UQ262060 AEK262059:AEM262060 AOG262059:AOI262060 AYC262059:AYE262060 BHY262059:BIA262060 BRU262059:BRW262060 CBQ262059:CBS262060 CLM262059:CLO262060 CVI262059:CVK262060 DFE262059:DFG262060 DPA262059:DPC262060 DYW262059:DYY262060 EIS262059:EIU262060 ESO262059:ESQ262060 FCK262059:FCM262060 FMG262059:FMI262060 FWC262059:FWE262060 GFY262059:GGA262060 GPU262059:GPW262060 GZQ262059:GZS262060 HJM262059:HJO262060 HTI262059:HTK262060 IDE262059:IDG262060 INA262059:INC262060 IWW262059:IWY262060 JGS262059:JGU262060 JQO262059:JQQ262060 KAK262059:KAM262060 KKG262059:KKI262060 KUC262059:KUE262060 LDY262059:LEA262060 LNU262059:LNW262060 LXQ262059:LXS262060 MHM262059:MHO262060 MRI262059:MRK262060 NBE262059:NBG262060 NLA262059:NLC262060 NUW262059:NUY262060 OES262059:OEU262060 OOO262059:OOQ262060 OYK262059:OYM262060 PIG262059:PII262060 PSC262059:PSE262060 QBY262059:QCA262060 QLU262059:QLW262060 QVQ262059:QVS262060 RFM262059:RFO262060 RPI262059:RPK262060 RZE262059:RZG262060 SJA262059:SJC262060 SSW262059:SSY262060 TCS262059:TCU262060 TMO262059:TMQ262060 TWK262059:TWM262060 UGG262059:UGI262060 UQC262059:UQE262060 UZY262059:VAA262060 VJU262059:VJW262060 VTQ262059:VTS262060 WDM262059:WDO262060 WNI262059:WNK262060 WXE262059:WXG262060 AR327595:AT327596 KS327595:KU327596 UO327595:UQ327596 AEK327595:AEM327596 AOG327595:AOI327596 AYC327595:AYE327596 BHY327595:BIA327596 BRU327595:BRW327596 CBQ327595:CBS327596 CLM327595:CLO327596 CVI327595:CVK327596 DFE327595:DFG327596 DPA327595:DPC327596 DYW327595:DYY327596 EIS327595:EIU327596 ESO327595:ESQ327596 FCK327595:FCM327596 FMG327595:FMI327596 FWC327595:FWE327596 GFY327595:GGA327596 GPU327595:GPW327596 GZQ327595:GZS327596 HJM327595:HJO327596 HTI327595:HTK327596 IDE327595:IDG327596 INA327595:INC327596 IWW327595:IWY327596 JGS327595:JGU327596 JQO327595:JQQ327596 KAK327595:KAM327596 KKG327595:KKI327596 KUC327595:KUE327596 LDY327595:LEA327596 LNU327595:LNW327596 LXQ327595:LXS327596 MHM327595:MHO327596 MRI327595:MRK327596 NBE327595:NBG327596 NLA327595:NLC327596 NUW327595:NUY327596 OES327595:OEU327596 OOO327595:OOQ327596 OYK327595:OYM327596 PIG327595:PII327596 PSC327595:PSE327596 QBY327595:QCA327596 QLU327595:QLW327596 QVQ327595:QVS327596 RFM327595:RFO327596 RPI327595:RPK327596 RZE327595:RZG327596 SJA327595:SJC327596 SSW327595:SSY327596 TCS327595:TCU327596 TMO327595:TMQ327596 TWK327595:TWM327596 UGG327595:UGI327596 UQC327595:UQE327596 UZY327595:VAA327596 VJU327595:VJW327596 VTQ327595:VTS327596 WDM327595:WDO327596 WNI327595:WNK327596 WXE327595:WXG327596 AR393131:AT393132 KS393131:KU393132 UO393131:UQ393132 AEK393131:AEM393132 AOG393131:AOI393132 AYC393131:AYE393132 BHY393131:BIA393132 BRU393131:BRW393132 CBQ393131:CBS393132 CLM393131:CLO393132 CVI393131:CVK393132 DFE393131:DFG393132 DPA393131:DPC393132 DYW393131:DYY393132 EIS393131:EIU393132 ESO393131:ESQ393132 FCK393131:FCM393132 FMG393131:FMI393132 FWC393131:FWE393132 GFY393131:GGA393132 GPU393131:GPW393132 GZQ393131:GZS393132 HJM393131:HJO393132 HTI393131:HTK393132 IDE393131:IDG393132 INA393131:INC393132 IWW393131:IWY393132 JGS393131:JGU393132 JQO393131:JQQ393132 KAK393131:KAM393132 KKG393131:KKI393132 KUC393131:KUE393132 LDY393131:LEA393132 LNU393131:LNW393132 LXQ393131:LXS393132 MHM393131:MHO393132 MRI393131:MRK393132 NBE393131:NBG393132 NLA393131:NLC393132 NUW393131:NUY393132 OES393131:OEU393132 OOO393131:OOQ393132 OYK393131:OYM393132 PIG393131:PII393132 PSC393131:PSE393132 QBY393131:QCA393132 QLU393131:QLW393132 QVQ393131:QVS393132 RFM393131:RFO393132 RPI393131:RPK393132 RZE393131:RZG393132 SJA393131:SJC393132 SSW393131:SSY393132 TCS393131:TCU393132 TMO393131:TMQ393132 TWK393131:TWM393132 UGG393131:UGI393132 UQC393131:UQE393132 UZY393131:VAA393132 VJU393131:VJW393132 VTQ393131:VTS393132 WDM393131:WDO393132 WNI393131:WNK393132 WXE393131:WXG393132 AR458667:AT458668 KS458667:KU458668 UO458667:UQ458668 AEK458667:AEM458668 AOG458667:AOI458668 AYC458667:AYE458668 BHY458667:BIA458668 BRU458667:BRW458668 CBQ458667:CBS458668 CLM458667:CLO458668 CVI458667:CVK458668 DFE458667:DFG458668 DPA458667:DPC458668 DYW458667:DYY458668 EIS458667:EIU458668 ESO458667:ESQ458668 FCK458667:FCM458668 FMG458667:FMI458668 FWC458667:FWE458668 GFY458667:GGA458668 GPU458667:GPW458668 GZQ458667:GZS458668 HJM458667:HJO458668 HTI458667:HTK458668 IDE458667:IDG458668 INA458667:INC458668 IWW458667:IWY458668 JGS458667:JGU458668 JQO458667:JQQ458668 KAK458667:KAM458668 KKG458667:KKI458668 KUC458667:KUE458668 LDY458667:LEA458668 LNU458667:LNW458668 LXQ458667:LXS458668 MHM458667:MHO458668 MRI458667:MRK458668 NBE458667:NBG458668 NLA458667:NLC458668 NUW458667:NUY458668 OES458667:OEU458668 OOO458667:OOQ458668 OYK458667:OYM458668 PIG458667:PII458668 PSC458667:PSE458668 QBY458667:QCA458668 QLU458667:QLW458668 QVQ458667:QVS458668 RFM458667:RFO458668 RPI458667:RPK458668 RZE458667:RZG458668 SJA458667:SJC458668 SSW458667:SSY458668 TCS458667:TCU458668 TMO458667:TMQ458668 TWK458667:TWM458668 UGG458667:UGI458668 UQC458667:UQE458668 UZY458667:VAA458668 VJU458667:VJW458668 VTQ458667:VTS458668 WDM458667:WDO458668 WNI458667:WNK458668 WXE458667:WXG458668 AR524203:AT524204 KS524203:KU524204 UO524203:UQ524204 AEK524203:AEM524204 AOG524203:AOI524204 AYC524203:AYE524204 BHY524203:BIA524204 BRU524203:BRW524204 CBQ524203:CBS524204 CLM524203:CLO524204 CVI524203:CVK524204 DFE524203:DFG524204 DPA524203:DPC524204 DYW524203:DYY524204 EIS524203:EIU524204 ESO524203:ESQ524204 FCK524203:FCM524204 FMG524203:FMI524204 FWC524203:FWE524204 GFY524203:GGA524204 GPU524203:GPW524204 GZQ524203:GZS524204 HJM524203:HJO524204 HTI524203:HTK524204 IDE524203:IDG524204 INA524203:INC524204 IWW524203:IWY524204 JGS524203:JGU524204 JQO524203:JQQ524204 KAK524203:KAM524204 KKG524203:KKI524204 KUC524203:KUE524204 LDY524203:LEA524204 LNU524203:LNW524204 LXQ524203:LXS524204 MHM524203:MHO524204 MRI524203:MRK524204 NBE524203:NBG524204 NLA524203:NLC524204 NUW524203:NUY524204 OES524203:OEU524204 OOO524203:OOQ524204 OYK524203:OYM524204 PIG524203:PII524204 PSC524203:PSE524204 QBY524203:QCA524204 QLU524203:QLW524204 QVQ524203:QVS524204 RFM524203:RFO524204 RPI524203:RPK524204 RZE524203:RZG524204 SJA524203:SJC524204 SSW524203:SSY524204 TCS524203:TCU524204 TMO524203:TMQ524204 TWK524203:TWM524204 UGG524203:UGI524204 UQC524203:UQE524204 UZY524203:VAA524204 VJU524203:VJW524204 VTQ524203:VTS524204 WDM524203:WDO524204 WNI524203:WNK524204 WXE524203:WXG524204 AR589739:AT589740 KS589739:KU589740 UO589739:UQ589740 AEK589739:AEM589740 AOG589739:AOI589740 AYC589739:AYE589740 BHY589739:BIA589740 BRU589739:BRW589740 CBQ589739:CBS589740 CLM589739:CLO589740 CVI589739:CVK589740 DFE589739:DFG589740 DPA589739:DPC589740 DYW589739:DYY589740 EIS589739:EIU589740 ESO589739:ESQ589740 FCK589739:FCM589740 FMG589739:FMI589740 FWC589739:FWE589740 GFY589739:GGA589740 GPU589739:GPW589740 GZQ589739:GZS589740 HJM589739:HJO589740 HTI589739:HTK589740 IDE589739:IDG589740 INA589739:INC589740 IWW589739:IWY589740 JGS589739:JGU589740 JQO589739:JQQ589740 KAK589739:KAM589740 KKG589739:KKI589740 KUC589739:KUE589740 LDY589739:LEA589740 LNU589739:LNW589740 LXQ589739:LXS589740 MHM589739:MHO589740 MRI589739:MRK589740 NBE589739:NBG589740 NLA589739:NLC589740 NUW589739:NUY589740 OES589739:OEU589740 OOO589739:OOQ589740 OYK589739:OYM589740 PIG589739:PII589740 PSC589739:PSE589740 QBY589739:QCA589740 QLU589739:QLW589740 QVQ589739:QVS589740 RFM589739:RFO589740 RPI589739:RPK589740 RZE589739:RZG589740 SJA589739:SJC589740 SSW589739:SSY589740 TCS589739:TCU589740 TMO589739:TMQ589740 TWK589739:TWM589740 UGG589739:UGI589740 UQC589739:UQE589740 UZY589739:VAA589740 VJU589739:VJW589740 VTQ589739:VTS589740 WDM589739:WDO589740 WNI589739:WNK589740 WXE589739:WXG589740 AR655275:AT655276 KS655275:KU655276 UO655275:UQ655276 AEK655275:AEM655276 AOG655275:AOI655276 AYC655275:AYE655276 BHY655275:BIA655276 BRU655275:BRW655276 CBQ655275:CBS655276 CLM655275:CLO655276 CVI655275:CVK655276 DFE655275:DFG655276 DPA655275:DPC655276 DYW655275:DYY655276 EIS655275:EIU655276 ESO655275:ESQ655276 FCK655275:FCM655276 FMG655275:FMI655276 FWC655275:FWE655276 GFY655275:GGA655276 GPU655275:GPW655276 GZQ655275:GZS655276 HJM655275:HJO655276 HTI655275:HTK655276 IDE655275:IDG655276 INA655275:INC655276 IWW655275:IWY655276 JGS655275:JGU655276 JQO655275:JQQ655276 KAK655275:KAM655276 KKG655275:KKI655276 KUC655275:KUE655276 LDY655275:LEA655276 LNU655275:LNW655276 LXQ655275:LXS655276 MHM655275:MHO655276 MRI655275:MRK655276 NBE655275:NBG655276 NLA655275:NLC655276 NUW655275:NUY655276 OES655275:OEU655276 OOO655275:OOQ655276 OYK655275:OYM655276 PIG655275:PII655276 PSC655275:PSE655276 QBY655275:QCA655276 QLU655275:QLW655276 QVQ655275:QVS655276 RFM655275:RFO655276 RPI655275:RPK655276 RZE655275:RZG655276 SJA655275:SJC655276 SSW655275:SSY655276 TCS655275:TCU655276 TMO655275:TMQ655276 TWK655275:TWM655276 UGG655275:UGI655276 UQC655275:UQE655276 UZY655275:VAA655276 VJU655275:VJW655276 VTQ655275:VTS655276 WDM655275:WDO655276 WNI655275:WNK655276 WXE655275:WXG655276 AR720811:AT720812 KS720811:KU720812 UO720811:UQ720812 AEK720811:AEM720812 AOG720811:AOI720812 AYC720811:AYE720812 BHY720811:BIA720812 BRU720811:BRW720812 CBQ720811:CBS720812 CLM720811:CLO720812 CVI720811:CVK720812 DFE720811:DFG720812 DPA720811:DPC720812 DYW720811:DYY720812 EIS720811:EIU720812 ESO720811:ESQ720812 FCK720811:FCM720812 FMG720811:FMI720812 FWC720811:FWE720812 GFY720811:GGA720812 GPU720811:GPW720812 GZQ720811:GZS720812 HJM720811:HJO720812 HTI720811:HTK720812 IDE720811:IDG720812 INA720811:INC720812 IWW720811:IWY720812 JGS720811:JGU720812 JQO720811:JQQ720812 KAK720811:KAM720812 KKG720811:KKI720812 KUC720811:KUE720812 LDY720811:LEA720812 LNU720811:LNW720812 LXQ720811:LXS720812 MHM720811:MHO720812 MRI720811:MRK720812 NBE720811:NBG720812 NLA720811:NLC720812 NUW720811:NUY720812 OES720811:OEU720812 OOO720811:OOQ720812 OYK720811:OYM720812 PIG720811:PII720812 PSC720811:PSE720812 QBY720811:QCA720812 QLU720811:QLW720812 QVQ720811:QVS720812 RFM720811:RFO720812 RPI720811:RPK720812 RZE720811:RZG720812 SJA720811:SJC720812 SSW720811:SSY720812 TCS720811:TCU720812 TMO720811:TMQ720812 TWK720811:TWM720812 UGG720811:UGI720812 UQC720811:UQE720812 UZY720811:VAA720812 VJU720811:VJW720812 VTQ720811:VTS720812 WDM720811:WDO720812 WNI720811:WNK720812 WXE720811:WXG720812 AR786347:AT786348 KS786347:KU786348 UO786347:UQ786348 AEK786347:AEM786348 AOG786347:AOI786348 AYC786347:AYE786348 BHY786347:BIA786348 BRU786347:BRW786348 CBQ786347:CBS786348 CLM786347:CLO786348 CVI786347:CVK786348 DFE786347:DFG786348 DPA786347:DPC786348 DYW786347:DYY786348 EIS786347:EIU786348 ESO786347:ESQ786348 FCK786347:FCM786348 FMG786347:FMI786348 FWC786347:FWE786348 GFY786347:GGA786348 GPU786347:GPW786348 GZQ786347:GZS786348 HJM786347:HJO786348 HTI786347:HTK786348 IDE786347:IDG786348 INA786347:INC786348 IWW786347:IWY786348 JGS786347:JGU786348 JQO786347:JQQ786348 KAK786347:KAM786348 KKG786347:KKI786348 KUC786347:KUE786348 LDY786347:LEA786348 LNU786347:LNW786348 LXQ786347:LXS786348 MHM786347:MHO786348 MRI786347:MRK786348 NBE786347:NBG786348 NLA786347:NLC786348 NUW786347:NUY786348 OES786347:OEU786348 OOO786347:OOQ786348 OYK786347:OYM786348 PIG786347:PII786348 PSC786347:PSE786348 QBY786347:QCA786348 QLU786347:QLW786348 QVQ786347:QVS786348 RFM786347:RFO786348 RPI786347:RPK786348 RZE786347:RZG786348 SJA786347:SJC786348 SSW786347:SSY786348 TCS786347:TCU786348 TMO786347:TMQ786348 TWK786347:TWM786348 UGG786347:UGI786348 UQC786347:UQE786348 UZY786347:VAA786348 VJU786347:VJW786348 VTQ786347:VTS786348 WDM786347:WDO786348 WNI786347:WNK786348 WXE786347:WXG786348 AR851883:AT851884 KS851883:KU851884 UO851883:UQ851884 AEK851883:AEM851884 AOG851883:AOI851884 AYC851883:AYE851884 BHY851883:BIA851884 BRU851883:BRW851884 CBQ851883:CBS851884 CLM851883:CLO851884 CVI851883:CVK851884 DFE851883:DFG851884 DPA851883:DPC851884 DYW851883:DYY851884 EIS851883:EIU851884 ESO851883:ESQ851884 FCK851883:FCM851884 FMG851883:FMI851884 FWC851883:FWE851884 GFY851883:GGA851884 GPU851883:GPW851884 GZQ851883:GZS851884 HJM851883:HJO851884 HTI851883:HTK851884 IDE851883:IDG851884 INA851883:INC851884 IWW851883:IWY851884 JGS851883:JGU851884 JQO851883:JQQ851884 KAK851883:KAM851884 KKG851883:KKI851884 KUC851883:KUE851884 LDY851883:LEA851884 LNU851883:LNW851884 LXQ851883:LXS851884 MHM851883:MHO851884 MRI851883:MRK851884 NBE851883:NBG851884 NLA851883:NLC851884 NUW851883:NUY851884 OES851883:OEU851884 OOO851883:OOQ851884 OYK851883:OYM851884 PIG851883:PII851884 PSC851883:PSE851884 QBY851883:QCA851884 QLU851883:QLW851884 QVQ851883:QVS851884 RFM851883:RFO851884 RPI851883:RPK851884 RZE851883:RZG851884 SJA851883:SJC851884 SSW851883:SSY851884 TCS851883:TCU851884 TMO851883:TMQ851884 TWK851883:TWM851884 UGG851883:UGI851884 UQC851883:UQE851884 UZY851883:VAA851884 VJU851883:VJW851884 VTQ851883:VTS851884 WDM851883:WDO851884 WNI851883:WNK851884 WXE851883:WXG851884 AR917419:AT917420 KS917419:KU917420 UO917419:UQ917420 AEK917419:AEM917420 AOG917419:AOI917420 AYC917419:AYE917420 BHY917419:BIA917420 BRU917419:BRW917420 CBQ917419:CBS917420 CLM917419:CLO917420 CVI917419:CVK917420 DFE917419:DFG917420 DPA917419:DPC917420 DYW917419:DYY917420 EIS917419:EIU917420 ESO917419:ESQ917420 FCK917419:FCM917420 FMG917419:FMI917420 FWC917419:FWE917420 GFY917419:GGA917420 GPU917419:GPW917420 GZQ917419:GZS917420 HJM917419:HJO917420 HTI917419:HTK917420 IDE917419:IDG917420 INA917419:INC917420 IWW917419:IWY917420 JGS917419:JGU917420 JQO917419:JQQ917420 KAK917419:KAM917420 KKG917419:KKI917420 KUC917419:KUE917420 LDY917419:LEA917420 LNU917419:LNW917420 LXQ917419:LXS917420 MHM917419:MHO917420 MRI917419:MRK917420 NBE917419:NBG917420 NLA917419:NLC917420 NUW917419:NUY917420 OES917419:OEU917420 OOO917419:OOQ917420 OYK917419:OYM917420 PIG917419:PII917420 PSC917419:PSE917420 QBY917419:QCA917420 QLU917419:QLW917420 QVQ917419:QVS917420 RFM917419:RFO917420 RPI917419:RPK917420 RZE917419:RZG917420 SJA917419:SJC917420 SSW917419:SSY917420 TCS917419:TCU917420 TMO917419:TMQ917420 TWK917419:TWM917420 UGG917419:UGI917420 UQC917419:UQE917420 UZY917419:VAA917420 VJU917419:VJW917420 VTQ917419:VTS917420 WDM917419:WDO917420 WNI917419:WNK917420 WXE917419:WXG917420 AR982955:AT982956 KS982955:KU982956 UO982955:UQ982956 AEK982955:AEM982956 AOG982955:AOI982956 AYC982955:AYE982956 BHY982955:BIA982956 BRU982955:BRW982956 CBQ982955:CBS982956 CLM982955:CLO982956 CVI982955:CVK982956 DFE982955:DFG982956 DPA982955:DPC982956 DYW982955:DYY982956 EIS982955:EIU982956 ESO982955:ESQ982956 FCK982955:FCM982956 FMG982955:FMI982956 FWC982955:FWE982956 GFY982955:GGA982956 GPU982955:GPW982956 GZQ982955:GZS982956 HJM982955:HJO982956 HTI982955:HTK982956 IDE982955:IDG982956 INA982955:INC982956 IWW982955:IWY982956 JGS982955:JGU982956 JQO982955:JQQ982956 KAK982955:KAM982956 KKG982955:KKI982956 KUC982955:KUE982956 LDY982955:LEA982956 LNU982955:LNW982956 LXQ982955:LXS982956 MHM982955:MHO982956 MRI982955:MRK982956 NBE982955:NBG982956 NLA982955:NLC982956 NUW982955:NUY982956 OES982955:OEU982956 OOO982955:OOQ982956 OYK982955:OYM982956 PIG982955:PII982956 PSC982955:PSE982956 QBY982955:QCA982956 QLU982955:QLW982956 QVQ982955:QVS982956 RFM982955:RFO982956 RPI982955:RPK982956 RZE982955:RZG982956 SJA982955:SJC982956 SSW982955:SSY982956 TCS982955:TCU982956 TMO982955:TMQ982956 TWK982955:TWM982956 UGG982955:UGI982956 UQC982955:UQE982956 UZY982955:VAA982956 VJU982955:VJW982956 VTQ982955:VTS982956 WDM982955:WDO982956 WNI982955:WNK982956 WXE982955:WXG982956 AR65371:AT65420 KS65371:KU65420 UO65371:UQ65420 AEK65371:AEM65420 AOG65371:AOI65420 AYC65371:AYE65420 BHY65371:BIA65420 BRU65371:BRW65420 CBQ65371:CBS65420 CLM65371:CLO65420 CVI65371:CVK65420 DFE65371:DFG65420 DPA65371:DPC65420 DYW65371:DYY65420 EIS65371:EIU65420 ESO65371:ESQ65420 FCK65371:FCM65420 FMG65371:FMI65420 FWC65371:FWE65420 GFY65371:GGA65420 GPU65371:GPW65420 GZQ65371:GZS65420 HJM65371:HJO65420 HTI65371:HTK65420 IDE65371:IDG65420 INA65371:INC65420 IWW65371:IWY65420 JGS65371:JGU65420 JQO65371:JQQ65420 KAK65371:KAM65420 KKG65371:KKI65420 KUC65371:KUE65420 LDY65371:LEA65420 LNU65371:LNW65420 LXQ65371:LXS65420 MHM65371:MHO65420 MRI65371:MRK65420 NBE65371:NBG65420 NLA65371:NLC65420 NUW65371:NUY65420 OES65371:OEU65420 OOO65371:OOQ65420 OYK65371:OYM65420 PIG65371:PII65420 PSC65371:PSE65420 QBY65371:QCA65420 QLU65371:QLW65420 QVQ65371:QVS65420 RFM65371:RFO65420 RPI65371:RPK65420 RZE65371:RZG65420 SJA65371:SJC65420 SSW65371:SSY65420 TCS65371:TCU65420 TMO65371:TMQ65420 TWK65371:TWM65420 UGG65371:UGI65420 UQC65371:UQE65420 UZY65371:VAA65420 VJU65371:VJW65420 VTQ65371:VTS65420 WDM65371:WDO65420 WNI65371:WNK65420 WXE65371:WXG65420 AR130907:AT130956 KS130907:KU130956 UO130907:UQ130956 AEK130907:AEM130956 AOG130907:AOI130956 AYC130907:AYE130956 BHY130907:BIA130956 BRU130907:BRW130956 CBQ130907:CBS130956 CLM130907:CLO130956 CVI130907:CVK130956 DFE130907:DFG130956 DPA130907:DPC130956 DYW130907:DYY130956 EIS130907:EIU130956 ESO130907:ESQ130956 FCK130907:FCM130956 FMG130907:FMI130956 FWC130907:FWE130956 GFY130907:GGA130956 GPU130907:GPW130956 GZQ130907:GZS130956 HJM130907:HJO130956 HTI130907:HTK130956 IDE130907:IDG130956 INA130907:INC130956 IWW130907:IWY130956 JGS130907:JGU130956 JQO130907:JQQ130956 KAK130907:KAM130956 KKG130907:KKI130956 KUC130907:KUE130956 LDY130907:LEA130956 LNU130907:LNW130956 LXQ130907:LXS130956 MHM130907:MHO130956 MRI130907:MRK130956 NBE130907:NBG130956 NLA130907:NLC130956 NUW130907:NUY130956 OES130907:OEU130956 OOO130907:OOQ130956 OYK130907:OYM130956 PIG130907:PII130956 PSC130907:PSE130956 QBY130907:QCA130956 QLU130907:QLW130956 QVQ130907:QVS130956 RFM130907:RFO130956 RPI130907:RPK130956 RZE130907:RZG130956 SJA130907:SJC130956 SSW130907:SSY130956 TCS130907:TCU130956 TMO130907:TMQ130956 TWK130907:TWM130956 UGG130907:UGI130956 UQC130907:UQE130956 UZY130907:VAA130956 VJU130907:VJW130956 VTQ130907:VTS130956 WDM130907:WDO130956 WNI130907:WNK130956 WXE130907:WXG130956 AR196443:AT196492 KS196443:KU196492 UO196443:UQ196492 AEK196443:AEM196492 AOG196443:AOI196492 AYC196443:AYE196492 BHY196443:BIA196492 BRU196443:BRW196492 CBQ196443:CBS196492 CLM196443:CLO196492 CVI196443:CVK196492 DFE196443:DFG196492 DPA196443:DPC196492 DYW196443:DYY196492 EIS196443:EIU196492 ESO196443:ESQ196492 FCK196443:FCM196492 FMG196443:FMI196492 FWC196443:FWE196492 GFY196443:GGA196492 GPU196443:GPW196492 GZQ196443:GZS196492 HJM196443:HJO196492 HTI196443:HTK196492 IDE196443:IDG196492 INA196443:INC196492 IWW196443:IWY196492 JGS196443:JGU196492 JQO196443:JQQ196492 KAK196443:KAM196492 KKG196443:KKI196492 KUC196443:KUE196492 LDY196443:LEA196492 LNU196443:LNW196492 LXQ196443:LXS196492 MHM196443:MHO196492 MRI196443:MRK196492 NBE196443:NBG196492 NLA196443:NLC196492 NUW196443:NUY196492 OES196443:OEU196492 OOO196443:OOQ196492 OYK196443:OYM196492 PIG196443:PII196492 PSC196443:PSE196492 QBY196443:QCA196492 QLU196443:QLW196492 QVQ196443:QVS196492 RFM196443:RFO196492 RPI196443:RPK196492 RZE196443:RZG196492 SJA196443:SJC196492 SSW196443:SSY196492 TCS196443:TCU196492 TMO196443:TMQ196492 TWK196443:TWM196492 UGG196443:UGI196492 UQC196443:UQE196492 UZY196443:VAA196492 VJU196443:VJW196492 VTQ196443:VTS196492 WDM196443:WDO196492 WNI196443:WNK196492 WXE196443:WXG196492 AR261979:AT262028 KS261979:KU262028 UO261979:UQ262028 AEK261979:AEM262028 AOG261979:AOI262028 AYC261979:AYE262028 BHY261979:BIA262028 BRU261979:BRW262028 CBQ261979:CBS262028 CLM261979:CLO262028 CVI261979:CVK262028 DFE261979:DFG262028 DPA261979:DPC262028 DYW261979:DYY262028 EIS261979:EIU262028 ESO261979:ESQ262028 FCK261979:FCM262028 FMG261979:FMI262028 FWC261979:FWE262028 GFY261979:GGA262028 GPU261979:GPW262028 GZQ261979:GZS262028 HJM261979:HJO262028 HTI261979:HTK262028 IDE261979:IDG262028 INA261979:INC262028 IWW261979:IWY262028 JGS261979:JGU262028 JQO261979:JQQ262028 KAK261979:KAM262028 KKG261979:KKI262028 KUC261979:KUE262028 LDY261979:LEA262028 LNU261979:LNW262028 LXQ261979:LXS262028 MHM261979:MHO262028 MRI261979:MRK262028 NBE261979:NBG262028 NLA261979:NLC262028 NUW261979:NUY262028 OES261979:OEU262028 OOO261979:OOQ262028 OYK261979:OYM262028 PIG261979:PII262028 PSC261979:PSE262028 QBY261979:QCA262028 QLU261979:QLW262028 QVQ261979:QVS262028 RFM261979:RFO262028 RPI261979:RPK262028 RZE261979:RZG262028 SJA261979:SJC262028 SSW261979:SSY262028 TCS261979:TCU262028 TMO261979:TMQ262028 TWK261979:TWM262028 UGG261979:UGI262028 UQC261979:UQE262028 UZY261979:VAA262028 VJU261979:VJW262028 VTQ261979:VTS262028 WDM261979:WDO262028 WNI261979:WNK262028 WXE261979:WXG262028 AR327515:AT327564 KS327515:KU327564 UO327515:UQ327564 AEK327515:AEM327564 AOG327515:AOI327564 AYC327515:AYE327564 BHY327515:BIA327564 BRU327515:BRW327564 CBQ327515:CBS327564 CLM327515:CLO327564 CVI327515:CVK327564 DFE327515:DFG327564 DPA327515:DPC327564 DYW327515:DYY327564 EIS327515:EIU327564 ESO327515:ESQ327564 FCK327515:FCM327564 FMG327515:FMI327564 FWC327515:FWE327564 GFY327515:GGA327564 GPU327515:GPW327564 GZQ327515:GZS327564 HJM327515:HJO327564 HTI327515:HTK327564 IDE327515:IDG327564 INA327515:INC327564 IWW327515:IWY327564 JGS327515:JGU327564 JQO327515:JQQ327564 KAK327515:KAM327564 KKG327515:KKI327564 KUC327515:KUE327564 LDY327515:LEA327564 LNU327515:LNW327564 LXQ327515:LXS327564 MHM327515:MHO327564 MRI327515:MRK327564 NBE327515:NBG327564 NLA327515:NLC327564 NUW327515:NUY327564 OES327515:OEU327564 OOO327515:OOQ327564 OYK327515:OYM327564 PIG327515:PII327564 PSC327515:PSE327564 QBY327515:QCA327564 QLU327515:QLW327564 QVQ327515:QVS327564 RFM327515:RFO327564 RPI327515:RPK327564 RZE327515:RZG327564 SJA327515:SJC327564 SSW327515:SSY327564 TCS327515:TCU327564 TMO327515:TMQ327564 TWK327515:TWM327564 UGG327515:UGI327564 UQC327515:UQE327564 UZY327515:VAA327564 VJU327515:VJW327564 VTQ327515:VTS327564 WDM327515:WDO327564 WNI327515:WNK327564 WXE327515:WXG327564 AR393051:AT393100 KS393051:KU393100 UO393051:UQ393100 AEK393051:AEM393100 AOG393051:AOI393100 AYC393051:AYE393100 BHY393051:BIA393100 BRU393051:BRW393100 CBQ393051:CBS393100 CLM393051:CLO393100 CVI393051:CVK393100 DFE393051:DFG393100 DPA393051:DPC393100 DYW393051:DYY393100 EIS393051:EIU393100 ESO393051:ESQ393100 FCK393051:FCM393100 FMG393051:FMI393100 FWC393051:FWE393100 GFY393051:GGA393100 GPU393051:GPW393100 GZQ393051:GZS393100 HJM393051:HJO393100 HTI393051:HTK393100 IDE393051:IDG393100 INA393051:INC393100 IWW393051:IWY393100 JGS393051:JGU393100 JQO393051:JQQ393100 KAK393051:KAM393100 KKG393051:KKI393100 KUC393051:KUE393100 LDY393051:LEA393100 LNU393051:LNW393100 LXQ393051:LXS393100 MHM393051:MHO393100 MRI393051:MRK393100 NBE393051:NBG393100 NLA393051:NLC393100 NUW393051:NUY393100 OES393051:OEU393100 OOO393051:OOQ393100 OYK393051:OYM393100 PIG393051:PII393100 PSC393051:PSE393100 QBY393051:QCA393100 QLU393051:QLW393100 QVQ393051:QVS393100 RFM393051:RFO393100 RPI393051:RPK393100 RZE393051:RZG393100 SJA393051:SJC393100 SSW393051:SSY393100 TCS393051:TCU393100 TMO393051:TMQ393100 TWK393051:TWM393100 UGG393051:UGI393100 UQC393051:UQE393100 UZY393051:VAA393100 VJU393051:VJW393100 VTQ393051:VTS393100 WDM393051:WDO393100 WNI393051:WNK393100 WXE393051:WXG393100 AR458587:AT458636 KS458587:KU458636 UO458587:UQ458636 AEK458587:AEM458636 AOG458587:AOI458636 AYC458587:AYE458636 BHY458587:BIA458636 BRU458587:BRW458636 CBQ458587:CBS458636 CLM458587:CLO458636 CVI458587:CVK458636 DFE458587:DFG458636 DPA458587:DPC458636 DYW458587:DYY458636 EIS458587:EIU458636 ESO458587:ESQ458636 FCK458587:FCM458636 FMG458587:FMI458636 FWC458587:FWE458636 GFY458587:GGA458636 GPU458587:GPW458636 GZQ458587:GZS458636 HJM458587:HJO458636 HTI458587:HTK458636 IDE458587:IDG458636 INA458587:INC458636 IWW458587:IWY458636 JGS458587:JGU458636 JQO458587:JQQ458636 KAK458587:KAM458636 KKG458587:KKI458636 KUC458587:KUE458636 LDY458587:LEA458636 LNU458587:LNW458636 LXQ458587:LXS458636 MHM458587:MHO458636 MRI458587:MRK458636 NBE458587:NBG458636 NLA458587:NLC458636 NUW458587:NUY458636 OES458587:OEU458636 OOO458587:OOQ458636 OYK458587:OYM458636 PIG458587:PII458636 PSC458587:PSE458636 QBY458587:QCA458636 QLU458587:QLW458636 QVQ458587:QVS458636 RFM458587:RFO458636 RPI458587:RPK458636 RZE458587:RZG458636 SJA458587:SJC458636 SSW458587:SSY458636 TCS458587:TCU458636 TMO458587:TMQ458636 TWK458587:TWM458636 UGG458587:UGI458636 UQC458587:UQE458636 UZY458587:VAA458636 VJU458587:VJW458636 VTQ458587:VTS458636 WDM458587:WDO458636 WNI458587:WNK458636 WXE458587:WXG458636 AR524123:AT524172 KS524123:KU524172 UO524123:UQ524172 AEK524123:AEM524172 AOG524123:AOI524172 AYC524123:AYE524172 BHY524123:BIA524172 BRU524123:BRW524172 CBQ524123:CBS524172 CLM524123:CLO524172 CVI524123:CVK524172 DFE524123:DFG524172 DPA524123:DPC524172 DYW524123:DYY524172 EIS524123:EIU524172 ESO524123:ESQ524172 FCK524123:FCM524172 FMG524123:FMI524172 FWC524123:FWE524172 GFY524123:GGA524172 GPU524123:GPW524172 GZQ524123:GZS524172 HJM524123:HJO524172 HTI524123:HTK524172 IDE524123:IDG524172 INA524123:INC524172 IWW524123:IWY524172 JGS524123:JGU524172 JQO524123:JQQ524172 KAK524123:KAM524172 KKG524123:KKI524172 KUC524123:KUE524172 LDY524123:LEA524172 LNU524123:LNW524172 LXQ524123:LXS524172 MHM524123:MHO524172 MRI524123:MRK524172 NBE524123:NBG524172 NLA524123:NLC524172 NUW524123:NUY524172 OES524123:OEU524172 OOO524123:OOQ524172 OYK524123:OYM524172 PIG524123:PII524172 PSC524123:PSE524172 QBY524123:QCA524172 QLU524123:QLW524172 QVQ524123:QVS524172 RFM524123:RFO524172 RPI524123:RPK524172 RZE524123:RZG524172 SJA524123:SJC524172 SSW524123:SSY524172 TCS524123:TCU524172 TMO524123:TMQ524172 TWK524123:TWM524172 UGG524123:UGI524172 UQC524123:UQE524172 UZY524123:VAA524172 VJU524123:VJW524172 VTQ524123:VTS524172 WDM524123:WDO524172 WNI524123:WNK524172 WXE524123:WXG524172 AR589659:AT589708 KS589659:KU589708 UO589659:UQ589708 AEK589659:AEM589708 AOG589659:AOI589708 AYC589659:AYE589708 BHY589659:BIA589708 BRU589659:BRW589708 CBQ589659:CBS589708 CLM589659:CLO589708 CVI589659:CVK589708 DFE589659:DFG589708 DPA589659:DPC589708 DYW589659:DYY589708 EIS589659:EIU589708 ESO589659:ESQ589708 FCK589659:FCM589708 FMG589659:FMI589708 FWC589659:FWE589708 GFY589659:GGA589708 GPU589659:GPW589708 GZQ589659:GZS589708 HJM589659:HJO589708 HTI589659:HTK589708 IDE589659:IDG589708 INA589659:INC589708 IWW589659:IWY589708 JGS589659:JGU589708 JQO589659:JQQ589708 KAK589659:KAM589708 KKG589659:KKI589708 KUC589659:KUE589708 LDY589659:LEA589708 LNU589659:LNW589708 LXQ589659:LXS589708 MHM589659:MHO589708 MRI589659:MRK589708 NBE589659:NBG589708 NLA589659:NLC589708 NUW589659:NUY589708 OES589659:OEU589708 OOO589659:OOQ589708 OYK589659:OYM589708 PIG589659:PII589708 PSC589659:PSE589708 QBY589659:QCA589708 QLU589659:QLW589708 QVQ589659:QVS589708 RFM589659:RFO589708 RPI589659:RPK589708 RZE589659:RZG589708 SJA589659:SJC589708 SSW589659:SSY589708 TCS589659:TCU589708 TMO589659:TMQ589708 TWK589659:TWM589708 UGG589659:UGI589708 UQC589659:UQE589708 UZY589659:VAA589708 VJU589659:VJW589708 VTQ589659:VTS589708 WDM589659:WDO589708 WNI589659:WNK589708 WXE589659:WXG589708 AR655195:AT655244 KS655195:KU655244 UO655195:UQ655244 AEK655195:AEM655244 AOG655195:AOI655244 AYC655195:AYE655244 BHY655195:BIA655244 BRU655195:BRW655244 CBQ655195:CBS655244 CLM655195:CLO655244 CVI655195:CVK655244 DFE655195:DFG655244 DPA655195:DPC655244 DYW655195:DYY655244 EIS655195:EIU655244 ESO655195:ESQ655244 FCK655195:FCM655244 FMG655195:FMI655244 FWC655195:FWE655244 GFY655195:GGA655244 GPU655195:GPW655244 GZQ655195:GZS655244 HJM655195:HJO655244 HTI655195:HTK655244 IDE655195:IDG655244 INA655195:INC655244 IWW655195:IWY655244 JGS655195:JGU655244 JQO655195:JQQ655244 KAK655195:KAM655244 KKG655195:KKI655244 KUC655195:KUE655244 LDY655195:LEA655244 LNU655195:LNW655244 LXQ655195:LXS655244 MHM655195:MHO655244 MRI655195:MRK655244 NBE655195:NBG655244 NLA655195:NLC655244 NUW655195:NUY655244 OES655195:OEU655244 OOO655195:OOQ655244 OYK655195:OYM655244 PIG655195:PII655244 PSC655195:PSE655244 QBY655195:QCA655244 QLU655195:QLW655244 QVQ655195:QVS655244 RFM655195:RFO655244 RPI655195:RPK655244 RZE655195:RZG655244 SJA655195:SJC655244 SSW655195:SSY655244 TCS655195:TCU655244 TMO655195:TMQ655244 TWK655195:TWM655244 UGG655195:UGI655244 UQC655195:UQE655244 UZY655195:VAA655244 VJU655195:VJW655244 VTQ655195:VTS655244 WDM655195:WDO655244 WNI655195:WNK655244 WXE655195:WXG655244 AR720731:AT720780 KS720731:KU720780 UO720731:UQ720780 AEK720731:AEM720780 AOG720731:AOI720780 AYC720731:AYE720780 BHY720731:BIA720780 BRU720731:BRW720780 CBQ720731:CBS720780 CLM720731:CLO720780 CVI720731:CVK720780 DFE720731:DFG720780 DPA720731:DPC720780 DYW720731:DYY720780 EIS720731:EIU720780 ESO720731:ESQ720780 FCK720731:FCM720780 FMG720731:FMI720780 FWC720731:FWE720780 GFY720731:GGA720780 GPU720731:GPW720780 GZQ720731:GZS720780 HJM720731:HJO720780 HTI720731:HTK720780 IDE720731:IDG720780 INA720731:INC720780 IWW720731:IWY720780 JGS720731:JGU720780 JQO720731:JQQ720780 KAK720731:KAM720780 KKG720731:KKI720780 KUC720731:KUE720780 LDY720731:LEA720780 LNU720731:LNW720780 LXQ720731:LXS720780 MHM720731:MHO720780 MRI720731:MRK720780 NBE720731:NBG720780 NLA720731:NLC720780 NUW720731:NUY720780 OES720731:OEU720780 OOO720731:OOQ720780 OYK720731:OYM720780 PIG720731:PII720780 PSC720731:PSE720780 QBY720731:QCA720780 QLU720731:QLW720780 QVQ720731:QVS720780 RFM720731:RFO720780 RPI720731:RPK720780 RZE720731:RZG720780 SJA720731:SJC720780 SSW720731:SSY720780 TCS720731:TCU720780 TMO720731:TMQ720780 TWK720731:TWM720780 UGG720731:UGI720780 UQC720731:UQE720780 UZY720731:VAA720780 VJU720731:VJW720780 VTQ720731:VTS720780 WDM720731:WDO720780 WNI720731:WNK720780 WXE720731:WXG720780 AR786267:AT786316 KS786267:KU786316 UO786267:UQ786316 AEK786267:AEM786316 AOG786267:AOI786316 AYC786267:AYE786316 BHY786267:BIA786316 BRU786267:BRW786316 CBQ786267:CBS786316 CLM786267:CLO786316 CVI786267:CVK786316 DFE786267:DFG786316 DPA786267:DPC786316 DYW786267:DYY786316 EIS786267:EIU786316 ESO786267:ESQ786316 FCK786267:FCM786316 FMG786267:FMI786316 FWC786267:FWE786316 GFY786267:GGA786316 GPU786267:GPW786316 GZQ786267:GZS786316 HJM786267:HJO786316 HTI786267:HTK786316 IDE786267:IDG786316 INA786267:INC786316 IWW786267:IWY786316 JGS786267:JGU786316 JQO786267:JQQ786316 KAK786267:KAM786316 KKG786267:KKI786316 KUC786267:KUE786316 LDY786267:LEA786316 LNU786267:LNW786316 LXQ786267:LXS786316 MHM786267:MHO786316 MRI786267:MRK786316 NBE786267:NBG786316 NLA786267:NLC786316 NUW786267:NUY786316 OES786267:OEU786316 OOO786267:OOQ786316 OYK786267:OYM786316 PIG786267:PII786316 PSC786267:PSE786316 QBY786267:QCA786316 QLU786267:QLW786316 QVQ786267:QVS786316 RFM786267:RFO786316 RPI786267:RPK786316 RZE786267:RZG786316 SJA786267:SJC786316 SSW786267:SSY786316 TCS786267:TCU786316 TMO786267:TMQ786316 TWK786267:TWM786316 UGG786267:UGI786316 UQC786267:UQE786316 UZY786267:VAA786316 VJU786267:VJW786316 VTQ786267:VTS786316 WDM786267:WDO786316 WNI786267:WNK786316 WXE786267:WXG786316 AR851803:AT851852 KS851803:KU851852 UO851803:UQ851852 AEK851803:AEM851852 AOG851803:AOI851852 AYC851803:AYE851852 BHY851803:BIA851852 BRU851803:BRW851852 CBQ851803:CBS851852 CLM851803:CLO851852 CVI851803:CVK851852 DFE851803:DFG851852 DPA851803:DPC851852 DYW851803:DYY851852 EIS851803:EIU851852 ESO851803:ESQ851852 FCK851803:FCM851852 FMG851803:FMI851852 FWC851803:FWE851852 GFY851803:GGA851852 GPU851803:GPW851852 GZQ851803:GZS851852 HJM851803:HJO851852 HTI851803:HTK851852 IDE851803:IDG851852 INA851803:INC851852 IWW851803:IWY851852 JGS851803:JGU851852 JQO851803:JQQ851852 KAK851803:KAM851852 KKG851803:KKI851852 KUC851803:KUE851852 LDY851803:LEA851852 LNU851803:LNW851852 LXQ851803:LXS851852 MHM851803:MHO851852 MRI851803:MRK851852 NBE851803:NBG851852 NLA851803:NLC851852 NUW851803:NUY851852 OES851803:OEU851852 OOO851803:OOQ851852 OYK851803:OYM851852 PIG851803:PII851852 PSC851803:PSE851852 QBY851803:QCA851852 QLU851803:QLW851852 QVQ851803:QVS851852 RFM851803:RFO851852 RPI851803:RPK851852 RZE851803:RZG851852 SJA851803:SJC851852 SSW851803:SSY851852 TCS851803:TCU851852 TMO851803:TMQ851852 TWK851803:TWM851852 UGG851803:UGI851852 UQC851803:UQE851852 UZY851803:VAA851852 VJU851803:VJW851852 VTQ851803:VTS851852 WDM851803:WDO851852 WNI851803:WNK851852 WXE851803:WXG851852 AR917339:AT917388 KS917339:KU917388 UO917339:UQ917388 AEK917339:AEM917388 AOG917339:AOI917388 AYC917339:AYE917388 BHY917339:BIA917388 BRU917339:BRW917388 CBQ917339:CBS917388 CLM917339:CLO917388 CVI917339:CVK917388 DFE917339:DFG917388 DPA917339:DPC917388 DYW917339:DYY917388 EIS917339:EIU917388 ESO917339:ESQ917388 FCK917339:FCM917388 FMG917339:FMI917388 FWC917339:FWE917388 GFY917339:GGA917388 GPU917339:GPW917388 GZQ917339:GZS917388 HJM917339:HJO917388 HTI917339:HTK917388 IDE917339:IDG917388 INA917339:INC917388 IWW917339:IWY917388 JGS917339:JGU917388 JQO917339:JQQ917388 KAK917339:KAM917388 KKG917339:KKI917388 KUC917339:KUE917388 LDY917339:LEA917388 LNU917339:LNW917388 LXQ917339:LXS917388 MHM917339:MHO917388 MRI917339:MRK917388 NBE917339:NBG917388 NLA917339:NLC917388 NUW917339:NUY917388 OES917339:OEU917388 OOO917339:OOQ917388 OYK917339:OYM917388 PIG917339:PII917388 PSC917339:PSE917388 QBY917339:QCA917388 QLU917339:QLW917388 QVQ917339:QVS917388 RFM917339:RFO917388 RPI917339:RPK917388 RZE917339:RZG917388 SJA917339:SJC917388 SSW917339:SSY917388 TCS917339:TCU917388 TMO917339:TMQ917388 TWK917339:TWM917388 UGG917339:UGI917388 UQC917339:UQE917388 UZY917339:VAA917388 VJU917339:VJW917388 VTQ917339:VTS917388 WDM917339:WDO917388 WNI917339:WNK917388 WXE917339:WXG917388 AR982875:AT982924 KS982875:KU982924 UO982875:UQ982924 AEK982875:AEM982924 AOG982875:AOI982924 AYC982875:AYE982924 BHY982875:BIA982924 BRU982875:BRW982924 CBQ982875:CBS982924 CLM982875:CLO982924 CVI982875:CVK982924 DFE982875:DFG982924 DPA982875:DPC982924 DYW982875:DYY982924 EIS982875:EIU982924 ESO982875:ESQ982924 FCK982875:FCM982924 FMG982875:FMI982924 FWC982875:FWE982924 GFY982875:GGA982924 GPU982875:GPW982924 GZQ982875:GZS982924 HJM982875:HJO982924 HTI982875:HTK982924 IDE982875:IDG982924 INA982875:INC982924 IWW982875:IWY982924 JGS982875:JGU982924 JQO982875:JQQ982924 KAK982875:KAM982924 KKG982875:KKI982924 KUC982875:KUE982924 LDY982875:LEA982924 LNU982875:LNW982924 LXQ982875:LXS982924 MHM982875:MHO982924 MRI982875:MRK982924 NBE982875:NBG982924 NLA982875:NLC982924 NUW982875:NUY982924 OES982875:OEU982924 OOO982875:OOQ982924 OYK982875:OYM982924 PIG982875:PII982924 PSC982875:PSE982924 QBY982875:QCA982924 QLU982875:QLW982924 QVQ982875:QVS982924 RFM982875:RFO982924 RPI982875:RPK982924 RZE982875:RZG982924 SJA982875:SJC982924 SSW982875:SSY982924 TCS982875:TCU982924 TMO982875:TMQ982924 TWK982875:TWM982924 UGG982875:UGI982924 UQC982875:UQE982924 UZY982875:VAA982924 VJU982875:VJW982924 VTQ982875:VTS982924 WDM982875:WDO982924 WNI982875:WNK982924 WXE982875:WXG982924 WXE7:WXG7 WNI7:WNK7 WDM7:WDO7 VTQ7:VTS7 VJU7:VJW7 UZY7:VAA7 UQC7:UQE7 UGG7:UGI7 TWK7:TWM7 TMO7:TMQ7 TCS7:TCU7 SSW7:SSY7 SJA7:SJC7 RZE7:RZG7 RPI7:RPK7 RFM7:RFO7 QVQ7:QVS7 QLU7:QLW7 QBY7:QCA7 PSC7:PSE7 PIG7:PII7 OYK7:OYM7 OOO7:OOQ7 OES7:OEU7 NUW7:NUY7 NLA7:NLC7 NBE7:NBG7 MRI7:MRK7 MHM7:MHO7 LXQ7:LXS7 LNU7:LNW7 LDY7:LEA7 KUC7:KUE7 KKG7:KKI7 KAK7:KAM7 JQO7:JQQ7 JGS7:JGU7 IWW7:IWY7 INA7:INC7 IDE7:IDG7 HTI7:HTK7 HJM7:HJO7 GZQ7:GZS7 GPU7:GPW7 GFY7:GGA7 FWC7:FWE7 FMG7:FMI7 FCK7:FCM7 ESO7:ESQ7 EIS7:EIU7 DYW7:DYY7 DPA7:DPC7 DFE7:DFG7 CVI7:CVK7 CLM7:CLO7 CBQ7:CBS7 BRU7:BRW7 BHY7:BIA7 AYC7:AYE7 AOG7:AOI7 AEK7:AEM7 UO7:UQ7 KS7:KU7">
      <formula1>0</formula1>
      <formula2>10000000000000</formula2>
    </dataValidation>
    <dataValidation type="whole" allowBlank="1" showInputMessage="1" showErrorMessage="1" sqref="KD65269:KF65475 TZ65269:UB65475 ADV65269:ADX65475 ANR65269:ANT65475 AXN65269:AXP65475 BHJ65269:BHL65475 BRF65269:BRH65475 CBB65269:CBD65475 CKX65269:CKZ65475 CUT65269:CUV65475 DEP65269:DER65475 DOL65269:DON65475 DYH65269:DYJ65475 EID65269:EIF65475 ERZ65269:ESB65475 FBV65269:FBX65475 FLR65269:FLT65475 FVN65269:FVP65475 GFJ65269:GFL65475 GPF65269:GPH65475 GZB65269:GZD65475 HIX65269:HIZ65475 HST65269:HSV65475 ICP65269:ICR65475 IML65269:IMN65475 IWH65269:IWJ65475 JGD65269:JGF65475 JPZ65269:JQB65475 JZV65269:JZX65475 KJR65269:KJT65475 KTN65269:KTP65475 LDJ65269:LDL65475 LNF65269:LNH65475 LXB65269:LXD65475 MGX65269:MGZ65475 MQT65269:MQV65475 NAP65269:NAR65475 NKL65269:NKN65475 NUH65269:NUJ65475 OED65269:OEF65475 ONZ65269:OOB65475 OXV65269:OXX65475 PHR65269:PHT65475 PRN65269:PRP65475 QBJ65269:QBL65475 QLF65269:QLH65475 QVB65269:QVD65475 REX65269:REZ65475 ROT65269:ROV65475 RYP65269:RYR65475 SIL65269:SIN65475 SSH65269:SSJ65475 TCD65269:TCF65475 TLZ65269:TMB65475 TVV65269:TVX65475 UFR65269:UFT65475 UPN65269:UPP65475 UZJ65269:UZL65475 VJF65269:VJH65475 VTB65269:VTD65475 WCX65269:WCZ65475 WMT65269:WMV65475 WWP65269:WWR65475 KD130805:KF131011 TZ130805:UB131011 ADV130805:ADX131011 ANR130805:ANT131011 AXN130805:AXP131011 BHJ130805:BHL131011 BRF130805:BRH131011 CBB130805:CBD131011 CKX130805:CKZ131011 CUT130805:CUV131011 DEP130805:DER131011 DOL130805:DON131011 DYH130805:DYJ131011 EID130805:EIF131011 ERZ130805:ESB131011 FBV130805:FBX131011 FLR130805:FLT131011 FVN130805:FVP131011 GFJ130805:GFL131011 GPF130805:GPH131011 GZB130805:GZD131011 HIX130805:HIZ131011 HST130805:HSV131011 ICP130805:ICR131011 IML130805:IMN131011 IWH130805:IWJ131011 JGD130805:JGF131011 JPZ130805:JQB131011 JZV130805:JZX131011 KJR130805:KJT131011 KTN130805:KTP131011 LDJ130805:LDL131011 LNF130805:LNH131011 LXB130805:LXD131011 MGX130805:MGZ131011 MQT130805:MQV131011 NAP130805:NAR131011 NKL130805:NKN131011 NUH130805:NUJ131011 OED130805:OEF131011 ONZ130805:OOB131011 OXV130805:OXX131011 PHR130805:PHT131011 PRN130805:PRP131011 QBJ130805:QBL131011 QLF130805:QLH131011 QVB130805:QVD131011 REX130805:REZ131011 ROT130805:ROV131011 RYP130805:RYR131011 SIL130805:SIN131011 SSH130805:SSJ131011 TCD130805:TCF131011 TLZ130805:TMB131011 TVV130805:TVX131011 UFR130805:UFT131011 UPN130805:UPP131011 UZJ130805:UZL131011 VJF130805:VJH131011 VTB130805:VTD131011 WCX130805:WCZ131011 WMT130805:WMV131011 WWP130805:WWR131011 KD196341:KF196547 TZ196341:UB196547 ADV196341:ADX196547 ANR196341:ANT196547 AXN196341:AXP196547 BHJ196341:BHL196547 BRF196341:BRH196547 CBB196341:CBD196547 CKX196341:CKZ196547 CUT196341:CUV196547 DEP196341:DER196547 DOL196341:DON196547 DYH196341:DYJ196547 EID196341:EIF196547 ERZ196341:ESB196547 FBV196341:FBX196547 FLR196341:FLT196547 FVN196341:FVP196547 GFJ196341:GFL196547 GPF196341:GPH196547 GZB196341:GZD196547 HIX196341:HIZ196547 HST196341:HSV196547 ICP196341:ICR196547 IML196341:IMN196547 IWH196341:IWJ196547 JGD196341:JGF196547 JPZ196341:JQB196547 JZV196341:JZX196547 KJR196341:KJT196547 KTN196341:KTP196547 LDJ196341:LDL196547 LNF196341:LNH196547 LXB196341:LXD196547 MGX196341:MGZ196547 MQT196341:MQV196547 NAP196341:NAR196547 NKL196341:NKN196547 NUH196341:NUJ196547 OED196341:OEF196547 ONZ196341:OOB196547 OXV196341:OXX196547 PHR196341:PHT196547 PRN196341:PRP196547 QBJ196341:QBL196547 QLF196341:QLH196547 QVB196341:QVD196547 REX196341:REZ196547 ROT196341:ROV196547 RYP196341:RYR196547 SIL196341:SIN196547 SSH196341:SSJ196547 TCD196341:TCF196547 TLZ196341:TMB196547 TVV196341:TVX196547 UFR196341:UFT196547 UPN196341:UPP196547 UZJ196341:UZL196547 VJF196341:VJH196547 VTB196341:VTD196547 WCX196341:WCZ196547 WMT196341:WMV196547 WWP196341:WWR196547 KD261877:KF262083 TZ261877:UB262083 ADV261877:ADX262083 ANR261877:ANT262083 AXN261877:AXP262083 BHJ261877:BHL262083 BRF261877:BRH262083 CBB261877:CBD262083 CKX261877:CKZ262083 CUT261877:CUV262083 DEP261877:DER262083 DOL261877:DON262083 DYH261877:DYJ262083 EID261877:EIF262083 ERZ261877:ESB262083 FBV261877:FBX262083 FLR261877:FLT262083 FVN261877:FVP262083 GFJ261877:GFL262083 GPF261877:GPH262083 GZB261877:GZD262083 HIX261877:HIZ262083 HST261877:HSV262083 ICP261877:ICR262083 IML261877:IMN262083 IWH261877:IWJ262083 JGD261877:JGF262083 JPZ261877:JQB262083 JZV261877:JZX262083 KJR261877:KJT262083 KTN261877:KTP262083 LDJ261877:LDL262083 LNF261877:LNH262083 LXB261877:LXD262083 MGX261877:MGZ262083 MQT261877:MQV262083 NAP261877:NAR262083 NKL261877:NKN262083 NUH261877:NUJ262083 OED261877:OEF262083 ONZ261877:OOB262083 OXV261877:OXX262083 PHR261877:PHT262083 PRN261877:PRP262083 QBJ261877:QBL262083 QLF261877:QLH262083 QVB261877:QVD262083 REX261877:REZ262083 ROT261877:ROV262083 RYP261877:RYR262083 SIL261877:SIN262083 SSH261877:SSJ262083 TCD261877:TCF262083 TLZ261877:TMB262083 TVV261877:TVX262083 UFR261877:UFT262083 UPN261877:UPP262083 UZJ261877:UZL262083 VJF261877:VJH262083 VTB261877:VTD262083 WCX261877:WCZ262083 WMT261877:WMV262083 WWP261877:WWR262083 KD327413:KF327619 TZ327413:UB327619 ADV327413:ADX327619 ANR327413:ANT327619 AXN327413:AXP327619 BHJ327413:BHL327619 BRF327413:BRH327619 CBB327413:CBD327619 CKX327413:CKZ327619 CUT327413:CUV327619 DEP327413:DER327619 DOL327413:DON327619 DYH327413:DYJ327619 EID327413:EIF327619 ERZ327413:ESB327619 FBV327413:FBX327619 FLR327413:FLT327619 FVN327413:FVP327619 GFJ327413:GFL327619 GPF327413:GPH327619 GZB327413:GZD327619 HIX327413:HIZ327619 HST327413:HSV327619 ICP327413:ICR327619 IML327413:IMN327619 IWH327413:IWJ327619 JGD327413:JGF327619 JPZ327413:JQB327619 JZV327413:JZX327619 KJR327413:KJT327619 KTN327413:KTP327619 LDJ327413:LDL327619 LNF327413:LNH327619 LXB327413:LXD327619 MGX327413:MGZ327619 MQT327413:MQV327619 NAP327413:NAR327619 NKL327413:NKN327619 NUH327413:NUJ327619 OED327413:OEF327619 ONZ327413:OOB327619 OXV327413:OXX327619 PHR327413:PHT327619 PRN327413:PRP327619 QBJ327413:QBL327619 QLF327413:QLH327619 QVB327413:QVD327619 REX327413:REZ327619 ROT327413:ROV327619 RYP327413:RYR327619 SIL327413:SIN327619 SSH327413:SSJ327619 TCD327413:TCF327619 TLZ327413:TMB327619 TVV327413:TVX327619 UFR327413:UFT327619 UPN327413:UPP327619 UZJ327413:UZL327619 VJF327413:VJH327619 VTB327413:VTD327619 WCX327413:WCZ327619 WMT327413:WMV327619 WWP327413:WWR327619 KD392949:KF393155 TZ392949:UB393155 ADV392949:ADX393155 ANR392949:ANT393155 AXN392949:AXP393155 BHJ392949:BHL393155 BRF392949:BRH393155 CBB392949:CBD393155 CKX392949:CKZ393155 CUT392949:CUV393155 DEP392949:DER393155 DOL392949:DON393155 DYH392949:DYJ393155 EID392949:EIF393155 ERZ392949:ESB393155 FBV392949:FBX393155 FLR392949:FLT393155 FVN392949:FVP393155 GFJ392949:GFL393155 GPF392949:GPH393155 GZB392949:GZD393155 HIX392949:HIZ393155 HST392949:HSV393155 ICP392949:ICR393155 IML392949:IMN393155 IWH392949:IWJ393155 JGD392949:JGF393155 JPZ392949:JQB393155 JZV392949:JZX393155 KJR392949:KJT393155 KTN392949:KTP393155 LDJ392949:LDL393155 LNF392949:LNH393155 LXB392949:LXD393155 MGX392949:MGZ393155 MQT392949:MQV393155 NAP392949:NAR393155 NKL392949:NKN393155 NUH392949:NUJ393155 OED392949:OEF393155 ONZ392949:OOB393155 OXV392949:OXX393155 PHR392949:PHT393155 PRN392949:PRP393155 QBJ392949:QBL393155 QLF392949:QLH393155 QVB392949:QVD393155 REX392949:REZ393155 ROT392949:ROV393155 RYP392949:RYR393155 SIL392949:SIN393155 SSH392949:SSJ393155 TCD392949:TCF393155 TLZ392949:TMB393155 TVV392949:TVX393155 UFR392949:UFT393155 UPN392949:UPP393155 UZJ392949:UZL393155 VJF392949:VJH393155 VTB392949:VTD393155 WCX392949:WCZ393155 WMT392949:WMV393155 WWP392949:WWR393155 KD458485:KF458691 TZ458485:UB458691 ADV458485:ADX458691 ANR458485:ANT458691 AXN458485:AXP458691 BHJ458485:BHL458691 BRF458485:BRH458691 CBB458485:CBD458691 CKX458485:CKZ458691 CUT458485:CUV458691 DEP458485:DER458691 DOL458485:DON458691 DYH458485:DYJ458691 EID458485:EIF458691 ERZ458485:ESB458691 FBV458485:FBX458691 FLR458485:FLT458691 FVN458485:FVP458691 GFJ458485:GFL458691 GPF458485:GPH458691 GZB458485:GZD458691 HIX458485:HIZ458691 HST458485:HSV458691 ICP458485:ICR458691 IML458485:IMN458691 IWH458485:IWJ458691 JGD458485:JGF458691 JPZ458485:JQB458691 JZV458485:JZX458691 KJR458485:KJT458691 KTN458485:KTP458691 LDJ458485:LDL458691 LNF458485:LNH458691 LXB458485:LXD458691 MGX458485:MGZ458691 MQT458485:MQV458691 NAP458485:NAR458691 NKL458485:NKN458691 NUH458485:NUJ458691 OED458485:OEF458691 ONZ458485:OOB458691 OXV458485:OXX458691 PHR458485:PHT458691 PRN458485:PRP458691 QBJ458485:QBL458691 QLF458485:QLH458691 QVB458485:QVD458691 REX458485:REZ458691 ROT458485:ROV458691 RYP458485:RYR458691 SIL458485:SIN458691 SSH458485:SSJ458691 TCD458485:TCF458691 TLZ458485:TMB458691 TVV458485:TVX458691 UFR458485:UFT458691 UPN458485:UPP458691 UZJ458485:UZL458691 VJF458485:VJH458691 VTB458485:VTD458691 WCX458485:WCZ458691 WMT458485:WMV458691 WWP458485:WWR458691 KD524021:KF524227 TZ524021:UB524227 ADV524021:ADX524227 ANR524021:ANT524227 AXN524021:AXP524227 BHJ524021:BHL524227 BRF524021:BRH524227 CBB524021:CBD524227 CKX524021:CKZ524227 CUT524021:CUV524227 DEP524021:DER524227 DOL524021:DON524227 DYH524021:DYJ524227 EID524021:EIF524227 ERZ524021:ESB524227 FBV524021:FBX524227 FLR524021:FLT524227 FVN524021:FVP524227 GFJ524021:GFL524227 GPF524021:GPH524227 GZB524021:GZD524227 HIX524021:HIZ524227 HST524021:HSV524227 ICP524021:ICR524227 IML524021:IMN524227 IWH524021:IWJ524227 JGD524021:JGF524227 JPZ524021:JQB524227 JZV524021:JZX524227 KJR524021:KJT524227 KTN524021:KTP524227 LDJ524021:LDL524227 LNF524021:LNH524227 LXB524021:LXD524227 MGX524021:MGZ524227 MQT524021:MQV524227 NAP524021:NAR524227 NKL524021:NKN524227 NUH524021:NUJ524227 OED524021:OEF524227 ONZ524021:OOB524227 OXV524021:OXX524227 PHR524021:PHT524227 PRN524021:PRP524227 QBJ524021:QBL524227 QLF524021:QLH524227 QVB524021:QVD524227 REX524021:REZ524227 ROT524021:ROV524227 RYP524021:RYR524227 SIL524021:SIN524227 SSH524021:SSJ524227 TCD524021:TCF524227 TLZ524021:TMB524227 TVV524021:TVX524227 UFR524021:UFT524227 UPN524021:UPP524227 UZJ524021:UZL524227 VJF524021:VJH524227 VTB524021:VTD524227 WCX524021:WCZ524227 WMT524021:WMV524227 WWP524021:WWR524227 KD589557:KF589763 TZ589557:UB589763 ADV589557:ADX589763 ANR589557:ANT589763 AXN589557:AXP589763 BHJ589557:BHL589763 BRF589557:BRH589763 CBB589557:CBD589763 CKX589557:CKZ589763 CUT589557:CUV589763 DEP589557:DER589763 DOL589557:DON589763 DYH589557:DYJ589763 EID589557:EIF589763 ERZ589557:ESB589763 FBV589557:FBX589763 FLR589557:FLT589763 FVN589557:FVP589763 GFJ589557:GFL589763 GPF589557:GPH589763 GZB589557:GZD589763 HIX589557:HIZ589763 HST589557:HSV589763 ICP589557:ICR589763 IML589557:IMN589763 IWH589557:IWJ589763 JGD589557:JGF589763 JPZ589557:JQB589763 JZV589557:JZX589763 KJR589557:KJT589763 KTN589557:KTP589763 LDJ589557:LDL589763 LNF589557:LNH589763 LXB589557:LXD589763 MGX589557:MGZ589763 MQT589557:MQV589763 NAP589557:NAR589763 NKL589557:NKN589763 NUH589557:NUJ589763 OED589557:OEF589763 ONZ589557:OOB589763 OXV589557:OXX589763 PHR589557:PHT589763 PRN589557:PRP589763 QBJ589557:QBL589763 QLF589557:QLH589763 QVB589557:QVD589763 REX589557:REZ589763 ROT589557:ROV589763 RYP589557:RYR589763 SIL589557:SIN589763 SSH589557:SSJ589763 TCD589557:TCF589763 TLZ589557:TMB589763 TVV589557:TVX589763 UFR589557:UFT589763 UPN589557:UPP589763 UZJ589557:UZL589763 VJF589557:VJH589763 VTB589557:VTD589763 WCX589557:WCZ589763 WMT589557:WMV589763 WWP589557:WWR589763 KD655093:KF655299 TZ655093:UB655299 ADV655093:ADX655299 ANR655093:ANT655299 AXN655093:AXP655299 BHJ655093:BHL655299 BRF655093:BRH655299 CBB655093:CBD655299 CKX655093:CKZ655299 CUT655093:CUV655299 DEP655093:DER655299 DOL655093:DON655299 DYH655093:DYJ655299 EID655093:EIF655299 ERZ655093:ESB655299 FBV655093:FBX655299 FLR655093:FLT655299 FVN655093:FVP655299 GFJ655093:GFL655299 GPF655093:GPH655299 GZB655093:GZD655299 HIX655093:HIZ655299 HST655093:HSV655299 ICP655093:ICR655299 IML655093:IMN655299 IWH655093:IWJ655299 JGD655093:JGF655299 JPZ655093:JQB655299 JZV655093:JZX655299 KJR655093:KJT655299 KTN655093:KTP655299 LDJ655093:LDL655299 LNF655093:LNH655299 LXB655093:LXD655299 MGX655093:MGZ655299 MQT655093:MQV655299 NAP655093:NAR655299 NKL655093:NKN655299 NUH655093:NUJ655299 OED655093:OEF655299 ONZ655093:OOB655299 OXV655093:OXX655299 PHR655093:PHT655299 PRN655093:PRP655299 QBJ655093:QBL655299 QLF655093:QLH655299 QVB655093:QVD655299 REX655093:REZ655299 ROT655093:ROV655299 RYP655093:RYR655299 SIL655093:SIN655299 SSH655093:SSJ655299 TCD655093:TCF655299 TLZ655093:TMB655299 TVV655093:TVX655299 UFR655093:UFT655299 UPN655093:UPP655299 UZJ655093:UZL655299 VJF655093:VJH655299 VTB655093:VTD655299 WCX655093:WCZ655299 WMT655093:WMV655299 WWP655093:WWR655299 KD720629:KF720835 TZ720629:UB720835 ADV720629:ADX720835 ANR720629:ANT720835 AXN720629:AXP720835 BHJ720629:BHL720835 BRF720629:BRH720835 CBB720629:CBD720835 CKX720629:CKZ720835 CUT720629:CUV720835 DEP720629:DER720835 DOL720629:DON720835 DYH720629:DYJ720835 EID720629:EIF720835 ERZ720629:ESB720835 FBV720629:FBX720835 FLR720629:FLT720835 FVN720629:FVP720835 GFJ720629:GFL720835 GPF720629:GPH720835 GZB720629:GZD720835 HIX720629:HIZ720835 HST720629:HSV720835 ICP720629:ICR720835 IML720629:IMN720835 IWH720629:IWJ720835 JGD720629:JGF720835 JPZ720629:JQB720835 JZV720629:JZX720835 KJR720629:KJT720835 KTN720629:KTP720835 LDJ720629:LDL720835 LNF720629:LNH720835 LXB720629:LXD720835 MGX720629:MGZ720835 MQT720629:MQV720835 NAP720629:NAR720835 NKL720629:NKN720835 NUH720629:NUJ720835 OED720629:OEF720835 ONZ720629:OOB720835 OXV720629:OXX720835 PHR720629:PHT720835 PRN720629:PRP720835 QBJ720629:QBL720835 QLF720629:QLH720835 QVB720629:QVD720835 REX720629:REZ720835 ROT720629:ROV720835 RYP720629:RYR720835 SIL720629:SIN720835 SSH720629:SSJ720835 TCD720629:TCF720835 TLZ720629:TMB720835 TVV720629:TVX720835 UFR720629:UFT720835 UPN720629:UPP720835 UZJ720629:UZL720835 VJF720629:VJH720835 VTB720629:VTD720835 WCX720629:WCZ720835 WMT720629:WMV720835 WWP720629:WWR720835 KD786165:KF786371 TZ786165:UB786371 ADV786165:ADX786371 ANR786165:ANT786371 AXN786165:AXP786371 BHJ786165:BHL786371 BRF786165:BRH786371 CBB786165:CBD786371 CKX786165:CKZ786371 CUT786165:CUV786371 DEP786165:DER786371 DOL786165:DON786371 DYH786165:DYJ786371 EID786165:EIF786371 ERZ786165:ESB786371 FBV786165:FBX786371 FLR786165:FLT786371 FVN786165:FVP786371 GFJ786165:GFL786371 GPF786165:GPH786371 GZB786165:GZD786371 HIX786165:HIZ786371 HST786165:HSV786371 ICP786165:ICR786371 IML786165:IMN786371 IWH786165:IWJ786371 JGD786165:JGF786371 JPZ786165:JQB786371 JZV786165:JZX786371 KJR786165:KJT786371 KTN786165:KTP786371 LDJ786165:LDL786371 LNF786165:LNH786371 LXB786165:LXD786371 MGX786165:MGZ786371 MQT786165:MQV786371 NAP786165:NAR786371 NKL786165:NKN786371 NUH786165:NUJ786371 OED786165:OEF786371 ONZ786165:OOB786371 OXV786165:OXX786371 PHR786165:PHT786371 PRN786165:PRP786371 QBJ786165:QBL786371 QLF786165:QLH786371 QVB786165:QVD786371 REX786165:REZ786371 ROT786165:ROV786371 RYP786165:RYR786371 SIL786165:SIN786371 SSH786165:SSJ786371 TCD786165:TCF786371 TLZ786165:TMB786371 TVV786165:TVX786371 UFR786165:UFT786371 UPN786165:UPP786371 UZJ786165:UZL786371 VJF786165:VJH786371 VTB786165:VTD786371 WCX786165:WCZ786371 WMT786165:WMV786371 WWP786165:WWR786371 KD851701:KF851907 TZ851701:UB851907 ADV851701:ADX851907 ANR851701:ANT851907 AXN851701:AXP851907 BHJ851701:BHL851907 BRF851701:BRH851907 CBB851701:CBD851907 CKX851701:CKZ851907 CUT851701:CUV851907 DEP851701:DER851907 DOL851701:DON851907 DYH851701:DYJ851907 EID851701:EIF851907 ERZ851701:ESB851907 FBV851701:FBX851907 FLR851701:FLT851907 FVN851701:FVP851907 GFJ851701:GFL851907 GPF851701:GPH851907 GZB851701:GZD851907 HIX851701:HIZ851907 HST851701:HSV851907 ICP851701:ICR851907 IML851701:IMN851907 IWH851701:IWJ851907 JGD851701:JGF851907 JPZ851701:JQB851907 JZV851701:JZX851907 KJR851701:KJT851907 KTN851701:KTP851907 LDJ851701:LDL851907 LNF851701:LNH851907 LXB851701:LXD851907 MGX851701:MGZ851907 MQT851701:MQV851907 NAP851701:NAR851907 NKL851701:NKN851907 NUH851701:NUJ851907 OED851701:OEF851907 ONZ851701:OOB851907 OXV851701:OXX851907 PHR851701:PHT851907 PRN851701:PRP851907 QBJ851701:QBL851907 QLF851701:QLH851907 QVB851701:QVD851907 REX851701:REZ851907 ROT851701:ROV851907 RYP851701:RYR851907 SIL851701:SIN851907 SSH851701:SSJ851907 TCD851701:TCF851907 TLZ851701:TMB851907 TVV851701:TVX851907 UFR851701:UFT851907 UPN851701:UPP851907 UZJ851701:UZL851907 VJF851701:VJH851907 VTB851701:VTD851907 WCX851701:WCZ851907 WMT851701:WMV851907 WWP851701:WWR851907 KD917237:KF917443 TZ917237:UB917443 ADV917237:ADX917443 ANR917237:ANT917443 AXN917237:AXP917443 BHJ917237:BHL917443 BRF917237:BRH917443 CBB917237:CBD917443 CKX917237:CKZ917443 CUT917237:CUV917443 DEP917237:DER917443 DOL917237:DON917443 DYH917237:DYJ917443 EID917237:EIF917443 ERZ917237:ESB917443 FBV917237:FBX917443 FLR917237:FLT917443 FVN917237:FVP917443 GFJ917237:GFL917443 GPF917237:GPH917443 GZB917237:GZD917443 HIX917237:HIZ917443 HST917237:HSV917443 ICP917237:ICR917443 IML917237:IMN917443 IWH917237:IWJ917443 JGD917237:JGF917443 JPZ917237:JQB917443 JZV917237:JZX917443 KJR917237:KJT917443 KTN917237:KTP917443 LDJ917237:LDL917443 LNF917237:LNH917443 LXB917237:LXD917443 MGX917237:MGZ917443 MQT917237:MQV917443 NAP917237:NAR917443 NKL917237:NKN917443 NUH917237:NUJ917443 OED917237:OEF917443 ONZ917237:OOB917443 OXV917237:OXX917443 PHR917237:PHT917443 PRN917237:PRP917443 QBJ917237:QBL917443 QLF917237:QLH917443 QVB917237:QVD917443 REX917237:REZ917443 ROT917237:ROV917443 RYP917237:RYR917443 SIL917237:SIN917443 SSH917237:SSJ917443 TCD917237:TCF917443 TLZ917237:TMB917443 TVV917237:TVX917443 UFR917237:UFT917443 UPN917237:UPP917443 UZJ917237:UZL917443 VJF917237:VJH917443 VTB917237:VTD917443 WCX917237:WCZ917443 WMT917237:WMV917443 WWP917237:WWR917443 KD982773:KF982979 TZ982773:UB982979 ADV982773:ADX982979 ANR982773:ANT982979 AXN982773:AXP982979 BHJ982773:BHL982979 BRF982773:BRH982979 CBB982773:CBD982979 CKX982773:CKZ982979 CUT982773:CUV982979 DEP982773:DER982979 DOL982773:DON982979 DYH982773:DYJ982979 EID982773:EIF982979 ERZ982773:ESB982979 FBV982773:FBX982979 FLR982773:FLT982979 FVN982773:FVP982979 GFJ982773:GFL982979 GPF982773:GPH982979 GZB982773:GZD982979 HIX982773:HIZ982979 HST982773:HSV982979 ICP982773:ICR982979 IML982773:IMN982979 IWH982773:IWJ982979 JGD982773:JGF982979 JPZ982773:JQB982979 JZV982773:JZX982979 KJR982773:KJT982979 KTN982773:KTP982979 LDJ982773:LDL982979 LNF982773:LNH982979 LXB982773:LXD982979 MGX982773:MGZ982979 MQT982773:MQV982979 NAP982773:NAR982979 NKL982773:NKN982979 NUH982773:NUJ982979 OED982773:OEF982979 ONZ982773:OOB982979 OXV982773:OXX982979 PHR982773:PHT982979 PRN982773:PRP982979 QBJ982773:QBL982979 QLF982773:QLH982979 QVB982773:QVD982979 REX982773:REZ982979 ROT982773:ROV982979 RYP982773:RYR982979 SIL982773:SIN982979 SSH982773:SSJ982979 TCD982773:TCF982979 TLZ982773:TMB982979 TVV982773:TVX982979 UFR982773:UFT982979 UPN982773:UPP982979 UZJ982773:UZL982979 VJF982773:VJH982979 VTB982773:VTD982979 WCX982773:WCZ982979 WMT982773:WMV982979 WWP982773:WWR982979 X982773:Z982979 X917237:Z917443 X851701:Z851907 X786165:Z786371 X720629:Z720835 X655093:Z655299 X589557:Z589763 X524021:Z524227 X458485:Z458691 X392949:Z393155 X327413:Z327619 X261877:Z262083 X196341:Z196547 X130805:Z131011 X65269:Z65475 WWP5:WWR11 KD5:KF11 TZ5:UB11 ADV5:ADX11 ANR5:ANT11 AXN5:AXP11 BHJ5:BHL11 BRF5:BRH11 CBB5:CBD11 CKX5:CKZ11 CUT5:CUV11 DEP5:DER11 DOL5:DON11 DYH5:DYJ11 EID5:EIF11 ERZ5:ESB11 FBV5:FBX11 FLR5:FLT11 FVN5:FVP11 GFJ5:GFL11 GPF5:GPH11 GZB5:GZD11 HIX5:HIZ11 HST5:HSV11 ICP5:ICR11 IML5:IMN11 IWH5:IWJ11 JGD5:JGF11 JPZ5:JQB11 JZV5:JZX11 KJR5:KJT11 KTN5:KTP11 LDJ5:LDL11 LNF5:LNH11 LXB5:LXD11 MGX5:MGZ11 MQT5:MQV11 NAP5:NAR11 NKL5:NKN11 NUH5:NUJ11 OED5:OEF11 ONZ5:OOB11 OXV5:OXX11 PHR5:PHT11 PRN5:PRP11 QBJ5:QBL11 QLF5:QLH11 QVB5:QVD11 REX5:REZ11 ROT5:ROV11 RYP5:RYR11 SIL5:SIN11 SSH5:SSJ11 TCD5:TCF11 TLZ5:TMB11 TVV5:TVX11 UFR5:UFT11 UPN5:UPP11 UZJ5:UZL11 VJF5:VJH11 VTB5:VTD11 WCX5:WCZ11 WMT5:WMV11">
      <formula1>0</formula1>
      <formula2>10000000000000000</formula2>
    </dataValidation>
    <dataValidation type="whole" allowBlank="1" showInputMessage="1" showErrorMessage="1" sqref="AA65269:AB65475 KG65269:KH65475 UC65269:UD65475 ADY65269:ADZ65475 ANU65269:ANV65475 AXQ65269:AXR65475 BHM65269:BHN65475 BRI65269:BRJ65475 CBE65269:CBF65475 CLA65269:CLB65475 CUW65269:CUX65475 DES65269:DET65475 DOO65269:DOP65475 DYK65269:DYL65475 EIG65269:EIH65475 ESC65269:ESD65475 FBY65269:FBZ65475 FLU65269:FLV65475 FVQ65269:FVR65475 GFM65269:GFN65475 GPI65269:GPJ65475 GZE65269:GZF65475 HJA65269:HJB65475 HSW65269:HSX65475 ICS65269:ICT65475 IMO65269:IMP65475 IWK65269:IWL65475 JGG65269:JGH65475 JQC65269:JQD65475 JZY65269:JZZ65475 KJU65269:KJV65475 KTQ65269:KTR65475 LDM65269:LDN65475 LNI65269:LNJ65475 LXE65269:LXF65475 MHA65269:MHB65475 MQW65269:MQX65475 NAS65269:NAT65475 NKO65269:NKP65475 NUK65269:NUL65475 OEG65269:OEH65475 OOC65269:OOD65475 OXY65269:OXZ65475 PHU65269:PHV65475 PRQ65269:PRR65475 QBM65269:QBN65475 QLI65269:QLJ65475 QVE65269:QVF65475 RFA65269:RFB65475 ROW65269:ROX65475 RYS65269:RYT65475 SIO65269:SIP65475 SSK65269:SSL65475 TCG65269:TCH65475 TMC65269:TMD65475 TVY65269:TVZ65475 UFU65269:UFV65475 UPQ65269:UPR65475 UZM65269:UZN65475 VJI65269:VJJ65475 VTE65269:VTF65475 WDA65269:WDB65475 WMW65269:WMX65475 WWS65269:WWT65475 AA130805:AB131011 KG130805:KH131011 UC130805:UD131011 ADY130805:ADZ131011 ANU130805:ANV131011 AXQ130805:AXR131011 BHM130805:BHN131011 BRI130805:BRJ131011 CBE130805:CBF131011 CLA130805:CLB131011 CUW130805:CUX131011 DES130805:DET131011 DOO130805:DOP131011 DYK130805:DYL131011 EIG130805:EIH131011 ESC130805:ESD131011 FBY130805:FBZ131011 FLU130805:FLV131011 FVQ130805:FVR131011 GFM130805:GFN131011 GPI130805:GPJ131011 GZE130805:GZF131011 HJA130805:HJB131011 HSW130805:HSX131011 ICS130805:ICT131011 IMO130805:IMP131011 IWK130805:IWL131011 JGG130805:JGH131011 JQC130805:JQD131011 JZY130805:JZZ131011 KJU130805:KJV131011 KTQ130805:KTR131011 LDM130805:LDN131011 LNI130805:LNJ131011 LXE130805:LXF131011 MHA130805:MHB131011 MQW130805:MQX131011 NAS130805:NAT131011 NKO130805:NKP131011 NUK130805:NUL131011 OEG130805:OEH131011 OOC130805:OOD131011 OXY130805:OXZ131011 PHU130805:PHV131011 PRQ130805:PRR131011 QBM130805:QBN131011 QLI130805:QLJ131011 QVE130805:QVF131011 RFA130805:RFB131011 ROW130805:ROX131011 RYS130805:RYT131011 SIO130805:SIP131011 SSK130805:SSL131011 TCG130805:TCH131011 TMC130805:TMD131011 TVY130805:TVZ131011 UFU130805:UFV131011 UPQ130805:UPR131011 UZM130805:UZN131011 VJI130805:VJJ131011 VTE130805:VTF131011 WDA130805:WDB131011 WMW130805:WMX131011 WWS130805:WWT131011 AA196341:AB196547 KG196341:KH196547 UC196341:UD196547 ADY196341:ADZ196547 ANU196341:ANV196547 AXQ196341:AXR196547 BHM196341:BHN196547 BRI196341:BRJ196547 CBE196341:CBF196547 CLA196341:CLB196547 CUW196341:CUX196547 DES196341:DET196547 DOO196341:DOP196547 DYK196341:DYL196547 EIG196341:EIH196547 ESC196341:ESD196547 FBY196341:FBZ196547 FLU196341:FLV196547 FVQ196341:FVR196547 GFM196341:GFN196547 GPI196341:GPJ196547 GZE196341:GZF196547 HJA196341:HJB196547 HSW196341:HSX196547 ICS196341:ICT196547 IMO196341:IMP196547 IWK196341:IWL196547 JGG196341:JGH196547 JQC196341:JQD196547 JZY196341:JZZ196547 KJU196341:KJV196547 KTQ196341:KTR196547 LDM196341:LDN196547 LNI196341:LNJ196547 LXE196341:LXF196547 MHA196341:MHB196547 MQW196341:MQX196547 NAS196341:NAT196547 NKO196341:NKP196547 NUK196341:NUL196547 OEG196341:OEH196547 OOC196341:OOD196547 OXY196341:OXZ196547 PHU196341:PHV196547 PRQ196341:PRR196547 QBM196341:QBN196547 QLI196341:QLJ196547 QVE196341:QVF196547 RFA196341:RFB196547 ROW196341:ROX196547 RYS196341:RYT196547 SIO196341:SIP196547 SSK196341:SSL196547 TCG196341:TCH196547 TMC196341:TMD196547 TVY196341:TVZ196547 UFU196341:UFV196547 UPQ196341:UPR196547 UZM196341:UZN196547 VJI196341:VJJ196547 VTE196341:VTF196547 WDA196341:WDB196547 WMW196341:WMX196547 WWS196341:WWT196547 AA261877:AB262083 KG261877:KH262083 UC261877:UD262083 ADY261877:ADZ262083 ANU261877:ANV262083 AXQ261877:AXR262083 BHM261877:BHN262083 BRI261877:BRJ262083 CBE261877:CBF262083 CLA261877:CLB262083 CUW261877:CUX262083 DES261877:DET262083 DOO261877:DOP262083 DYK261877:DYL262083 EIG261877:EIH262083 ESC261877:ESD262083 FBY261877:FBZ262083 FLU261877:FLV262083 FVQ261877:FVR262083 GFM261877:GFN262083 GPI261877:GPJ262083 GZE261877:GZF262083 HJA261877:HJB262083 HSW261877:HSX262083 ICS261877:ICT262083 IMO261877:IMP262083 IWK261877:IWL262083 JGG261877:JGH262083 JQC261877:JQD262083 JZY261877:JZZ262083 KJU261877:KJV262083 KTQ261877:KTR262083 LDM261877:LDN262083 LNI261877:LNJ262083 LXE261877:LXF262083 MHA261877:MHB262083 MQW261877:MQX262083 NAS261877:NAT262083 NKO261877:NKP262083 NUK261877:NUL262083 OEG261877:OEH262083 OOC261877:OOD262083 OXY261877:OXZ262083 PHU261877:PHV262083 PRQ261877:PRR262083 QBM261877:QBN262083 QLI261877:QLJ262083 QVE261877:QVF262083 RFA261877:RFB262083 ROW261877:ROX262083 RYS261877:RYT262083 SIO261877:SIP262083 SSK261877:SSL262083 TCG261877:TCH262083 TMC261877:TMD262083 TVY261877:TVZ262083 UFU261877:UFV262083 UPQ261877:UPR262083 UZM261877:UZN262083 VJI261877:VJJ262083 VTE261877:VTF262083 WDA261877:WDB262083 WMW261877:WMX262083 WWS261877:WWT262083 AA327413:AB327619 KG327413:KH327619 UC327413:UD327619 ADY327413:ADZ327619 ANU327413:ANV327619 AXQ327413:AXR327619 BHM327413:BHN327619 BRI327413:BRJ327619 CBE327413:CBF327619 CLA327413:CLB327619 CUW327413:CUX327619 DES327413:DET327619 DOO327413:DOP327619 DYK327413:DYL327619 EIG327413:EIH327619 ESC327413:ESD327619 FBY327413:FBZ327619 FLU327413:FLV327619 FVQ327413:FVR327619 GFM327413:GFN327619 GPI327413:GPJ327619 GZE327413:GZF327619 HJA327413:HJB327619 HSW327413:HSX327619 ICS327413:ICT327619 IMO327413:IMP327619 IWK327413:IWL327619 JGG327413:JGH327619 JQC327413:JQD327619 JZY327413:JZZ327619 KJU327413:KJV327619 KTQ327413:KTR327619 LDM327413:LDN327619 LNI327413:LNJ327619 LXE327413:LXF327619 MHA327413:MHB327619 MQW327413:MQX327619 NAS327413:NAT327619 NKO327413:NKP327619 NUK327413:NUL327619 OEG327413:OEH327619 OOC327413:OOD327619 OXY327413:OXZ327619 PHU327413:PHV327619 PRQ327413:PRR327619 QBM327413:QBN327619 QLI327413:QLJ327619 QVE327413:QVF327619 RFA327413:RFB327619 ROW327413:ROX327619 RYS327413:RYT327619 SIO327413:SIP327619 SSK327413:SSL327619 TCG327413:TCH327619 TMC327413:TMD327619 TVY327413:TVZ327619 UFU327413:UFV327619 UPQ327413:UPR327619 UZM327413:UZN327619 VJI327413:VJJ327619 VTE327413:VTF327619 WDA327413:WDB327619 WMW327413:WMX327619 WWS327413:WWT327619 AA392949:AB393155 KG392949:KH393155 UC392949:UD393155 ADY392949:ADZ393155 ANU392949:ANV393155 AXQ392949:AXR393155 BHM392949:BHN393155 BRI392949:BRJ393155 CBE392949:CBF393155 CLA392949:CLB393155 CUW392949:CUX393155 DES392949:DET393155 DOO392949:DOP393155 DYK392949:DYL393155 EIG392949:EIH393155 ESC392949:ESD393155 FBY392949:FBZ393155 FLU392949:FLV393155 FVQ392949:FVR393155 GFM392949:GFN393155 GPI392949:GPJ393155 GZE392949:GZF393155 HJA392949:HJB393155 HSW392949:HSX393155 ICS392949:ICT393155 IMO392949:IMP393155 IWK392949:IWL393155 JGG392949:JGH393155 JQC392949:JQD393155 JZY392949:JZZ393155 KJU392949:KJV393155 KTQ392949:KTR393155 LDM392949:LDN393155 LNI392949:LNJ393155 LXE392949:LXF393155 MHA392949:MHB393155 MQW392949:MQX393155 NAS392949:NAT393155 NKO392949:NKP393155 NUK392949:NUL393155 OEG392949:OEH393155 OOC392949:OOD393155 OXY392949:OXZ393155 PHU392949:PHV393155 PRQ392949:PRR393155 QBM392949:QBN393155 QLI392949:QLJ393155 QVE392949:QVF393155 RFA392949:RFB393155 ROW392949:ROX393155 RYS392949:RYT393155 SIO392949:SIP393155 SSK392949:SSL393155 TCG392949:TCH393155 TMC392949:TMD393155 TVY392949:TVZ393155 UFU392949:UFV393155 UPQ392949:UPR393155 UZM392949:UZN393155 VJI392949:VJJ393155 VTE392949:VTF393155 WDA392949:WDB393155 WMW392949:WMX393155 WWS392949:WWT393155 AA458485:AB458691 KG458485:KH458691 UC458485:UD458691 ADY458485:ADZ458691 ANU458485:ANV458691 AXQ458485:AXR458691 BHM458485:BHN458691 BRI458485:BRJ458691 CBE458485:CBF458691 CLA458485:CLB458691 CUW458485:CUX458691 DES458485:DET458691 DOO458485:DOP458691 DYK458485:DYL458691 EIG458485:EIH458691 ESC458485:ESD458691 FBY458485:FBZ458691 FLU458485:FLV458691 FVQ458485:FVR458691 GFM458485:GFN458691 GPI458485:GPJ458691 GZE458485:GZF458691 HJA458485:HJB458691 HSW458485:HSX458691 ICS458485:ICT458691 IMO458485:IMP458691 IWK458485:IWL458691 JGG458485:JGH458691 JQC458485:JQD458691 JZY458485:JZZ458691 KJU458485:KJV458691 KTQ458485:KTR458691 LDM458485:LDN458691 LNI458485:LNJ458691 LXE458485:LXF458691 MHA458485:MHB458691 MQW458485:MQX458691 NAS458485:NAT458691 NKO458485:NKP458691 NUK458485:NUL458691 OEG458485:OEH458691 OOC458485:OOD458691 OXY458485:OXZ458691 PHU458485:PHV458691 PRQ458485:PRR458691 QBM458485:QBN458691 QLI458485:QLJ458691 QVE458485:QVF458691 RFA458485:RFB458691 ROW458485:ROX458691 RYS458485:RYT458691 SIO458485:SIP458691 SSK458485:SSL458691 TCG458485:TCH458691 TMC458485:TMD458691 TVY458485:TVZ458691 UFU458485:UFV458691 UPQ458485:UPR458691 UZM458485:UZN458691 VJI458485:VJJ458691 VTE458485:VTF458691 WDA458485:WDB458691 WMW458485:WMX458691 WWS458485:WWT458691 AA524021:AB524227 KG524021:KH524227 UC524021:UD524227 ADY524021:ADZ524227 ANU524021:ANV524227 AXQ524021:AXR524227 BHM524021:BHN524227 BRI524021:BRJ524227 CBE524021:CBF524227 CLA524021:CLB524227 CUW524021:CUX524227 DES524021:DET524227 DOO524021:DOP524227 DYK524021:DYL524227 EIG524021:EIH524227 ESC524021:ESD524227 FBY524021:FBZ524227 FLU524021:FLV524227 FVQ524021:FVR524227 GFM524021:GFN524227 GPI524021:GPJ524227 GZE524021:GZF524227 HJA524021:HJB524227 HSW524021:HSX524227 ICS524021:ICT524227 IMO524021:IMP524227 IWK524021:IWL524227 JGG524021:JGH524227 JQC524021:JQD524227 JZY524021:JZZ524227 KJU524021:KJV524227 KTQ524021:KTR524227 LDM524021:LDN524227 LNI524021:LNJ524227 LXE524021:LXF524227 MHA524021:MHB524227 MQW524021:MQX524227 NAS524021:NAT524227 NKO524021:NKP524227 NUK524021:NUL524227 OEG524021:OEH524227 OOC524021:OOD524227 OXY524021:OXZ524227 PHU524021:PHV524227 PRQ524021:PRR524227 QBM524021:QBN524227 QLI524021:QLJ524227 QVE524021:QVF524227 RFA524021:RFB524227 ROW524021:ROX524227 RYS524021:RYT524227 SIO524021:SIP524227 SSK524021:SSL524227 TCG524021:TCH524227 TMC524021:TMD524227 TVY524021:TVZ524227 UFU524021:UFV524227 UPQ524021:UPR524227 UZM524021:UZN524227 VJI524021:VJJ524227 VTE524021:VTF524227 WDA524021:WDB524227 WMW524021:WMX524227 WWS524021:WWT524227 AA589557:AB589763 KG589557:KH589763 UC589557:UD589763 ADY589557:ADZ589763 ANU589557:ANV589763 AXQ589557:AXR589763 BHM589557:BHN589763 BRI589557:BRJ589763 CBE589557:CBF589763 CLA589557:CLB589763 CUW589557:CUX589763 DES589557:DET589763 DOO589557:DOP589763 DYK589557:DYL589763 EIG589557:EIH589763 ESC589557:ESD589763 FBY589557:FBZ589763 FLU589557:FLV589763 FVQ589557:FVR589763 GFM589557:GFN589763 GPI589557:GPJ589763 GZE589557:GZF589763 HJA589557:HJB589763 HSW589557:HSX589763 ICS589557:ICT589763 IMO589557:IMP589763 IWK589557:IWL589763 JGG589557:JGH589763 JQC589557:JQD589763 JZY589557:JZZ589763 KJU589557:KJV589763 KTQ589557:KTR589763 LDM589557:LDN589763 LNI589557:LNJ589763 LXE589557:LXF589763 MHA589557:MHB589763 MQW589557:MQX589763 NAS589557:NAT589763 NKO589557:NKP589763 NUK589557:NUL589763 OEG589557:OEH589763 OOC589557:OOD589763 OXY589557:OXZ589763 PHU589557:PHV589763 PRQ589557:PRR589763 QBM589557:QBN589763 QLI589557:QLJ589763 QVE589557:QVF589763 RFA589557:RFB589763 ROW589557:ROX589763 RYS589557:RYT589763 SIO589557:SIP589763 SSK589557:SSL589763 TCG589557:TCH589763 TMC589557:TMD589763 TVY589557:TVZ589763 UFU589557:UFV589763 UPQ589557:UPR589763 UZM589557:UZN589763 VJI589557:VJJ589763 VTE589557:VTF589763 WDA589557:WDB589763 WMW589557:WMX589763 WWS589557:WWT589763 AA655093:AB655299 KG655093:KH655299 UC655093:UD655299 ADY655093:ADZ655299 ANU655093:ANV655299 AXQ655093:AXR655299 BHM655093:BHN655299 BRI655093:BRJ655299 CBE655093:CBF655299 CLA655093:CLB655299 CUW655093:CUX655299 DES655093:DET655299 DOO655093:DOP655299 DYK655093:DYL655299 EIG655093:EIH655299 ESC655093:ESD655299 FBY655093:FBZ655299 FLU655093:FLV655299 FVQ655093:FVR655299 GFM655093:GFN655299 GPI655093:GPJ655299 GZE655093:GZF655299 HJA655093:HJB655299 HSW655093:HSX655299 ICS655093:ICT655299 IMO655093:IMP655299 IWK655093:IWL655299 JGG655093:JGH655299 JQC655093:JQD655299 JZY655093:JZZ655299 KJU655093:KJV655299 KTQ655093:KTR655299 LDM655093:LDN655299 LNI655093:LNJ655299 LXE655093:LXF655299 MHA655093:MHB655299 MQW655093:MQX655299 NAS655093:NAT655299 NKO655093:NKP655299 NUK655093:NUL655299 OEG655093:OEH655299 OOC655093:OOD655299 OXY655093:OXZ655299 PHU655093:PHV655299 PRQ655093:PRR655299 QBM655093:QBN655299 QLI655093:QLJ655299 QVE655093:QVF655299 RFA655093:RFB655299 ROW655093:ROX655299 RYS655093:RYT655299 SIO655093:SIP655299 SSK655093:SSL655299 TCG655093:TCH655299 TMC655093:TMD655299 TVY655093:TVZ655299 UFU655093:UFV655299 UPQ655093:UPR655299 UZM655093:UZN655299 VJI655093:VJJ655299 VTE655093:VTF655299 WDA655093:WDB655299 WMW655093:WMX655299 WWS655093:WWT655299 AA720629:AB720835 KG720629:KH720835 UC720629:UD720835 ADY720629:ADZ720835 ANU720629:ANV720835 AXQ720629:AXR720835 BHM720629:BHN720835 BRI720629:BRJ720835 CBE720629:CBF720835 CLA720629:CLB720835 CUW720629:CUX720835 DES720629:DET720835 DOO720629:DOP720835 DYK720629:DYL720835 EIG720629:EIH720835 ESC720629:ESD720835 FBY720629:FBZ720835 FLU720629:FLV720835 FVQ720629:FVR720835 GFM720629:GFN720835 GPI720629:GPJ720835 GZE720629:GZF720835 HJA720629:HJB720835 HSW720629:HSX720835 ICS720629:ICT720835 IMO720629:IMP720835 IWK720629:IWL720835 JGG720629:JGH720835 JQC720629:JQD720835 JZY720629:JZZ720835 KJU720629:KJV720835 KTQ720629:KTR720835 LDM720629:LDN720835 LNI720629:LNJ720835 LXE720629:LXF720835 MHA720629:MHB720835 MQW720629:MQX720835 NAS720629:NAT720835 NKO720629:NKP720835 NUK720629:NUL720835 OEG720629:OEH720835 OOC720629:OOD720835 OXY720629:OXZ720835 PHU720629:PHV720835 PRQ720629:PRR720835 QBM720629:QBN720835 QLI720629:QLJ720835 QVE720629:QVF720835 RFA720629:RFB720835 ROW720629:ROX720835 RYS720629:RYT720835 SIO720629:SIP720835 SSK720629:SSL720835 TCG720629:TCH720835 TMC720629:TMD720835 TVY720629:TVZ720835 UFU720629:UFV720835 UPQ720629:UPR720835 UZM720629:UZN720835 VJI720629:VJJ720835 VTE720629:VTF720835 WDA720629:WDB720835 WMW720629:WMX720835 WWS720629:WWT720835 AA786165:AB786371 KG786165:KH786371 UC786165:UD786371 ADY786165:ADZ786371 ANU786165:ANV786371 AXQ786165:AXR786371 BHM786165:BHN786371 BRI786165:BRJ786371 CBE786165:CBF786371 CLA786165:CLB786371 CUW786165:CUX786371 DES786165:DET786371 DOO786165:DOP786371 DYK786165:DYL786371 EIG786165:EIH786371 ESC786165:ESD786371 FBY786165:FBZ786371 FLU786165:FLV786371 FVQ786165:FVR786371 GFM786165:GFN786371 GPI786165:GPJ786371 GZE786165:GZF786371 HJA786165:HJB786371 HSW786165:HSX786371 ICS786165:ICT786371 IMO786165:IMP786371 IWK786165:IWL786371 JGG786165:JGH786371 JQC786165:JQD786371 JZY786165:JZZ786371 KJU786165:KJV786371 KTQ786165:KTR786371 LDM786165:LDN786371 LNI786165:LNJ786371 LXE786165:LXF786371 MHA786165:MHB786371 MQW786165:MQX786371 NAS786165:NAT786371 NKO786165:NKP786371 NUK786165:NUL786371 OEG786165:OEH786371 OOC786165:OOD786371 OXY786165:OXZ786371 PHU786165:PHV786371 PRQ786165:PRR786371 QBM786165:QBN786371 QLI786165:QLJ786371 QVE786165:QVF786371 RFA786165:RFB786371 ROW786165:ROX786371 RYS786165:RYT786371 SIO786165:SIP786371 SSK786165:SSL786371 TCG786165:TCH786371 TMC786165:TMD786371 TVY786165:TVZ786371 UFU786165:UFV786371 UPQ786165:UPR786371 UZM786165:UZN786371 VJI786165:VJJ786371 VTE786165:VTF786371 WDA786165:WDB786371 WMW786165:WMX786371 WWS786165:WWT786371 AA851701:AB851907 KG851701:KH851907 UC851701:UD851907 ADY851701:ADZ851907 ANU851701:ANV851907 AXQ851701:AXR851907 BHM851701:BHN851907 BRI851701:BRJ851907 CBE851701:CBF851907 CLA851701:CLB851907 CUW851701:CUX851907 DES851701:DET851907 DOO851701:DOP851907 DYK851701:DYL851907 EIG851701:EIH851907 ESC851701:ESD851907 FBY851701:FBZ851907 FLU851701:FLV851907 FVQ851701:FVR851907 GFM851701:GFN851907 GPI851701:GPJ851907 GZE851701:GZF851907 HJA851701:HJB851907 HSW851701:HSX851907 ICS851701:ICT851907 IMO851701:IMP851907 IWK851701:IWL851907 JGG851701:JGH851907 JQC851701:JQD851907 JZY851701:JZZ851907 KJU851701:KJV851907 KTQ851701:KTR851907 LDM851701:LDN851907 LNI851701:LNJ851907 LXE851701:LXF851907 MHA851701:MHB851907 MQW851701:MQX851907 NAS851701:NAT851907 NKO851701:NKP851907 NUK851701:NUL851907 OEG851701:OEH851907 OOC851701:OOD851907 OXY851701:OXZ851907 PHU851701:PHV851907 PRQ851701:PRR851907 QBM851701:QBN851907 QLI851701:QLJ851907 QVE851701:QVF851907 RFA851701:RFB851907 ROW851701:ROX851907 RYS851701:RYT851907 SIO851701:SIP851907 SSK851701:SSL851907 TCG851701:TCH851907 TMC851701:TMD851907 TVY851701:TVZ851907 UFU851701:UFV851907 UPQ851701:UPR851907 UZM851701:UZN851907 VJI851701:VJJ851907 VTE851701:VTF851907 WDA851701:WDB851907 WMW851701:WMX851907 WWS851701:WWT851907 AA917237:AB917443 KG917237:KH917443 UC917237:UD917443 ADY917237:ADZ917443 ANU917237:ANV917443 AXQ917237:AXR917443 BHM917237:BHN917443 BRI917237:BRJ917443 CBE917237:CBF917443 CLA917237:CLB917443 CUW917237:CUX917443 DES917237:DET917443 DOO917237:DOP917443 DYK917237:DYL917443 EIG917237:EIH917443 ESC917237:ESD917443 FBY917237:FBZ917443 FLU917237:FLV917443 FVQ917237:FVR917443 GFM917237:GFN917443 GPI917237:GPJ917443 GZE917237:GZF917443 HJA917237:HJB917443 HSW917237:HSX917443 ICS917237:ICT917443 IMO917237:IMP917443 IWK917237:IWL917443 JGG917237:JGH917443 JQC917237:JQD917443 JZY917237:JZZ917443 KJU917237:KJV917443 KTQ917237:KTR917443 LDM917237:LDN917443 LNI917237:LNJ917443 LXE917237:LXF917443 MHA917237:MHB917443 MQW917237:MQX917443 NAS917237:NAT917443 NKO917237:NKP917443 NUK917237:NUL917443 OEG917237:OEH917443 OOC917237:OOD917443 OXY917237:OXZ917443 PHU917237:PHV917443 PRQ917237:PRR917443 QBM917237:QBN917443 QLI917237:QLJ917443 QVE917237:QVF917443 RFA917237:RFB917443 ROW917237:ROX917443 RYS917237:RYT917443 SIO917237:SIP917443 SSK917237:SSL917443 TCG917237:TCH917443 TMC917237:TMD917443 TVY917237:TVZ917443 UFU917237:UFV917443 UPQ917237:UPR917443 UZM917237:UZN917443 VJI917237:VJJ917443 VTE917237:VTF917443 WDA917237:WDB917443 WMW917237:WMX917443 WWS917237:WWT917443 AA982773:AB982979 KG982773:KH982979 UC982773:UD982979 ADY982773:ADZ982979 ANU982773:ANV982979 AXQ982773:AXR982979 BHM982773:BHN982979 BRI982773:BRJ982979 CBE982773:CBF982979 CLA982773:CLB982979 CUW982773:CUX982979 DES982773:DET982979 DOO982773:DOP982979 DYK982773:DYL982979 EIG982773:EIH982979 ESC982773:ESD982979 FBY982773:FBZ982979 FLU982773:FLV982979 FVQ982773:FVR982979 GFM982773:GFN982979 GPI982773:GPJ982979 GZE982773:GZF982979 HJA982773:HJB982979 HSW982773:HSX982979 ICS982773:ICT982979 IMO982773:IMP982979 IWK982773:IWL982979 JGG982773:JGH982979 JQC982773:JQD982979 JZY982773:JZZ982979 KJU982773:KJV982979 KTQ982773:KTR982979 LDM982773:LDN982979 LNI982773:LNJ982979 LXE982773:LXF982979 MHA982773:MHB982979 MQW982773:MQX982979 NAS982773:NAT982979 NKO982773:NKP982979 NUK982773:NUL982979 OEG982773:OEH982979 OOC982773:OOD982979 OXY982773:OXZ982979 PHU982773:PHV982979 PRQ982773:PRR982979 QBM982773:QBN982979 QLI982773:QLJ982979 QVE982773:QVF982979 RFA982773:RFB982979 ROW982773:ROX982979 RYS982773:RYT982979 SIO982773:SIP982979 SSK982773:SSL982979 TCG982773:TCH982979 TMC982773:TMD982979 TVY982773:TVZ982979 UFU982773:UFV982979 UPQ982773:UPR982979 UZM982773:UZN982979 VJI982773:VJJ982979 VTE982773:VTF982979 WDA982773:WDB982979 WMW982773:WMX982979 WWS982773:WWT982979 WWS5:WWT11 KG5:KH11 UC5:UD11 ADY5:ADZ11 ANU5:ANV11 AXQ5:AXR11 BHM5:BHN11 BRI5:BRJ11 CBE5:CBF11 CLA5:CLB11 CUW5:CUX11 DES5:DET11 DOO5:DOP11 DYK5:DYL11 EIG5:EIH11 ESC5:ESD11 FBY5:FBZ11 FLU5:FLV11 FVQ5:FVR11 GFM5:GFN11 GPI5:GPJ11 GZE5:GZF11 HJA5:HJB11 HSW5:HSX11 ICS5:ICT11 IMO5:IMP11 IWK5:IWL11 JGG5:JGH11 JQC5:JQD11 JZY5:JZZ11 KJU5:KJV11 KTQ5:KTR11 LDM5:LDN11 LNI5:LNJ11 LXE5:LXF11 MHA5:MHB11 MQW5:MQX11 NAS5:NAT11 NKO5:NKP11 NUK5:NUL11 OEG5:OEH11 OOC5:OOD11 OXY5:OXZ11 PHU5:PHV11 PRQ5:PRR11 QBM5:QBN11 QLI5:QLJ11 QVE5:QVF11 RFA5:RFB11 ROW5:ROX11 RYS5:RYT11 SIO5:SIP11 SSK5:SSL11 TCG5:TCH11 TMC5:TMD11 TVY5:TVZ11 UFU5:UFV11 UPQ5:UPR11 UZM5:UZN11 VJI5:VJJ11 VTE5:VTF11 WDA5:WDB11 WMW5:WMX11">
      <formula1>0</formula1>
      <formula2>100</formula2>
    </dataValidation>
    <dataValidation type="whole" allowBlank="1" showInputMessage="1" showErrorMessage="1" sqref="BB65269:BB65475 KY65269:KY65475 UU65269:UU65475 AEQ65269:AEQ65475 AOM65269:AOM65475 AYI65269:AYI65475 BIE65269:BIE65475 BSA65269:BSA65475 CBW65269:CBW65475 CLS65269:CLS65475 CVO65269:CVO65475 DFK65269:DFK65475 DPG65269:DPG65475 DZC65269:DZC65475 EIY65269:EIY65475 ESU65269:ESU65475 FCQ65269:FCQ65475 FMM65269:FMM65475 FWI65269:FWI65475 GGE65269:GGE65475 GQA65269:GQA65475 GZW65269:GZW65475 HJS65269:HJS65475 HTO65269:HTO65475 IDK65269:IDK65475 ING65269:ING65475 IXC65269:IXC65475 JGY65269:JGY65475 JQU65269:JQU65475 KAQ65269:KAQ65475 KKM65269:KKM65475 KUI65269:KUI65475 LEE65269:LEE65475 LOA65269:LOA65475 LXW65269:LXW65475 MHS65269:MHS65475 MRO65269:MRO65475 NBK65269:NBK65475 NLG65269:NLG65475 NVC65269:NVC65475 OEY65269:OEY65475 OOU65269:OOU65475 OYQ65269:OYQ65475 PIM65269:PIM65475 PSI65269:PSI65475 QCE65269:QCE65475 QMA65269:QMA65475 QVW65269:QVW65475 RFS65269:RFS65475 RPO65269:RPO65475 RZK65269:RZK65475 SJG65269:SJG65475 STC65269:STC65475 TCY65269:TCY65475 TMU65269:TMU65475 TWQ65269:TWQ65475 UGM65269:UGM65475 UQI65269:UQI65475 VAE65269:VAE65475 VKA65269:VKA65475 VTW65269:VTW65475 WDS65269:WDS65475 WNO65269:WNO65475 WXK65269:WXK65475 BB130805:BB131011 KY130805:KY131011 UU130805:UU131011 AEQ130805:AEQ131011 AOM130805:AOM131011 AYI130805:AYI131011 BIE130805:BIE131011 BSA130805:BSA131011 CBW130805:CBW131011 CLS130805:CLS131011 CVO130805:CVO131011 DFK130805:DFK131011 DPG130805:DPG131011 DZC130805:DZC131011 EIY130805:EIY131011 ESU130805:ESU131011 FCQ130805:FCQ131011 FMM130805:FMM131011 FWI130805:FWI131011 GGE130805:GGE131011 GQA130805:GQA131011 GZW130805:GZW131011 HJS130805:HJS131011 HTO130805:HTO131011 IDK130805:IDK131011 ING130805:ING131011 IXC130805:IXC131011 JGY130805:JGY131011 JQU130805:JQU131011 KAQ130805:KAQ131011 KKM130805:KKM131011 KUI130805:KUI131011 LEE130805:LEE131011 LOA130805:LOA131011 LXW130805:LXW131011 MHS130805:MHS131011 MRO130805:MRO131011 NBK130805:NBK131011 NLG130805:NLG131011 NVC130805:NVC131011 OEY130805:OEY131011 OOU130805:OOU131011 OYQ130805:OYQ131011 PIM130805:PIM131011 PSI130805:PSI131011 QCE130805:QCE131011 QMA130805:QMA131011 QVW130805:QVW131011 RFS130805:RFS131011 RPO130805:RPO131011 RZK130805:RZK131011 SJG130805:SJG131011 STC130805:STC131011 TCY130805:TCY131011 TMU130805:TMU131011 TWQ130805:TWQ131011 UGM130805:UGM131011 UQI130805:UQI131011 VAE130805:VAE131011 VKA130805:VKA131011 VTW130805:VTW131011 WDS130805:WDS131011 WNO130805:WNO131011 WXK130805:WXK131011 BB196341:BB196547 KY196341:KY196547 UU196341:UU196547 AEQ196341:AEQ196547 AOM196341:AOM196547 AYI196341:AYI196547 BIE196341:BIE196547 BSA196341:BSA196547 CBW196341:CBW196547 CLS196341:CLS196547 CVO196341:CVO196547 DFK196341:DFK196547 DPG196341:DPG196547 DZC196341:DZC196547 EIY196341:EIY196547 ESU196341:ESU196547 FCQ196341:FCQ196547 FMM196341:FMM196547 FWI196341:FWI196547 GGE196341:GGE196547 GQA196341:GQA196547 GZW196341:GZW196547 HJS196341:HJS196547 HTO196341:HTO196547 IDK196341:IDK196547 ING196341:ING196547 IXC196341:IXC196547 JGY196341:JGY196547 JQU196341:JQU196547 KAQ196341:KAQ196547 KKM196341:KKM196547 KUI196341:KUI196547 LEE196341:LEE196547 LOA196341:LOA196547 LXW196341:LXW196547 MHS196341:MHS196547 MRO196341:MRO196547 NBK196341:NBK196547 NLG196341:NLG196547 NVC196341:NVC196547 OEY196341:OEY196547 OOU196341:OOU196547 OYQ196341:OYQ196547 PIM196341:PIM196547 PSI196341:PSI196547 QCE196341:QCE196547 QMA196341:QMA196547 QVW196341:QVW196547 RFS196341:RFS196547 RPO196341:RPO196547 RZK196341:RZK196547 SJG196341:SJG196547 STC196341:STC196547 TCY196341:TCY196547 TMU196341:TMU196547 TWQ196341:TWQ196547 UGM196341:UGM196547 UQI196341:UQI196547 VAE196341:VAE196547 VKA196341:VKA196547 VTW196341:VTW196547 WDS196341:WDS196547 WNO196341:WNO196547 WXK196341:WXK196547 BB261877:BB262083 KY261877:KY262083 UU261877:UU262083 AEQ261877:AEQ262083 AOM261877:AOM262083 AYI261877:AYI262083 BIE261877:BIE262083 BSA261877:BSA262083 CBW261877:CBW262083 CLS261877:CLS262083 CVO261877:CVO262083 DFK261877:DFK262083 DPG261877:DPG262083 DZC261877:DZC262083 EIY261877:EIY262083 ESU261877:ESU262083 FCQ261877:FCQ262083 FMM261877:FMM262083 FWI261877:FWI262083 GGE261877:GGE262083 GQA261877:GQA262083 GZW261877:GZW262083 HJS261877:HJS262083 HTO261877:HTO262083 IDK261877:IDK262083 ING261877:ING262083 IXC261877:IXC262083 JGY261877:JGY262083 JQU261877:JQU262083 KAQ261877:KAQ262083 KKM261877:KKM262083 KUI261877:KUI262083 LEE261877:LEE262083 LOA261877:LOA262083 LXW261877:LXW262083 MHS261877:MHS262083 MRO261877:MRO262083 NBK261877:NBK262083 NLG261877:NLG262083 NVC261877:NVC262083 OEY261877:OEY262083 OOU261877:OOU262083 OYQ261877:OYQ262083 PIM261877:PIM262083 PSI261877:PSI262083 QCE261877:QCE262083 QMA261877:QMA262083 QVW261877:QVW262083 RFS261877:RFS262083 RPO261877:RPO262083 RZK261877:RZK262083 SJG261877:SJG262083 STC261877:STC262083 TCY261877:TCY262083 TMU261877:TMU262083 TWQ261877:TWQ262083 UGM261877:UGM262083 UQI261877:UQI262083 VAE261877:VAE262083 VKA261877:VKA262083 VTW261877:VTW262083 WDS261877:WDS262083 WNO261877:WNO262083 WXK261877:WXK262083 BB327413:BB327619 KY327413:KY327619 UU327413:UU327619 AEQ327413:AEQ327619 AOM327413:AOM327619 AYI327413:AYI327619 BIE327413:BIE327619 BSA327413:BSA327619 CBW327413:CBW327619 CLS327413:CLS327619 CVO327413:CVO327619 DFK327413:DFK327619 DPG327413:DPG327619 DZC327413:DZC327619 EIY327413:EIY327619 ESU327413:ESU327619 FCQ327413:FCQ327619 FMM327413:FMM327619 FWI327413:FWI327619 GGE327413:GGE327619 GQA327413:GQA327619 GZW327413:GZW327619 HJS327413:HJS327619 HTO327413:HTO327619 IDK327413:IDK327619 ING327413:ING327619 IXC327413:IXC327619 JGY327413:JGY327619 JQU327413:JQU327619 KAQ327413:KAQ327619 KKM327413:KKM327619 KUI327413:KUI327619 LEE327413:LEE327619 LOA327413:LOA327619 LXW327413:LXW327619 MHS327413:MHS327619 MRO327413:MRO327619 NBK327413:NBK327619 NLG327413:NLG327619 NVC327413:NVC327619 OEY327413:OEY327619 OOU327413:OOU327619 OYQ327413:OYQ327619 PIM327413:PIM327619 PSI327413:PSI327619 QCE327413:QCE327619 QMA327413:QMA327619 QVW327413:QVW327619 RFS327413:RFS327619 RPO327413:RPO327619 RZK327413:RZK327619 SJG327413:SJG327619 STC327413:STC327619 TCY327413:TCY327619 TMU327413:TMU327619 TWQ327413:TWQ327619 UGM327413:UGM327619 UQI327413:UQI327619 VAE327413:VAE327619 VKA327413:VKA327619 VTW327413:VTW327619 WDS327413:WDS327619 WNO327413:WNO327619 WXK327413:WXK327619 BB392949:BB393155 KY392949:KY393155 UU392949:UU393155 AEQ392949:AEQ393155 AOM392949:AOM393155 AYI392949:AYI393155 BIE392949:BIE393155 BSA392949:BSA393155 CBW392949:CBW393155 CLS392949:CLS393155 CVO392949:CVO393155 DFK392949:DFK393155 DPG392949:DPG393155 DZC392949:DZC393155 EIY392949:EIY393155 ESU392949:ESU393155 FCQ392949:FCQ393155 FMM392949:FMM393155 FWI392949:FWI393155 GGE392949:GGE393155 GQA392949:GQA393155 GZW392949:GZW393155 HJS392949:HJS393155 HTO392949:HTO393155 IDK392949:IDK393155 ING392949:ING393155 IXC392949:IXC393155 JGY392949:JGY393155 JQU392949:JQU393155 KAQ392949:KAQ393155 KKM392949:KKM393155 KUI392949:KUI393155 LEE392949:LEE393155 LOA392949:LOA393155 LXW392949:LXW393155 MHS392949:MHS393155 MRO392949:MRO393155 NBK392949:NBK393155 NLG392949:NLG393155 NVC392949:NVC393155 OEY392949:OEY393155 OOU392949:OOU393155 OYQ392949:OYQ393155 PIM392949:PIM393155 PSI392949:PSI393155 QCE392949:QCE393155 QMA392949:QMA393155 QVW392949:QVW393155 RFS392949:RFS393155 RPO392949:RPO393155 RZK392949:RZK393155 SJG392949:SJG393155 STC392949:STC393155 TCY392949:TCY393155 TMU392949:TMU393155 TWQ392949:TWQ393155 UGM392949:UGM393155 UQI392949:UQI393155 VAE392949:VAE393155 VKA392949:VKA393155 VTW392949:VTW393155 WDS392949:WDS393155 WNO392949:WNO393155 WXK392949:WXK393155 BB458485:BB458691 KY458485:KY458691 UU458485:UU458691 AEQ458485:AEQ458691 AOM458485:AOM458691 AYI458485:AYI458691 BIE458485:BIE458691 BSA458485:BSA458691 CBW458485:CBW458691 CLS458485:CLS458691 CVO458485:CVO458691 DFK458485:DFK458691 DPG458485:DPG458691 DZC458485:DZC458691 EIY458485:EIY458691 ESU458485:ESU458691 FCQ458485:FCQ458691 FMM458485:FMM458691 FWI458485:FWI458691 GGE458485:GGE458691 GQA458485:GQA458691 GZW458485:GZW458691 HJS458485:HJS458691 HTO458485:HTO458691 IDK458485:IDK458691 ING458485:ING458691 IXC458485:IXC458691 JGY458485:JGY458691 JQU458485:JQU458691 KAQ458485:KAQ458691 KKM458485:KKM458691 KUI458485:KUI458691 LEE458485:LEE458691 LOA458485:LOA458691 LXW458485:LXW458691 MHS458485:MHS458691 MRO458485:MRO458691 NBK458485:NBK458691 NLG458485:NLG458691 NVC458485:NVC458691 OEY458485:OEY458691 OOU458485:OOU458691 OYQ458485:OYQ458691 PIM458485:PIM458691 PSI458485:PSI458691 QCE458485:QCE458691 QMA458485:QMA458691 QVW458485:QVW458691 RFS458485:RFS458691 RPO458485:RPO458691 RZK458485:RZK458691 SJG458485:SJG458691 STC458485:STC458691 TCY458485:TCY458691 TMU458485:TMU458691 TWQ458485:TWQ458691 UGM458485:UGM458691 UQI458485:UQI458691 VAE458485:VAE458691 VKA458485:VKA458691 VTW458485:VTW458691 WDS458485:WDS458691 WNO458485:WNO458691 WXK458485:WXK458691 BB524021:BB524227 KY524021:KY524227 UU524021:UU524227 AEQ524021:AEQ524227 AOM524021:AOM524227 AYI524021:AYI524227 BIE524021:BIE524227 BSA524021:BSA524227 CBW524021:CBW524227 CLS524021:CLS524227 CVO524021:CVO524227 DFK524021:DFK524227 DPG524021:DPG524227 DZC524021:DZC524227 EIY524021:EIY524227 ESU524021:ESU524227 FCQ524021:FCQ524227 FMM524021:FMM524227 FWI524021:FWI524227 GGE524021:GGE524227 GQA524021:GQA524227 GZW524021:GZW524227 HJS524021:HJS524227 HTO524021:HTO524227 IDK524021:IDK524227 ING524021:ING524227 IXC524021:IXC524227 JGY524021:JGY524227 JQU524021:JQU524227 KAQ524021:KAQ524227 KKM524021:KKM524227 KUI524021:KUI524227 LEE524021:LEE524227 LOA524021:LOA524227 LXW524021:LXW524227 MHS524021:MHS524227 MRO524021:MRO524227 NBK524021:NBK524227 NLG524021:NLG524227 NVC524021:NVC524227 OEY524021:OEY524227 OOU524021:OOU524227 OYQ524021:OYQ524227 PIM524021:PIM524227 PSI524021:PSI524227 QCE524021:QCE524227 QMA524021:QMA524227 QVW524021:QVW524227 RFS524021:RFS524227 RPO524021:RPO524227 RZK524021:RZK524227 SJG524021:SJG524227 STC524021:STC524227 TCY524021:TCY524227 TMU524021:TMU524227 TWQ524021:TWQ524227 UGM524021:UGM524227 UQI524021:UQI524227 VAE524021:VAE524227 VKA524021:VKA524227 VTW524021:VTW524227 WDS524021:WDS524227 WNO524021:WNO524227 WXK524021:WXK524227 BB589557:BB589763 KY589557:KY589763 UU589557:UU589763 AEQ589557:AEQ589763 AOM589557:AOM589763 AYI589557:AYI589763 BIE589557:BIE589763 BSA589557:BSA589763 CBW589557:CBW589763 CLS589557:CLS589763 CVO589557:CVO589763 DFK589557:DFK589763 DPG589557:DPG589763 DZC589557:DZC589763 EIY589557:EIY589763 ESU589557:ESU589763 FCQ589557:FCQ589763 FMM589557:FMM589763 FWI589557:FWI589763 GGE589557:GGE589763 GQA589557:GQA589763 GZW589557:GZW589763 HJS589557:HJS589763 HTO589557:HTO589763 IDK589557:IDK589763 ING589557:ING589763 IXC589557:IXC589763 JGY589557:JGY589763 JQU589557:JQU589763 KAQ589557:KAQ589763 KKM589557:KKM589763 KUI589557:KUI589763 LEE589557:LEE589763 LOA589557:LOA589763 LXW589557:LXW589763 MHS589557:MHS589763 MRO589557:MRO589763 NBK589557:NBK589763 NLG589557:NLG589763 NVC589557:NVC589763 OEY589557:OEY589763 OOU589557:OOU589763 OYQ589557:OYQ589763 PIM589557:PIM589763 PSI589557:PSI589763 QCE589557:QCE589763 QMA589557:QMA589763 QVW589557:QVW589763 RFS589557:RFS589763 RPO589557:RPO589763 RZK589557:RZK589763 SJG589557:SJG589763 STC589557:STC589763 TCY589557:TCY589763 TMU589557:TMU589763 TWQ589557:TWQ589763 UGM589557:UGM589763 UQI589557:UQI589763 VAE589557:VAE589763 VKA589557:VKA589763 VTW589557:VTW589763 WDS589557:WDS589763 WNO589557:WNO589763 WXK589557:WXK589763 BB655093:BB655299 KY655093:KY655299 UU655093:UU655299 AEQ655093:AEQ655299 AOM655093:AOM655299 AYI655093:AYI655299 BIE655093:BIE655299 BSA655093:BSA655299 CBW655093:CBW655299 CLS655093:CLS655299 CVO655093:CVO655299 DFK655093:DFK655299 DPG655093:DPG655299 DZC655093:DZC655299 EIY655093:EIY655299 ESU655093:ESU655299 FCQ655093:FCQ655299 FMM655093:FMM655299 FWI655093:FWI655299 GGE655093:GGE655299 GQA655093:GQA655299 GZW655093:GZW655299 HJS655093:HJS655299 HTO655093:HTO655299 IDK655093:IDK655299 ING655093:ING655299 IXC655093:IXC655299 JGY655093:JGY655299 JQU655093:JQU655299 KAQ655093:KAQ655299 KKM655093:KKM655299 KUI655093:KUI655299 LEE655093:LEE655299 LOA655093:LOA655299 LXW655093:LXW655299 MHS655093:MHS655299 MRO655093:MRO655299 NBK655093:NBK655299 NLG655093:NLG655299 NVC655093:NVC655299 OEY655093:OEY655299 OOU655093:OOU655299 OYQ655093:OYQ655299 PIM655093:PIM655299 PSI655093:PSI655299 QCE655093:QCE655299 QMA655093:QMA655299 QVW655093:QVW655299 RFS655093:RFS655299 RPO655093:RPO655299 RZK655093:RZK655299 SJG655093:SJG655299 STC655093:STC655299 TCY655093:TCY655299 TMU655093:TMU655299 TWQ655093:TWQ655299 UGM655093:UGM655299 UQI655093:UQI655299 VAE655093:VAE655299 VKA655093:VKA655299 VTW655093:VTW655299 WDS655093:WDS655299 WNO655093:WNO655299 WXK655093:WXK655299 BB720629:BB720835 KY720629:KY720835 UU720629:UU720835 AEQ720629:AEQ720835 AOM720629:AOM720835 AYI720629:AYI720835 BIE720629:BIE720835 BSA720629:BSA720835 CBW720629:CBW720835 CLS720629:CLS720835 CVO720629:CVO720835 DFK720629:DFK720835 DPG720629:DPG720835 DZC720629:DZC720835 EIY720629:EIY720835 ESU720629:ESU720835 FCQ720629:FCQ720835 FMM720629:FMM720835 FWI720629:FWI720835 GGE720629:GGE720835 GQA720629:GQA720835 GZW720629:GZW720835 HJS720629:HJS720835 HTO720629:HTO720835 IDK720629:IDK720835 ING720629:ING720835 IXC720629:IXC720835 JGY720629:JGY720835 JQU720629:JQU720835 KAQ720629:KAQ720835 KKM720629:KKM720835 KUI720629:KUI720835 LEE720629:LEE720835 LOA720629:LOA720835 LXW720629:LXW720835 MHS720629:MHS720835 MRO720629:MRO720835 NBK720629:NBK720835 NLG720629:NLG720835 NVC720629:NVC720835 OEY720629:OEY720835 OOU720629:OOU720835 OYQ720629:OYQ720835 PIM720629:PIM720835 PSI720629:PSI720835 QCE720629:QCE720835 QMA720629:QMA720835 QVW720629:QVW720835 RFS720629:RFS720835 RPO720629:RPO720835 RZK720629:RZK720835 SJG720629:SJG720835 STC720629:STC720835 TCY720629:TCY720835 TMU720629:TMU720835 TWQ720629:TWQ720835 UGM720629:UGM720835 UQI720629:UQI720835 VAE720629:VAE720835 VKA720629:VKA720835 VTW720629:VTW720835 WDS720629:WDS720835 WNO720629:WNO720835 WXK720629:WXK720835 BB786165:BB786371 KY786165:KY786371 UU786165:UU786371 AEQ786165:AEQ786371 AOM786165:AOM786371 AYI786165:AYI786371 BIE786165:BIE786371 BSA786165:BSA786371 CBW786165:CBW786371 CLS786165:CLS786371 CVO786165:CVO786371 DFK786165:DFK786371 DPG786165:DPG786371 DZC786165:DZC786371 EIY786165:EIY786371 ESU786165:ESU786371 FCQ786165:FCQ786371 FMM786165:FMM786371 FWI786165:FWI786371 GGE786165:GGE786371 GQA786165:GQA786371 GZW786165:GZW786371 HJS786165:HJS786371 HTO786165:HTO786371 IDK786165:IDK786371 ING786165:ING786371 IXC786165:IXC786371 JGY786165:JGY786371 JQU786165:JQU786371 KAQ786165:KAQ786371 KKM786165:KKM786371 KUI786165:KUI786371 LEE786165:LEE786371 LOA786165:LOA786371 LXW786165:LXW786371 MHS786165:MHS786371 MRO786165:MRO786371 NBK786165:NBK786371 NLG786165:NLG786371 NVC786165:NVC786371 OEY786165:OEY786371 OOU786165:OOU786371 OYQ786165:OYQ786371 PIM786165:PIM786371 PSI786165:PSI786371 QCE786165:QCE786371 QMA786165:QMA786371 QVW786165:QVW786371 RFS786165:RFS786371 RPO786165:RPO786371 RZK786165:RZK786371 SJG786165:SJG786371 STC786165:STC786371 TCY786165:TCY786371 TMU786165:TMU786371 TWQ786165:TWQ786371 UGM786165:UGM786371 UQI786165:UQI786371 VAE786165:VAE786371 VKA786165:VKA786371 VTW786165:VTW786371 WDS786165:WDS786371 WNO786165:WNO786371 WXK786165:WXK786371 BB851701:BB851907 KY851701:KY851907 UU851701:UU851907 AEQ851701:AEQ851907 AOM851701:AOM851907 AYI851701:AYI851907 BIE851701:BIE851907 BSA851701:BSA851907 CBW851701:CBW851907 CLS851701:CLS851907 CVO851701:CVO851907 DFK851701:DFK851907 DPG851701:DPG851907 DZC851701:DZC851907 EIY851701:EIY851907 ESU851701:ESU851907 FCQ851701:FCQ851907 FMM851701:FMM851907 FWI851701:FWI851907 GGE851701:GGE851907 GQA851701:GQA851907 GZW851701:GZW851907 HJS851701:HJS851907 HTO851701:HTO851907 IDK851701:IDK851907 ING851701:ING851907 IXC851701:IXC851907 JGY851701:JGY851907 JQU851701:JQU851907 KAQ851701:KAQ851907 KKM851701:KKM851907 KUI851701:KUI851907 LEE851701:LEE851907 LOA851701:LOA851907 LXW851701:LXW851907 MHS851701:MHS851907 MRO851701:MRO851907 NBK851701:NBK851907 NLG851701:NLG851907 NVC851701:NVC851907 OEY851701:OEY851907 OOU851701:OOU851907 OYQ851701:OYQ851907 PIM851701:PIM851907 PSI851701:PSI851907 QCE851701:QCE851907 QMA851701:QMA851907 QVW851701:QVW851907 RFS851701:RFS851907 RPO851701:RPO851907 RZK851701:RZK851907 SJG851701:SJG851907 STC851701:STC851907 TCY851701:TCY851907 TMU851701:TMU851907 TWQ851701:TWQ851907 UGM851701:UGM851907 UQI851701:UQI851907 VAE851701:VAE851907 VKA851701:VKA851907 VTW851701:VTW851907 WDS851701:WDS851907 WNO851701:WNO851907 WXK851701:WXK851907 BB917237:BB917443 KY917237:KY917443 UU917237:UU917443 AEQ917237:AEQ917443 AOM917237:AOM917443 AYI917237:AYI917443 BIE917237:BIE917443 BSA917237:BSA917443 CBW917237:CBW917443 CLS917237:CLS917443 CVO917237:CVO917443 DFK917237:DFK917443 DPG917237:DPG917443 DZC917237:DZC917443 EIY917237:EIY917443 ESU917237:ESU917443 FCQ917237:FCQ917443 FMM917237:FMM917443 FWI917237:FWI917443 GGE917237:GGE917443 GQA917237:GQA917443 GZW917237:GZW917443 HJS917237:HJS917443 HTO917237:HTO917443 IDK917237:IDK917443 ING917237:ING917443 IXC917237:IXC917443 JGY917237:JGY917443 JQU917237:JQU917443 KAQ917237:KAQ917443 KKM917237:KKM917443 KUI917237:KUI917443 LEE917237:LEE917443 LOA917237:LOA917443 LXW917237:LXW917443 MHS917237:MHS917443 MRO917237:MRO917443 NBK917237:NBK917443 NLG917237:NLG917443 NVC917237:NVC917443 OEY917237:OEY917443 OOU917237:OOU917443 OYQ917237:OYQ917443 PIM917237:PIM917443 PSI917237:PSI917443 QCE917237:QCE917443 QMA917237:QMA917443 QVW917237:QVW917443 RFS917237:RFS917443 RPO917237:RPO917443 RZK917237:RZK917443 SJG917237:SJG917443 STC917237:STC917443 TCY917237:TCY917443 TMU917237:TMU917443 TWQ917237:TWQ917443 UGM917237:UGM917443 UQI917237:UQI917443 VAE917237:VAE917443 VKA917237:VKA917443 VTW917237:VTW917443 WDS917237:WDS917443 WNO917237:WNO917443 WXK917237:WXK917443 BB982773:BB982979 KY982773:KY982979 UU982773:UU982979 AEQ982773:AEQ982979 AOM982773:AOM982979 AYI982773:AYI982979 BIE982773:BIE982979 BSA982773:BSA982979 CBW982773:CBW982979 CLS982773:CLS982979 CVO982773:CVO982979 DFK982773:DFK982979 DPG982773:DPG982979 DZC982773:DZC982979 EIY982773:EIY982979 ESU982773:ESU982979 FCQ982773:FCQ982979 FMM982773:FMM982979 FWI982773:FWI982979 GGE982773:GGE982979 GQA982773:GQA982979 GZW982773:GZW982979 HJS982773:HJS982979 HTO982773:HTO982979 IDK982773:IDK982979 ING982773:ING982979 IXC982773:IXC982979 JGY982773:JGY982979 JQU982773:JQU982979 KAQ982773:KAQ982979 KKM982773:KKM982979 KUI982773:KUI982979 LEE982773:LEE982979 LOA982773:LOA982979 LXW982773:LXW982979 MHS982773:MHS982979 MRO982773:MRO982979 NBK982773:NBK982979 NLG982773:NLG982979 NVC982773:NVC982979 OEY982773:OEY982979 OOU982773:OOU982979 OYQ982773:OYQ982979 PIM982773:PIM982979 PSI982773:PSI982979 QCE982773:QCE982979 QMA982773:QMA982979 QVW982773:QVW982979 RFS982773:RFS982979 RPO982773:RPO982979 RZK982773:RZK982979 SJG982773:SJG982979 STC982773:STC982979 TCY982773:TCY982979 TMU982773:TMU982979 TWQ982773:TWQ982979 UGM982773:UGM982979 UQI982773:UQI982979 VAE982773:VAE982979 VKA982773:VKA982979 VTW982773:VTW982979 WDS982773:WDS982979 WNO982773:WNO982979 WXK982773:WXK982979 WXK5:WXK11 KY5:KY11 UU5:UU11 AEQ5:AEQ11 AOM5:AOM11 AYI5:AYI11 BIE5:BIE11 BSA5:BSA11 CBW5:CBW11 CLS5:CLS11 CVO5:CVO11 DFK5:DFK11 DPG5:DPG11 DZC5:DZC11 EIY5:EIY11 ESU5:ESU11 FCQ5:FCQ11 FMM5:FMM11 FWI5:FWI11 GGE5:GGE11 GQA5:GQA11 GZW5:GZW11 HJS5:HJS11 HTO5:HTO11 IDK5:IDK11 ING5:ING11 IXC5:IXC11 JGY5:JGY11 JQU5:JQU11 KAQ5:KAQ11 KKM5:KKM11 KUI5:KUI11 LEE5:LEE11 LOA5:LOA11 LXW5:LXW11 MHS5:MHS11 MRO5:MRO11 NBK5:NBK11 NLG5:NLG11 NVC5:NVC11 OEY5:OEY11 OOU5:OOU11 OYQ5:OYQ11 PIM5:PIM11 PSI5:PSI11 QCE5:QCE11 QMA5:QMA11 QVW5:QVW11 RFS5:RFS11 RPO5:RPO11 RZK5:RZK11 SJG5:SJG11 STC5:STC11 TCY5:TCY11 TMU5:TMU11 TWQ5:TWQ11 UGM5:UGM11 UQI5:UQI11 VAE5:VAE11 VKA5:VKA11 VTW5:VTW11 WDS5:WDS11 WNO5:WNO11">
      <formula1>0</formula1>
      <formula2>100000</formula2>
    </dataValidation>
    <dataValidation type="list" allowBlank="1" showInputMessage="1" showErrorMessage="1" sqref="W65269:W65471 WWO982773:WWO982975 WMS982773:WMS982975 WCW982773:WCW982975 VTA982773:VTA982975 VJE982773:VJE982975 UZI982773:UZI982975 UPM982773:UPM982975 UFQ982773:UFQ982975 TVU982773:TVU982975 TLY982773:TLY982975 TCC982773:TCC982975 SSG982773:SSG982975 SIK982773:SIK982975 RYO982773:RYO982975 ROS982773:ROS982975 REW982773:REW982975 QVA982773:QVA982975 QLE982773:QLE982975 QBI982773:QBI982975 PRM982773:PRM982975 PHQ982773:PHQ982975 OXU982773:OXU982975 ONY982773:ONY982975 OEC982773:OEC982975 NUG982773:NUG982975 NKK982773:NKK982975 NAO982773:NAO982975 MQS982773:MQS982975 MGW982773:MGW982975 LXA982773:LXA982975 LNE982773:LNE982975 LDI982773:LDI982975 KTM982773:KTM982975 KJQ982773:KJQ982975 JZU982773:JZU982975 JPY982773:JPY982975 JGC982773:JGC982975 IWG982773:IWG982975 IMK982773:IMK982975 ICO982773:ICO982975 HSS982773:HSS982975 HIW982773:HIW982975 GZA982773:GZA982975 GPE982773:GPE982975 GFI982773:GFI982975 FVM982773:FVM982975 FLQ982773:FLQ982975 FBU982773:FBU982975 ERY982773:ERY982975 EIC982773:EIC982975 DYG982773:DYG982975 DOK982773:DOK982975 DEO982773:DEO982975 CUS982773:CUS982975 CKW982773:CKW982975 CBA982773:CBA982975 BRE982773:BRE982975 BHI982773:BHI982975 AXM982773:AXM982975 ANQ982773:ANQ982975 ADU982773:ADU982975 TY982773:TY982975 KC982773:KC982975 W982773:W982975 WWO917237:WWO917439 WMS917237:WMS917439 WCW917237:WCW917439 VTA917237:VTA917439 VJE917237:VJE917439 UZI917237:UZI917439 UPM917237:UPM917439 UFQ917237:UFQ917439 TVU917237:TVU917439 TLY917237:TLY917439 TCC917237:TCC917439 SSG917237:SSG917439 SIK917237:SIK917439 RYO917237:RYO917439 ROS917237:ROS917439 REW917237:REW917439 QVA917237:QVA917439 QLE917237:QLE917439 QBI917237:QBI917439 PRM917237:PRM917439 PHQ917237:PHQ917439 OXU917237:OXU917439 ONY917237:ONY917439 OEC917237:OEC917439 NUG917237:NUG917439 NKK917237:NKK917439 NAO917237:NAO917439 MQS917237:MQS917439 MGW917237:MGW917439 LXA917237:LXA917439 LNE917237:LNE917439 LDI917237:LDI917439 KTM917237:KTM917439 KJQ917237:KJQ917439 JZU917237:JZU917439 JPY917237:JPY917439 JGC917237:JGC917439 IWG917237:IWG917439 IMK917237:IMK917439 ICO917237:ICO917439 HSS917237:HSS917439 HIW917237:HIW917439 GZA917237:GZA917439 GPE917237:GPE917439 GFI917237:GFI917439 FVM917237:FVM917439 FLQ917237:FLQ917439 FBU917237:FBU917439 ERY917237:ERY917439 EIC917237:EIC917439 DYG917237:DYG917439 DOK917237:DOK917439 DEO917237:DEO917439 CUS917237:CUS917439 CKW917237:CKW917439 CBA917237:CBA917439 BRE917237:BRE917439 BHI917237:BHI917439 AXM917237:AXM917439 ANQ917237:ANQ917439 ADU917237:ADU917439 TY917237:TY917439 KC917237:KC917439 W917237:W917439 WWO851701:WWO851903 WMS851701:WMS851903 WCW851701:WCW851903 VTA851701:VTA851903 VJE851701:VJE851903 UZI851701:UZI851903 UPM851701:UPM851903 UFQ851701:UFQ851903 TVU851701:TVU851903 TLY851701:TLY851903 TCC851701:TCC851903 SSG851701:SSG851903 SIK851701:SIK851903 RYO851701:RYO851903 ROS851701:ROS851903 REW851701:REW851903 QVA851701:QVA851903 QLE851701:QLE851903 QBI851701:QBI851903 PRM851701:PRM851903 PHQ851701:PHQ851903 OXU851701:OXU851903 ONY851701:ONY851903 OEC851701:OEC851903 NUG851701:NUG851903 NKK851701:NKK851903 NAO851701:NAO851903 MQS851701:MQS851903 MGW851701:MGW851903 LXA851701:LXA851903 LNE851701:LNE851903 LDI851701:LDI851903 KTM851701:KTM851903 KJQ851701:KJQ851903 JZU851701:JZU851903 JPY851701:JPY851903 JGC851701:JGC851903 IWG851701:IWG851903 IMK851701:IMK851903 ICO851701:ICO851903 HSS851701:HSS851903 HIW851701:HIW851903 GZA851701:GZA851903 GPE851701:GPE851903 GFI851701:GFI851903 FVM851701:FVM851903 FLQ851701:FLQ851903 FBU851701:FBU851903 ERY851701:ERY851903 EIC851701:EIC851903 DYG851701:DYG851903 DOK851701:DOK851903 DEO851701:DEO851903 CUS851701:CUS851903 CKW851701:CKW851903 CBA851701:CBA851903 BRE851701:BRE851903 BHI851701:BHI851903 AXM851701:AXM851903 ANQ851701:ANQ851903 ADU851701:ADU851903 TY851701:TY851903 KC851701:KC851903 W851701:W851903 WWO786165:WWO786367 WMS786165:WMS786367 WCW786165:WCW786367 VTA786165:VTA786367 VJE786165:VJE786367 UZI786165:UZI786367 UPM786165:UPM786367 UFQ786165:UFQ786367 TVU786165:TVU786367 TLY786165:TLY786367 TCC786165:TCC786367 SSG786165:SSG786367 SIK786165:SIK786367 RYO786165:RYO786367 ROS786165:ROS786367 REW786165:REW786367 QVA786165:QVA786367 QLE786165:QLE786367 QBI786165:QBI786367 PRM786165:PRM786367 PHQ786165:PHQ786367 OXU786165:OXU786367 ONY786165:ONY786367 OEC786165:OEC786367 NUG786165:NUG786367 NKK786165:NKK786367 NAO786165:NAO786367 MQS786165:MQS786367 MGW786165:MGW786367 LXA786165:LXA786367 LNE786165:LNE786367 LDI786165:LDI786367 KTM786165:KTM786367 KJQ786165:KJQ786367 JZU786165:JZU786367 JPY786165:JPY786367 JGC786165:JGC786367 IWG786165:IWG786367 IMK786165:IMK786367 ICO786165:ICO786367 HSS786165:HSS786367 HIW786165:HIW786367 GZA786165:GZA786367 GPE786165:GPE786367 GFI786165:GFI786367 FVM786165:FVM786367 FLQ786165:FLQ786367 FBU786165:FBU786367 ERY786165:ERY786367 EIC786165:EIC786367 DYG786165:DYG786367 DOK786165:DOK786367 DEO786165:DEO786367 CUS786165:CUS786367 CKW786165:CKW786367 CBA786165:CBA786367 BRE786165:BRE786367 BHI786165:BHI786367 AXM786165:AXM786367 ANQ786165:ANQ786367 ADU786165:ADU786367 TY786165:TY786367 KC786165:KC786367 W786165:W786367 WWO720629:WWO720831 WMS720629:WMS720831 WCW720629:WCW720831 VTA720629:VTA720831 VJE720629:VJE720831 UZI720629:UZI720831 UPM720629:UPM720831 UFQ720629:UFQ720831 TVU720629:TVU720831 TLY720629:TLY720831 TCC720629:TCC720831 SSG720629:SSG720831 SIK720629:SIK720831 RYO720629:RYO720831 ROS720629:ROS720831 REW720629:REW720831 QVA720629:QVA720831 QLE720629:QLE720831 QBI720629:QBI720831 PRM720629:PRM720831 PHQ720629:PHQ720831 OXU720629:OXU720831 ONY720629:ONY720831 OEC720629:OEC720831 NUG720629:NUG720831 NKK720629:NKK720831 NAO720629:NAO720831 MQS720629:MQS720831 MGW720629:MGW720831 LXA720629:LXA720831 LNE720629:LNE720831 LDI720629:LDI720831 KTM720629:KTM720831 KJQ720629:KJQ720831 JZU720629:JZU720831 JPY720629:JPY720831 JGC720629:JGC720831 IWG720629:IWG720831 IMK720629:IMK720831 ICO720629:ICO720831 HSS720629:HSS720831 HIW720629:HIW720831 GZA720629:GZA720831 GPE720629:GPE720831 GFI720629:GFI720831 FVM720629:FVM720831 FLQ720629:FLQ720831 FBU720629:FBU720831 ERY720629:ERY720831 EIC720629:EIC720831 DYG720629:DYG720831 DOK720629:DOK720831 DEO720629:DEO720831 CUS720629:CUS720831 CKW720629:CKW720831 CBA720629:CBA720831 BRE720629:BRE720831 BHI720629:BHI720831 AXM720629:AXM720831 ANQ720629:ANQ720831 ADU720629:ADU720831 TY720629:TY720831 KC720629:KC720831 W720629:W720831 WWO655093:WWO655295 WMS655093:WMS655295 WCW655093:WCW655295 VTA655093:VTA655295 VJE655093:VJE655295 UZI655093:UZI655295 UPM655093:UPM655295 UFQ655093:UFQ655295 TVU655093:TVU655295 TLY655093:TLY655295 TCC655093:TCC655295 SSG655093:SSG655295 SIK655093:SIK655295 RYO655093:RYO655295 ROS655093:ROS655295 REW655093:REW655295 QVA655093:QVA655295 QLE655093:QLE655295 QBI655093:QBI655295 PRM655093:PRM655295 PHQ655093:PHQ655295 OXU655093:OXU655295 ONY655093:ONY655295 OEC655093:OEC655295 NUG655093:NUG655295 NKK655093:NKK655295 NAO655093:NAO655295 MQS655093:MQS655295 MGW655093:MGW655295 LXA655093:LXA655295 LNE655093:LNE655295 LDI655093:LDI655295 KTM655093:KTM655295 KJQ655093:KJQ655295 JZU655093:JZU655295 JPY655093:JPY655295 JGC655093:JGC655295 IWG655093:IWG655295 IMK655093:IMK655295 ICO655093:ICO655295 HSS655093:HSS655295 HIW655093:HIW655295 GZA655093:GZA655295 GPE655093:GPE655295 GFI655093:GFI655295 FVM655093:FVM655295 FLQ655093:FLQ655295 FBU655093:FBU655295 ERY655093:ERY655295 EIC655093:EIC655295 DYG655093:DYG655295 DOK655093:DOK655295 DEO655093:DEO655295 CUS655093:CUS655295 CKW655093:CKW655295 CBA655093:CBA655295 BRE655093:BRE655295 BHI655093:BHI655295 AXM655093:AXM655295 ANQ655093:ANQ655295 ADU655093:ADU655295 TY655093:TY655295 KC655093:KC655295 W655093:W655295 WWO589557:WWO589759 WMS589557:WMS589759 WCW589557:WCW589759 VTA589557:VTA589759 VJE589557:VJE589759 UZI589557:UZI589759 UPM589557:UPM589759 UFQ589557:UFQ589759 TVU589557:TVU589759 TLY589557:TLY589759 TCC589557:TCC589759 SSG589557:SSG589759 SIK589557:SIK589759 RYO589557:RYO589759 ROS589557:ROS589759 REW589557:REW589759 QVA589557:QVA589759 QLE589557:QLE589759 QBI589557:QBI589759 PRM589557:PRM589759 PHQ589557:PHQ589759 OXU589557:OXU589759 ONY589557:ONY589759 OEC589557:OEC589759 NUG589557:NUG589759 NKK589557:NKK589759 NAO589557:NAO589759 MQS589557:MQS589759 MGW589557:MGW589759 LXA589557:LXA589759 LNE589557:LNE589759 LDI589557:LDI589759 KTM589557:KTM589759 KJQ589557:KJQ589759 JZU589557:JZU589759 JPY589557:JPY589759 JGC589557:JGC589759 IWG589557:IWG589759 IMK589557:IMK589759 ICO589557:ICO589759 HSS589557:HSS589759 HIW589557:HIW589759 GZA589557:GZA589759 GPE589557:GPE589759 GFI589557:GFI589759 FVM589557:FVM589759 FLQ589557:FLQ589759 FBU589557:FBU589759 ERY589557:ERY589759 EIC589557:EIC589759 DYG589557:DYG589759 DOK589557:DOK589759 DEO589557:DEO589759 CUS589557:CUS589759 CKW589557:CKW589759 CBA589557:CBA589759 BRE589557:BRE589759 BHI589557:BHI589759 AXM589557:AXM589759 ANQ589557:ANQ589759 ADU589557:ADU589759 TY589557:TY589759 KC589557:KC589759 W589557:W589759 WWO524021:WWO524223 WMS524021:WMS524223 WCW524021:WCW524223 VTA524021:VTA524223 VJE524021:VJE524223 UZI524021:UZI524223 UPM524021:UPM524223 UFQ524021:UFQ524223 TVU524021:TVU524223 TLY524021:TLY524223 TCC524021:TCC524223 SSG524021:SSG524223 SIK524021:SIK524223 RYO524021:RYO524223 ROS524021:ROS524223 REW524021:REW524223 QVA524021:QVA524223 QLE524021:QLE524223 QBI524021:QBI524223 PRM524021:PRM524223 PHQ524021:PHQ524223 OXU524021:OXU524223 ONY524021:ONY524223 OEC524021:OEC524223 NUG524021:NUG524223 NKK524021:NKK524223 NAO524021:NAO524223 MQS524021:MQS524223 MGW524021:MGW524223 LXA524021:LXA524223 LNE524021:LNE524223 LDI524021:LDI524223 KTM524021:KTM524223 KJQ524021:KJQ524223 JZU524021:JZU524223 JPY524021:JPY524223 JGC524021:JGC524223 IWG524021:IWG524223 IMK524021:IMK524223 ICO524021:ICO524223 HSS524021:HSS524223 HIW524021:HIW524223 GZA524021:GZA524223 GPE524021:GPE524223 GFI524021:GFI524223 FVM524021:FVM524223 FLQ524021:FLQ524223 FBU524021:FBU524223 ERY524021:ERY524223 EIC524021:EIC524223 DYG524021:DYG524223 DOK524021:DOK524223 DEO524021:DEO524223 CUS524021:CUS524223 CKW524021:CKW524223 CBA524021:CBA524223 BRE524021:BRE524223 BHI524021:BHI524223 AXM524021:AXM524223 ANQ524021:ANQ524223 ADU524021:ADU524223 TY524021:TY524223 KC524021:KC524223 W524021:W524223 WWO458485:WWO458687 WMS458485:WMS458687 WCW458485:WCW458687 VTA458485:VTA458687 VJE458485:VJE458687 UZI458485:UZI458687 UPM458485:UPM458687 UFQ458485:UFQ458687 TVU458485:TVU458687 TLY458485:TLY458687 TCC458485:TCC458687 SSG458485:SSG458687 SIK458485:SIK458687 RYO458485:RYO458687 ROS458485:ROS458687 REW458485:REW458687 QVA458485:QVA458687 QLE458485:QLE458687 QBI458485:QBI458687 PRM458485:PRM458687 PHQ458485:PHQ458687 OXU458485:OXU458687 ONY458485:ONY458687 OEC458485:OEC458687 NUG458485:NUG458687 NKK458485:NKK458687 NAO458485:NAO458687 MQS458485:MQS458687 MGW458485:MGW458687 LXA458485:LXA458687 LNE458485:LNE458687 LDI458485:LDI458687 KTM458485:KTM458687 KJQ458485:KJQ458687 JZU458485:JZU458687 JPY458485:JPY458687 JGC458485:JGC458687 IWG458485:IWG458687 IMK458485:IMK458687 ICO458485:ICO458687 HSS458485:HSS458687 HIW458485:HIW458687 GZA458485:GZA458687 GPE458485:GPE458687 GFI458485:GFI458687 FVM458485:FVM458687 FLQ458485:FLQ458687 FBU458485:FBU458687 ERY458485:ERY458687 EIC458485:EIC458687 DYG458485:DYG458687 DOK458485:DOK458687 DEO458485:DEO458687 CUS458485:CUS458687 CKW458485:CKW458687 CBA458485:CBA458687 BRE458485:BRE458687 BHI458485:BHI458687 AXM458485:AXM458687 ANQ458485:ANQ458687 ADU458485:ADU458687 TY458485:TY458687 KC458485:KC458687 W458485:W458687 WWO392949:WWO393151 WMS392949:WMS393151 WCW392949:WCW393151 VTA392949:VTA393151 VJE392949:VJE393151 UZI392949:UZI393151 UPM392949:UPM393151 UFQ392949:UFQ393151 TVU392949:TVU393151 TLY392949:TLY393151 TCC392949:TCC393151 SSG392949:SSG393151 SIK392949:SIK393151 RYO392949:RYO393151 ROS392949:ROS393151 REW392949:REW393151 QVA392949:QVA393151 QLE392949:QLE393151 QBI392949:QBI393151 PRM392949:PRM393151 PHQ392949:PHQ393151 OXU392949:OXU393151 ONY392949:ONY393151 OEC392949:OEC393151 NUG392949:NUG393151 NKK392949:NKK393151 NAO392949:NAO393151 MQS392949:MQS393151 MGW392949:MGW393151 LXA392949:LXA393151 LNE392949:LNE393151 LDI392949:LDI393151 KTM392949:KTM393151 KJQ392949:KJQ393151 JZU392949:JZU393151 JPY392949:JPY393151 JGC392949:JGC393151 IWG392949:IWG393151 IMK392949:IMK393151 ICO392949:ICO393151 HSS392949:HSS393151 HIW392949:HIW393151 GZA392949:GZA393151 GPE392949:GPE393151 GFI392949:GFI393151 FVM392949:FVM393151 FLQ392949:FLQ393151 FBU392949:FBU393151 ERY392949:ERY393151 EIC392949:EIC393151 DYG392949:DYG393151 DOK392949:DOK393151 DEO392949:DEO393151 CUS392949:CUS393151 CKW392949:CKW393151 CBA392949:CBA393151 BRE392949:BRE393151 BHI392949:BHI393151 AXM392949:AXM393151 ANQ392949:ANQ393151 ADU392949:ADU393151 TY392949:TY393151 KC392949:KC393151 W392949:W393151 WWO327413:WWO327615 WMS327413:WMS327615 WCW327413:WCW327615 VTA327413:VTA327615 VJE327413:VJE327615 UZI327413:UZI327615 UPM327413:UPM327615 UFQ327413:UFQ327615 TVU327413:TVU327615 TLY327413:TLY327615 TCC327413:TCC327615 SSG327413:SSG327615 SIK327413:SIK327615 RYO327413:RYO327615 ROS327413:ROS327615 REW327413:REW327615 QVA327413:QVA327615 QLE327413:QLE327615 QBI327413:QBI327615 PRM327413:PRM327615 PHQ327413:PHQ327615 OXU327413:OXU327615 ONY327413:ONY327615 OEC327413:OEC327615 NUG327413:NUG327615 NKK327413:NKK327615 NAO327413:NAO327615 MQS327413:MQS327615 MGW327413:MGW327615 LXA327413:LXA327615 LNE327413:LNE327615 LDI327413:LDI327615 KTM327413:KTM327615 KJQ327413:KJQ327615 JZU327413:JZU327615 JPY327413:JPY327615 JGC327413:JGC327615 IWG327413:IWG327615 IMK327413:IMK327615 ICO327413:ICO327615 HSS327413:HSS327615 HIW327413:HIW327615 GZA327413:GZA327615 GPE327413:GPE327615 GFI327413:GFI327615 FVM327413:FVM327615 FLQ327413:FLQ327615 FBU327413:FBU327615 ERY327413:ERY327615 EIC327413:EIC327615 DYG327413:DYG327615 DOK327413:DOK327615 DEO327413:DEO327615 CUS327413:CUS327615 CKW327413:CKW327615 CBA327413:CBA327615 BRE327413:BRE327615 BHI327413:BHI327615 AXM327413:AXM327615 ANQ327413:ANQ327615 ADU327413:ADU327615 TY327413:TY327615 KC327413:KC327615 W327413:W327615 WWO261877:WWO262079 WMS261877:WMS262079 WCW261877:WCW262079 VTA261877:VTA262079 VJE261877:VJE262079 UZI261877:UZI262079 UPM261877:UPM262079 UFQ261877:UFQ262079 TVU261877:TVU262079 TLY261877:TLY262079 TCC261877:TCC262079 SSG261877:SSG262079 SIK261877:SIK262079 RYO261877:RYO262079 ROS261877:ROS262079 REW261877:REW262079 QVA261877:QVA262079 QLE261877:QLE262079 QBI261877:QBI262079 PRM261877:PRM262079 PHQ261877:PHQ262079 OXU261877:OXU262079 ONY261877:ONY262079 OEC261877:OEC262079 NUG261877:NUG262079 NKK261877:NKK262079 NAO261877:NAO262079 MQS261877:MQS262079 MGW261877:MGW262079 LXA261877:LXA262079 LNE261877:LNE262079 LDI261877:LDI262079 KTM261877:KTM262079 KJQ261877:KJQ262079 JZU261877:JZU262079 JPY261877:JPY262079 JGC261877:JGC262079 IWG261877:IWG262079 IMK261877:IMK262079 ICO261877:ICO262079 HSS261877:HSS262079 HIW261877:HIW262079 GZA261877:GZA262079 GPE261877:GPE262079 GFI261877:GFI262079 FVM261877:FVM262079 FLQ261877:FLQ262079 FBU261877:FBU262079 ERY261877:ERY262079 EIC261877:EIC262079 DYG261877:DYG262079 DOK261877:DOK262079 DEO261877:DEO262079 CUS261877:CUS262079 CKW261877:CKW262079 CBA261877:CBA262079 BRE261877:BRE262079 BHI261877:BHI262079 AXM261877:AXM262079 ANQ261877:ANQ262079 ADU261877:ADU262079 TY261877:TY262079 KC261877:KC262079 W261877:W262079 WWO196341:WWO196543 WMS196341:WMS196543 WCW196341:WCW196543 VTA196341:VTA196543 VJE196341:VJE196543 UZI196341:UZI196543 UPM196341:UPM196543 UFQ196341:UFQ196543 TVU196341:TVU196543 TLY196341:TLY196543 TCC196341:TCC196543 SSG196341:SSG196543 SIK196341:SIK196543 RYO196341:RYO196543 ROS196341:ROS196543 REW196341:REW196543 QVA196341:QVA196543 QLE196341:QLE196543 QBI196341:QBI196543 PRM196341:PRM196543 PHQ196341:PHQ196543 OXU196341:OXU196543 ONY196341:ONY196543 OEC196341:OEC196543 NUG196341:NUG196543 NKK196341:NKK196543 NAO196341:NAO196543 MQS196341:MQS196543 MGW196341:MGW196543 LXA196341:LXA196543 LNE196341:LNE196543 LDI196341:LDI196543 KTM196341:KTM196543 KJQ196341:KJQ196543 JZU196341:JZU196543 JPY196341:JPY196543 JGC196341:JGC196543 IWG196341:IWG196543 IMK196341:IMK196543 ICO196341:ICO196543 HSS196341:HSS196543 HIW196341:HIW196543 GZA196341:GZA196543 GPE196341:GPE196543 GFI196341:GFI196543 FVM196341:FVM196543 FLQ196341:FLQ196543 FBU196341:FBU196543 ERY196341:ERY196543 EIC196341:EIC196543 DYG196341:DYG196543 DOK196341:DOK196543 DEO196341:DEO196543 CUS196341:CUS196543 CKW196341:CKW196543 CBA196341:CBA196543 BRE196341:BRE196543 BHI196341:BHI196543 AXM196341:AXM196543 ANQ196341:ANQ196543 ADU196341:ADU196543 TY196341:TY196543 KC196341:KC196543 W196341:W196543 WWO130805:WWO131007 WMS130805:WMS131007 WCW130805:WCW131007 VTA130805:VTA131007 VJE130805:VJE131007 UZI130805:UZI131007 UPM130805:UPM131007 UFQ130805:UFQ131007 TVU130805:TVU131007 TLY130805:TLY131007 TCC130805:TCC131007 SSG130805:SSG131007 SIK130805:SIK131007 RYO130805:RYO131007 ROS130805:ROS131007 REW130805:REW131007 QVA130805:QVA131007 QLE130805:QLE131007 QBI130805:QBI131007 PRM130805:PRM131007 PHQ130805:PHQ131007 OXU130805:OXU131007 ONY130805:ONY131007 OEC130805:OEC131007 NUG130805:NUG131007 NKK130805:NKK131007 NAO130805:NAO131007 MQS130805:MQS131007 MGW130805:MGW131007 LXA130805:LXA131007 LNE130805:LNE131007 LDI130805:LDI131007 KTM130805:KTM131007 KJQ130805:KJQ131007 JZU130805:JZU131007 JPY130805:JPY131007 JGC130805:JGC131007 IWG130805:IWG131007 IMK130805:IMK131007 ICO130805:ICO131007 HSS130805:HSS131007 HIW130805:HIW131007 GZA130805:GZA131007 GPE130805:GPE131007 GFI130805:GFI131007 FVM130805:FVM131007 FLQ130805:FLQ131007 FBU130805:FBU131007 ERY130805:ERY131007 EIC130805:EIC131007 DYG130805:DYG131007 DOK130805:DOK131007 DEO130805:DEO131007 CUS130805:CUS131007 CKW130805:CKW131007 CBA130805:CBA131007 BRE130805:BRE131007 BHI130805:BHI131007 AXM130805:AXM131007 ANQ130805:ANQ131007 ADU130805:ADU131007 TY130805:TY131007 KC130805:KC131007 W130805:W131007 WWO65269:WWO65471 WMS65269:WMS65471 WCW65269:WCW65471 VTA65269:VTA65471 VJE65269:VJE65471 UZI65269:UZI65471 UPM65269:UPM65471 UFQ65269:UFQ65471 TVU65269:TVU65471 TLY65269:TLY65471 TCC65269:TCC65471 SSG65269:SSG65471 SIK65269:SIK65471 RYO65269:RYO65471 ROS65269:ROS65471 REW65269:REW65471 QVA65269:QVA65471 QLE65269:QLE65471 QBI65269:QBI65471 PRM65269:PRM65471 PHQ65269:PHQ65471 OXU65269:OXU65471 ONY65269:ONY65471 OEC65269:OEC65471 NUG65269:NUG65471 NKK65269:NKK65471 NAO65269:NAO65471 MQS65269:MQS65471 MGW65269:MGW65471 LXA65269:LXA65471 LNE65269:LNE65471 LDI65269:LDI65471 KTM65269:KTM65471 KJQ65269:KJQ65471 JZU65269:JZU65471 JPY65269:JPY65471 JGC65269:JGC65471 IWG65269:IWG65471 IMK65269:IMK65471 ICO65269:ICO65471 HSS65269:HSS65471 HIW65269:HIW65471 GZA65269:GZA65471 GPE65269:GPE65471 GFI65269:GFI65471 FVM65269:FVM65471 FLQ65269:FLQ65471 FBU65269:FBU65471 ERY65269:ERY65471 EIC65269:EIC65471 DYG65269:DYG65471 DOK65269:DOK65471 DEO65269:DEO65471 CUS65269:CUS65471 CKW65269:CKW65471 CBA65269:CBA65471 BRE65269:BRE65471 BHI65269:BHI65471 AXM65269:AXM65471 ANQ65269:ANQ65471 ADU65269:ADU65471 TY65269:TY65471 KC65269:KC65471 WWO5:WWO11 WMS5:WMS11 WCW5:WCW11 VTA5:VTA11 VJE5:VJE11 UZI5:UZI11 UPM5:UPM11 UFQ5:UFQ11 TVU5:TVU11 TLY5:TLY11 TCC5:TCC11 SSG5:SSG11 SIK5:SIK11 RYO5:RYO11 ROS5:ROS11 REW5:REW11 QVA5:QVA11 QLE5:QLE11 QBI5:QBI11 PRM5:PRM11 PHQ5:PHQ11 OXU5:OXU11 ONY5:ONY11 OEC5:OEC11 NUG5:NUG11 NKK5:NKK11 NAO5:NAO11 MQS5:MQS11 MGW5:MGW11 LXA5:LXA11 LNE5:LNE11 LDI5:LDI11 KTM5:KTM11 KJQ5:KJQ11 JZU5:JZU11 JPY5:JPY11 JGC5:JGC11 IWG5:IWG11 IMK5:IMK11 ICO5:ICO11 HSS5:HSS11 HIW5:HIW11 GZA5:GZA11 GPE5:GPE11 GFI5:GFI11 FVM5:FVM11 FLQ5:FLQ11 FBU5:FBU11 ERY5:ERY11 EIC5:EIC11 DYG5:DYG11 DOK5:DOK11 DEO5:DEO11 CUS5:CUS11 CKW5:CKW11 CBA5:CBA11 BRE5:BRE11 BHI5:BHI11 AXM5:AXM11 ANQ5:ANQ11 ADU5:ADU11 TY5:TY11 KC5:KC11">
      <formula1>$B$12:$B$12</formula1>
    </dataValidation>
    <dataValidation type="whole" allowBlank="1" showInputMessage="1" showErrorMessage="1" sqref="U65269:V65475 JZ65269:KB65475 TV65269:TX65475 ADR65269:ADT65475 ANN65269:ANP65475 AXJ65269:AXL65475 BHF65269:BHH65475 BRB65269:BRD65475 CAX65269:CAZ65475 CKT65269:CKV65475 CUP65269:CUR65475 DEL65269:DEN65475 DOH65269:DOJ65475 DYD65269:DYF65475 EHZ65269:EIB65475 ERV65269:ERX65475 FBR65269:FBT65475 FLN65269:FLP65475 FVJ65269:FVL65475 GFF65269:GFH65475 GPB65269:GPD65475 GYX65269:GYZ65475 HIT65269:HIV65475 HSP65269:HSR65475 ICL65269:ICN65475 IMH65269:IMJ65475 IWD65269:IWF65475 JFZ65269:JGB65475 JPV65269:JPX65475 JZR65269:JZT65475 KJN65269:KJP65475 KTJ65269:KTL65475 LDF65269:LDH65475 LNB65269:LND65475 LWX65269:LWZ65475 MGT65269:MGV65475 MQP65269:MQR65475 NAL65269:NAN65475 NKH65269:NKJ65475 NUD65269:NUF65475 ODZ65269:OEB65475 ONV65269:ONX65475 OXR65269:OXT65475 PHN65269:PHP65475 PRJ65269:PRL65475 QBF65269:QBH65475 QLB65269:QLD65475 QUX65269:QUZ65475 RET65269:REV65475 ROP65269:ROR65475 RYL65269:RYN65475 SIH65269:SIJ65475 SSD65269:SSF65475 TBZ65269:TCB65475 TLV65269:TLX65475 TVR65269:TVT65475 UFN65269:UFP65475 UPJ65269:UPL65475 UZF65269:UZH65475 VJB65269:VJD65475 VSX65269:VSZ65475 WCT65269:WCV65475 WMP65269:WMR65475 WWL65269:WWN65475 U130805:V131011 JZ130805:KB131011 TV130805:TX131011 ADR130805:ADT131011 ANN130805:ANP131011 AXJ130805:AXL131011 BHF130805:BHH131011 BRB130805:BRD131011 CAX130805:CAZ131011 CKT130805:CKV131011 CUP130805:CUR131011 DEL130805:DEN131011 DOH130805:DOJ131011 DYD130805:DYF131011 EHZ130805:EIB131011 ERV130805:ERX131011 FBR130805:FBT131011 FLN130805:FLP131011 FVJ130805:FVL131011 GFF130805:GFH131011 GPB130805:GPD131011 GYX130805:GYZ131011 HIT130805:HIV131011 HSP130805:HSR131011 ICL130805:ICN131011 IMH130805:IMJ131011 IWD130805:IWF131011 JFZ130805:JGB131011 JPV130805:JPX131011 JZR130805:JZT131011 KJN130805:KJP131011 KTJ130805:KTL131011 LDF130805:LDH131011 LNB130805:LND131011 LWX130805:LWZ131011 MGT130805:MGV131011 MQP130805:MQR131011 NAL130805:NAN131011 NKH130805:NKJ131011 NUD130805:NUF131011 ODZ130805:OEB131011 ONV130805:ONX131011 OXR130805:OXT131011 PHN130805:PHP131011 PRJ130805:PRL131011 QBF130805:QBH131011 QLB130805:QLD131011 QUX130805:QUZ131011 RET130805:REV131011 ROP130805:ROR131011 RYL130805:RYN131011 SIH130805:SIJ131011 SSD130805:SSF131011 TBZ130805:TCB131011 TLV130805:TLX131011 TVR130805:TVT131011 UFN130805:UFP131011 UPJ130805:UPL131011 UZF130805:UZH131011 VJB130805:VJD131011 VSX130805:VSZ131011 WCT130805:WCV131011 WMP130805:WMR131011 WWL130805:WWN131011 U196341:V196547 JZ196341:KB196547 TV196341:TX196547 ADR196341:ADT196547 ANN196341:ANP196547 AXJ196341:AXL196547 BHF196341:BHH196547 BRB196341:BRD196547 CAX196341:CAZ196547 CKT196341:CKV196547 CUP196341:CUR196547 DEL196341:DEN196547 DOH196341:DOJ196547 DYD196341:DYF196547 EHZ196341:EIB196547 ERV196341:ERX196547 FBR196341:FBT196547 FLN196341:FLP196547 FVJ196341:FVL196547 GFF196341:GFH196547 GPB196341:GPD196547 GYX196341:GYZ196547 HIT196341:HIV196547 HSP196341:HSR196547 ICL196341:ICN196547 IMH196341:IMJ196547 IWD196341:IWF196547 JFZ196341:JGB196547 JPV196341:JPX196547 JZR196341:JZT196547 KJN196341:KJP196547 KTJ196341:KTL196547 LDF196341:LDH196547 LNB196341:LND196547 LWX196341:LWZ196547 MGT196341:MGV196547 MQP196341:MQR196547 NAL196341:NAN196547 NKH196341:NKJ196547 NUD196341:NUF196547 ODZ196341:OEB196547 ONV196341:ONX196547 OXR196341:OXT196547 PHN196341:PHP196547 PRJ196341:PRL196547 QBF196341:QBH196547 QLB196341:QLD196547 QUX196341:QUZ196547 RET196341:REV196547 ROP196341:ROR196547 RYL196341:RYN196547 SIH196341:SIJ196547 SSD196341:SSF196547 TBZ196341:TCB196547 TLV196341:TLX196547 TVR196341:TVT196547 UFN196341:UFP196547 UPJ196341:UPL196547 UZF196341:UZH196547 VJB196341:VJD196547 VSX196341:VSZ196547 WCT196341:WCV196547 WMP196341:WMR196547 WWL196341:WWN196547 U261877:V262083 JZ261877:KB262083 TV261877:TX262083 ADR261877:ADT262083 ANN261877:ANP262083 AXJ261877:AXL262083 BHF261877:BHH262083 BRB261877:BRD262083 CAX261877:CAZ262083 CKT261877:CKV262083 CUP261877:CUR262083 DEL261877:DEN262083 DOH261877:DOJ262083 DYD261877:DYF262083 EHZ261877:EIB262083 ERV261877:ERX262083 FBR261877:FBT262083 FLN261877:FLP262083 FVJ261877:FVL262083 GFF261877:GFH262083 GPB261877:GPD262083 GYX261877:GYZ262083 HIT261877:HIV262083 HSP261877:HSR262083 ICL261877:ICN262083 IMH261877:IMJ262083 IWD261877:IWF262083 JFZ261877:JGB262083 JPV261877:JPX262083 JZR261877:JZT262083 KJN261877:KJP262083 KTJ261877:KTL262083 LDF261877:LDH262083 LNB261877:LND262083 LWX261877:LWZ262083 MGT261877:MGV262083 MQP261877:MQR262083 NAL261877:NAN262083 NKH261877:NKJ262083 NUD261877:NUF262083 ODZ261877:OEB262083 ONV261877:ONX262083 OXR261877:OXT262083 PHN261877:PHP262083 PRJ261877:PRL262083 QBF261877:QBH262083 QLB261877:QLD262083 QUX261877:QUZ262083 RET261877:REV262083 ROP261877:ROR262083 RYL261877:RYN262083 SIH261877:SIJ262083 SSD261877:SSF262083 TBZ261877:TCB262083 TLV261877:TLX262083 TVR261877:TVT262083 UFN261877:UFP262083 UPJ261877:UPL262083 UZF261877:UZH262083 VJB261877:VJD262083 VSX261877:VSZ262083 WCT261877:WCV262083 WMP261877:WMR262083 WWL261877:WWN262083 U327413:V327619 JZ327413:KB327619 TV327413:TX327619 ADR327413:ADT327619 ANN327413:ANP327619 AXJ327413:AXL327619 BHF327413:BHH327619 BRB327413:BRD327619 CAX327413:CAZ327619 CKT327413:CKV327619 CUP327413:CUR327619 DEL327413:DEN327619 DOH327413:DOJ327619 DYD327413:DYF327619 EHZ327413:EIB327619 ERV327413:ERX327619 FBR327413:FBT327619 FLN327413:FLP327619 FVJ327413:FVL327619 GFF327413:GFH327619 GPB327413:GPD327619 GYX327413:GYZ327619 HIT327413:HIV327619 HSP327413:HSR327619 ICL327413:ICN327619 IMH327413:IMJ327619 IWD327413:IWF327619 JFZ327413:JGB327619 JPV327413:JPX327619 JZR327413:JZT327619 KJN327413:KJP327619 KTJ327413:KTL327619 LDF327413:LDH327619 LNB327413:LND327619 LWX327413:LWZ327619 MGT327413:MGV327619 MQP327413:MQR327619 NAL327413:NAN327619 NKH327413:NKJ327619 NUD327413:NUF327619 ODZ327413:OEB327619 ONV327413:ONX327619 OXR327413:OXT327619 PHN327413:PHP327619 PRJ327413:PRL327619 QBF327413:QBH327619 QLB327413:QLD327619 QUX327413:QUZ327619 RET327413:REV327619 ROP327413:ROR327619 RYL327413:RYN327619 SIH327413:SIJ327619 SSD327413:SSF327619 TBZ327413:TCB327619 TLV327413:TLX327619 TVR327413:TVT327619 UFN327413:UFP327619 UPJ327413:UPL327619 UZF327413:UZH327619 VJB327413:VJD327619 VSX327413:VSZ327619 WCT327413:WCV327619 WMP327413:WMR327619 WWL327413:WWN327619 U392949:V393155 JZ392949:KB393155 TV392949:TX393155 ADR392949:ADT393155 ANN392949:ANP393155 AXJ392949:AXL393155 BHF392949:BHH393155 BRB392949:BRD393155 CAX392949:CAZ393155 CKT392949:CKV393155 CUP392949:CUR393155 DEL392949:DEN393155 DOH392949:DOJ393155 DYD392949:DYF393155 EHZ392949:EIB393155 ERV392949:ERX393155 FBR392949:FBT393155 FLN392949:FLP393155 FVJ392949:FVL393155 GFF392949:GFH393155 GPB392949:GPD393155 GYX392949:GYZ393155 HIT392949:HIV393155 HSP392949:HSR393155 ICL392949:ICN393155 IMH392949:IMJ393155 IWD392949:IWF393155 JFZ392949:JGB393155 JPV392949:JPX393155 JZR392949:JZT393155 KJN392949:KJP393155 KTJ392949:KTL393155 LDF392949:LDH393155 LNB392949:LND393155 LWX392949:LWZ393155 MGT392949:MGV393155 MQP392949:MQR393155 NAL392949:NAN393155 NKH392949:NKJ393155 NUD392949:NUF393155 ODZ392949:OEB393155 ONV392949:ONX393155 OXR392949:OXT393155 PHN392949:PHP393155 PRJ392949:PRL393155 QBF392949:QBH393155 QLB392949:QLD393155 QUX392949:QUZ393155 RET392949:REV393155 ROP392949:ROR393155 RYL392949:RYN393155 SIH392949:SIJ393155 SSD392949:SSF393155 TBZ392949:TCB393155 TLV392949:TLX393155 TVR392949:TVT393155 UFN392949:UFP393155 UPJ392949:UPL393155 UZF392949:UZH393155 VJB392949:VJD393155 VSX392949:VSZ393155 WCT392949:WCV393155 WMP392949:WMR393155 WWL392949:WWN393155 U458485:V458691 JZ458485:KB458691 TV458485:TX458691 ADR458485:ADT458691 ANN458485:ANP458691 AXJ458485:AXL458691 BHF458485:BHH458691 BRB458485:BRD458691 CAX458485:CAZ458691 CKT458485:CKV458691 CUP458485:CUR458691 DEL458485:DEN458691 DOH458485:DOJ458691 DYD458485:DYF458691 EHZ458485:EIB458691 ERV458485:ERX458691 FBR458485:FBT458691 FLN458485:FLP458691 FVJ458485:FVL458691 GFF458485:GFH458691 GPB458485:GPD458691 GYX458485:GYZ458691 HIT458485:HIV458691 HSP458485:HSR458691 ICL458485:ICN458691 IMH458485:IMJ458691 IWD458485:IWF458691 JFZ458485:JGB458691 JPV458485:JPX458691 JZR458485:JZT458691 KJN458485:KJP458691 KTJ458485:KTL458691 LDF458485:LDH458691 LNB458485:LND458691 LWX458485:LWZ458691 MGT458485:MGV458691 MQP458485:MQR458691 NAL458485:NAN458691 NKH458485:NKJ458691 NUD458485:NUF458691 ODZ458485:OEB458691 ONV458485:ONX458691 OXR458485:OXT458691 PHN458485:PHP458691 PRJ458485:PRL458691 QBF458485:QBH458691 QLB458485:QLD458691 QUX458485:QUZ458691 RET458485:REV458691 ROP458485:ROR458691 RYL458485:RYN458691 SIH458485:SIJ458691 SSD458485:SSF458691 TBZ458485:TCB458691 TLV458485:TLX458691 TVR458485:TVT458691 UFN458485:UFP458691 UPJ458485:UPL458691 UZF458485:UZH458691 VJB458485:VJD458691 VSX458485:VSZ458691 WCT458485:WCV458691 WMP458485:WMR458691 WWL458485:WWN458691 U524021:V524227 JZ524021:KB524227 TV524021:TX524227 ADR524021:ADT524227 ANN524021:ANP524227 AXJ524021:AXL524227 BHF524021:BHH524227 BRB524021:BRD524227 CAX524021:CAZ524227 CKT524021:CKV524227 CUP524021:CUR524227 DEL524021:DEN524227 DOH524021:DOJ524227 DYD524021:DYF524227 EHZ524021:EIB524227 ERV524021:ERX524227 FBR524021:FBT524227 FLN524021:FLP524227 FVJ524021:FVL524227 GFF524021:GFH524227 GPB524021:GPD524227 GYX524021:GYZ524227 HIT524021:HIV524227 HSP524021:HSR524227 ICL524021:ICN524227 IMH524021:IMJ524227 IWD524021:IWF524227 JFZ524021:JGB524227 JPV524021:JPX524227 JZR524021:JZT524227 KJN524021:KJP524227 KTJ524021:KTL524227 LDF524021:LDH524227 LNB524021:LND524227 LWX524021:LWZ524227 MGT524021:MGV524227 MQP524021:MQR524227 NAL524021:NAN524227 NKH524021:NKJ524227 NUD524021:NUF524227 ODZ524021:OEB524227 ONV524021:ONX524227 OXR524021:OXT524227 PHN524021:PHP524227 PRJ524021:PRL524227 QBF524021:QBH524227 QLB524021:QLD524227 QUX524021:QUZ524227 RET524021:REV524227 ROP524021:ROR524227 RYL524021:RYN524227 SIH524021:SIJ524227 SSD524021:SSF524227 TBZ524021:TCB524227 TLV524021:TLX524227 TVR524021:TVT524227 UFN524021:UFP524227 UPJ524021:UPL524227 UZF524021:UZH524227 VJB524021:VJD524227 VSX524021:VSZ524227 WCT524021:WCV524227 WMP524021:WMR524227 WWL524021:WWN524227 U589557:V589763 JZ589557:KB589763 TV589557:TX589763 ADR589557:ADT589763 ANN589557:ANP589763 AXJ589557:AXL589763 BHF589557:BHH589763 BRB589557:BRD589763 CAX589557:CAZ589763 CKT589557:CKV589763 CUP589557:CUR589763 DEL589557:DEN589763 DOH589557:DOJ589763 DYD589557:DYF589763 EHZ589557:EIB589763 ERV589557:ERX589763 FBR589557:FBT589763 FLN589557:FLP589763 FVJ589557:FVL589763 GFF589557:GFH589763 GPB589557:GPD589763 GYX589557:GYZ589763 HIT589557:HIV589763 HSP589557:HSR589763 ICL589557:ICN589763 IMH589557:IMJ589763 IWD589557:IWF589763 JFZ589557:JGB589763 JPV589557:JPX589763 JZR589557:JZT589763 KJN589557:KJP589763 KTJ589557:KTL589763 LDF589557:LDH589763 LNB589557:LND589763 LWX589557:LWZ589763 MGT589557:MGV589763 MQP589557:MQR589763 NAL589557:NAN589763 NKH589557:NKJ589763 NUD589557:NUF589763 ODZ589557:OEB589763 ONV589557:ONX589763 OXR589557:OXT589763 PHN589557:PHP589763 PRJ589557:PRL589763 QBF589557:QBH589763 QLB589557:QLD589763 QUX589557:QUZ589763 RET589557:REV589763 ROP589557:ROR589763 RYL589557:RYN589763 SIH589557:SIJ589763 SSD589557:SSF589763 TBZ589557:TCB589763 TLV589557:TLX589763 TVR589557:TVT589763 UFN589557:UFP589763 UPJ589557:UPL589763 UZF589557:UZH589763 VJB589557:VJD589763 VSX589557:VSZ589763 WCT589557:WCV589763 WMP589557:WMR589763 WWL589557:WWN589763 U655093:V655299 JZ655093:KB655299 TV655093:TX655299 ADR655093:ADT655299 ANN655093:ANP655299 AXJ655093:AXL655299 BHF655093:BHH655299 BRB655093:BRD655299 CAX655093:CAZ655299 CKT655093:CKV655299 CUP655093:CUR655299 DEL655093:DEN655299 DOH655093:DOJ655299 DYD655093:DYF655299 EHZ655093:EIB655299 ERV655093:ERX655299 FBR655093:FBT655299 FLN655093:FLP655299 FVJ655093:FVL655299 GFF655093:GFH655299 GPB655093:GPD655299 GYX655093:GYZ655299 HIT655093:HIV655299 HSP655093:HSR655299 ICL655093:ICN655299 IMH655093:IMJ655299 IWD655093:IWF655299 JFZ655093:JGB655299 JPV655093:JPX655299 JZR655093:JZT655299 KJN655093:KJP655299 KTJ655093:KTL655299 LDF655093:LDH655299 LNB655093:LND655299 LWX655093:LWZ655299 MGT655093:MGV655299 MQP655093:MQR655299 NAL655093:NAN655299 NKH655093:NKJ655299 NUD655093:NUF655299 ODZ655093:OEB655299 ONV655093:ONX655299 OXR655093:OXT655299 PHN655093:PHP655299 PRJ655093:PRL655299 QBF655093:QBH655299 QLB655093:QLD655299 QUX655093:QUZ655299 RET655093:REV655299 ROP655093:ROR655299 RYL655093:RYN655299 SIH655093:SIJ655299 SSD655093:SSF655299 TBZ655093:TCB655299 TLV655093:TLX655299 TVR655093:TVT655299 UFN655093:UFP655299 UPJ655093:UPL655299 UZF655093:UZH655299 VJB655093:VJD655299 VSX655093:VSZ655299 WCT655093:WCV655299 WMP655093:WMR655299 WWL655093:WWN655299 U720629:V720835 JZ720629:KB720835 TV720629:TX720835 ADR720629:ADT720835 ANN720629:ANP720835 AXJ720629:AXL720835 BHF720629:BHH720835 BRB720629:BRD720835 CAX720629:CAZ720835 CKT720629:CKV720835 CUP720629:CUR720835 DEL720629:DEN720835 DOH720629:DOJ720835 DYD720629:DYF720835 EHZ720629:EIB720835 ERV720629:ERX720835 FBR720629:FBT720835 FLN720629:FLP720835 FVJ720629:FVL720835 GFF720629:GFH720835 GPB720629:GPD720835 GYX720629:GYZ720835 HIT720629:HIV720835 HSP720629:HSR720835 ICL720629:ICN720835 IMH720629:IMJ720835 IWD720629:IWF720835 JFZ720629:JGB720835 JPV720629:JPX720835 JZR720629:JZT720835 KJN720629:KJP720835 KTJ720629:KTL720835 LDF720629:LDH720835 LNB720629:LND720835 LWX720629:LWZ720835 MGT720629:MGV720835 MQP720629:MQR720835 NAL720629:NAN720835 NKH720629:NKJ720835 NUD720629:NUF720835 ODZ720629:OEB720835 ONV720629:ONX720835 OXR720629:OXT720835 PHN720629:PHP720835 PRJ720629:PRL720835 QBF720629:QBH720835 QLB720629:QLD720835 QUX720629:QUZ720835 RET720629:REV720835 ROP720629:ROR720835 RYL720629:RYN720835 SIH720629:SIJ720835 SSD720629:SSF720835 TBZ720629:TCB720835 TLV720629:TLX720835 TVR720629:TVT720835 UFN720629:UFP720835 UPJ720629:UPL720835 UZF720629:UZH720835 VJB720629:VJD720835 VSX720629:VSZ720835 WCT720629:WCV720835 WMP720629:WMR720835 WWL720629:WWN720835 U786165:V786371 JZ786165:KB786371 TV786165:TX786371 ADR786165:ADT786371 ANN786165:ANP786371 AXJ786165:AXL786371 BHF786165:BHH786371 BRB786165:BRD786371 CAX786165:CAZ786371 CKT786165:CKV786371 CUP786165:CUR786371 DEL786165:DEN786371 DOH786165:DOJ786371 DYD786165:DYF786371 EHZ786165:EIB786371 ERV786165:ERX786371 FBR786165:FBT786371 FLN786165:FLP786371 FVJ786165:FVL786371 GFF786165:GFH786371 GPB786165:GPD786371 GYX786165:GYZ786371 HIT786165:HIV786371 HSP786165:HSR786371 ICL786165:ICN786371 IMH786165:IMJ786371 IWD786165:IWF786371 JFZ786165:JGB786371 JPV786165:JPX786371 JZR786165:JZT786371 KJN786165:KJP786371 KTJ786165:KTL786371 LDF786165:LDH786371 LNB786165:LND786371 LWX786165:LWZ786371 MGT786165:MGV786371 MQP786165:MQR786371 NAL786165:NAN786371 NKH786165:NKJ786371 NUD786165:NUF786371 ODZ786165:OEB786371 ONV786165:ONX786371 OXR786165:OXT786371 PHN786165:PHP786371 PRJ786165:PRL786371 QBF786165:QBH786371 QLB786165:QLD786371 QUX786165:QUZ786371 RET786165:REV786371 ROP786165:ROR786371 RYL786165:RYN786371 SIH786165:SIJ786371 SSD786165:SSF786371 TBZ786165:TCB786371 TLV786165:TLX786371 TVR786165:TVT786371 UFN786165:UFP786371 UPJ786165:UPL786371 UZF786165:UZH786371 VJB786165:VJD786371 VSX786165:VSZ786371 WCT786165:WCV786371 WMP786165:WMR786371 WWL786165:WWN786371 U851701:V851907 JZ851701:KB851907 TV851701:TX851907 ADR851701:ADT851907 ANN851701:ANP851907 AXJ851701:AXL851907 BHF851701:BHH851907 BRB851701:BRD851907 CAX851701:CAZ851907 CKT851701:CKV851907 CUP851701:CUR851907 DEL851701:DEN851907 DOH851701:DOJ851907 DYD851701:DYF851907 EHZ851701:EIB851907 ERV851701:ERX851907 FBR851701:FBT851907 FLN851701:FLP851907 FVJ851701:FVL851907 GFF851701:GFH851907 GPB851701:GPD851907 GYX851701:GYZ851907 HIT851701:HIV851907 HSP851701:HSR851907 ICL851701:ICN851907 IMH851701:IMJ851907 IWD851701:IWF851907 JFZ851701:JGB851907 JPV851701:JPX851907 JZR851701:JZT851907 KJN851701:KJP851907 KTJ851701:KTL851907 LDF851701:LDH851907 LNB851701:LND851907 LWX851701:LWZ851907 MGT851701:MGV851907 MQP851701:MQR851907 NAL851701:NAN851907 NKH851701:NKJ851907 NUD851701:NUF851907 ODZ851701:OEB851907 ONV851701:ONX851907 OXR851701:OXT851907 PHN851701:PHP851907 PRJ851701:PRL851907 QBF851701:QBH851907 QLB851701:QLD851907 QUX851701:QUZ851907 RET851701:REV851907 ROP851701:ROR851907 RYL851701:RYN851907 SIH851701:SIJ851907 SSD851701:SSF851907 TBZ851701:TCB851907 TLV851701:TLX851907 TVR851701:TVT851907 UFN851701:UFP851907 UPJ851701:UPL851907 UZF851701:UZH851907 VJB851701:VJD851907 VSX851701:VSZ851907 WCT851701:WCV851907 WMP851701:WMR851907 WWL851701:WWN851907 U917237:V917443 JZ917237:KB917443 TV917237:TX917443 ADR917237:ADT917443 ANN917237:ANP917443 AXJ917237:AXL917443 BHF917237:BHH917443 BRB917237:BRD917443 CAX917237:CAZ917443 CKT917237:CKV917443 CUP917237:CUR917443 DEL917237:DEN917443 DOH917237:DOJ917443 DYD917237:DYF917443 EHZ917237:EIB917443 ERV917237:ERX917443 FBR917237:FBT917443 FLN917237:FLP917443 FVJ917237:FVL917443 GFF917237:GFH917443 GPB917237:GPD917443 GYX917237:GYZ917443 HIT917237:HIV917443 HSP917237:HSR917443 ICL917237:ICN917443 IMH917237:IMJ917443 IWD917237:IWF917443 JFZ917237:JGB917443 JPV917237:JPX917443 JZR917237:JZT917443 KJN917237:KJP917443 KTJ917237:KTL917443 LDF917237:LDH917443 LNB917237:LND917443 LWX917237:LWZ917443 MGT917237:MGV917443 MQP917237:MQR917443 NAL917237:NAN917443 NKH917237:NKJ917443 NUD917237:NUF917443 ODZ917237:OEB917443 ONV917237:ONX917443 OXR917237:OXT917443 PHN917237:PHP917443 PRJ917237:PRL917443 QBF917237:QBH917443 QLB917237:QLD917443 QUX917237:QUZ917443 RET917237:REV917443 ROP917237:ROR917443 RYL917237:RYN917443 SIH917237:SIJ917443 SSD917237:SSF917443 TBZ917237:TCB917443 TLV917237:TLX917443 TVR917237:TVT917443 UFN917237:UFP917443 UPJ917237:UPL917443 UZF917237:UZH917443 VJB917237:VJD917443 VSX917237:VSZ917443 WCT917237:WCV917443 WMP917237:WMR917443 WWL917237:WWN917443 U982773:V982979 JZ982773:KB982979 TV982773:TX982979 ADR982773:ADT982979 ANN982773:ANP982979 AXJ982773:AXL982979 BHF982773:BHH982979 BRB982773:BRD982979 CAX982773:CAZ982979 CKT982773:CKV982979 CUP982773:CUR982979 DEL982773:DEN982979 DOH982773:DOJ982979 DYD982773:DYF982979 EHZ982773:EIB982979 ERV982773:ERX982979 FBR982773:FBT982979 FLN982773:FLP982979 FVJ982773:FVL982979 GFF982773:GFH982979 GPB982773:GPD982979 GYX982773:GYZ982979 HIT982773:HIV982979 HSP982773:HSR982979 ICL982773:ICN982979 IMH982773:IMJ982979 IWD982773:IWF982979 JFZ982773:JGB982979 JPV982773:JPX982979 JZR982773:JZT982979 KJN982773:KJP982979 KTJ982773:KTL982979 LDF982773:LDH982979 LNB982773:LND982979 LWX982773:LWZ982979 MGT982773:MGV982979 MQP982773:MQR982979 NAL982773:NAN982979 NKH982773:NKJ982979 NUD982773:NUF982979 ODZ982773:OEB982979 ONV982773:ONX982979 OXR982773:OXT982979 PHN982773:PHP982979 PRJ982773:PRL982979 QBF982773:QBH982979 QLB982773:QLD982979 QUX982773:QUZ982979 RET982773:REV982979 ROP982773:ROR982979 RYL982773:RYN982979 SIH982773:SIJ982979 SSD982773:SSF982979 TBZ982773:TCB982979 TLV982773:TLX982979 TVR982773:TVT982979 UFN982773:UFP982979 UPJ982773:UPL982979 UZF982773:UZH982979 VJB982773:VJD982979 VSX982773:VSZ982979 WCT982773:WCV982979 WMP982773:WMR982979 WWL982773:WWN982979 WWL5:WWN11 JZ5:KB11 TV5:TX11 ADR5:ADT11 ANN5:ANP11 AXJ5:AXL11 BHF5:BHH11 BRB5:BRD11 CAX5:CAZ11 CKT5:CKV11 CUP5:CUR11 DEL5:DEN11 DOH5:DOJ11 DYD5:DYF11 EHZ5:EIB11 ERV5:ERX11 FBR5:FBT11 FLN5:FLP11 FVJ5:FVL11 GFF5:GFH11 GPB5:GPD11 GYX5:GYZ11 HIT5:HIV11 HSP5:HSR11 ICL5:ICN11 IMH5:IMJ11 IWD5:IWF11 JFZ5:JGB11 JPV5:JPX11 JZR5:JZT11 KJN5:KJP11 KTJ5:KTL11 LDF5:LDH11 LNB5:LND11 LWX5:LWZ11 MGT5:MGV11 MQP5:MQR11 NAL5:NAN11 NKH5:NKJ11 NUD5:NUF11 ODZ5:OEB11 ONV5:ONX11 OXR5:OXT11 PHN5:PHP11 PRJ5:PRL11 QBF5:QBH11 QLB5:QLD11 QUX5:QUZ11 RET5:REV11 ROP5:ROR11 RYL5:RYN11 SIH5:SIJ11 SSD5:SSF11 TBZ5:TCB11 TLV5:TLX11 TVR5:TVT11 UFN5:UFP11 UPJ5:UPL11 UZF5:UZH11 VJB5:VJD11 VSX5:VSZ11 WCT5:WCV11 WMP5:WMR11">
      <formula1>0</formula1>
      <formula2>100000000000</formula2>
    </dataValidation>
    <dataValidation type="decimal" allowBlank="1" showInputMessage="1" showErrorMessage="1" sqref="KM65269:KM65475 UI65269:UI65475 AEE65269:AEE65475 AOA65269:AOA65475 AXW65269:AXW65475 BHS65269:BHS65475 BRO65269:BRO65475 CBK65269:CBK65475 CLG65269:CLG65475 CVC65269:CVC65475 DEY65269:DEY65475 DOU65269:DOU65475 DYQ65269:DYQ65475 EIM65269:EIM65475 ESI65269:ESI65475 FCE65269:FCE65475 FMA65269:FMA65475 FVW65269:FVW65475 GFS65269:GFS65475 GPO65269:GPO65475 GZK65269:GZK65475 HJG65269:HJG65475 HTC65269:HTC65475 ICY65269:ICY65475 IMU65269:IMU65475 IWQ65269:IWQ65475 JGM65269:JGM65475 JQI65269:JQI65475 KAE65269:KAE65475 KKA65269:KKA65475 KTW65269:KTW65475 LDS65269:LDS65475 LNO65269:LNO65475 LXK65269:LXK65475 MHG65269:MHG65475 MRC65269:MRC65475 NAY65269:NAY65475 NKU65269:NKU65475 NUQ65269:NUQ65475 OEM65269:OEM65475 OOI65269:OOI65475 OYE65269:OYE65475 PIA65269:PIA65475 PRW65269:PRW65475 QBS65269:QBS65475 QLO65269:QLO65475 QVK65269:QVK65475 RFG65269:RFG65475 RPC65269:RPC65475 RYY65269:RYY65475 SIU65269:SIU65475 SSQ65269:SSQ65475 TCM65269:TCM65475 TMI65269:TMI65475 TWE65269:TWE65475 UGA65269:UGA65475 UPW65269:UPW65475 UZS65269:UZS65475 VJO65269:VJO65475 VTK65269:VTK65475 WDG65269:WDG65475 WNC65269:WNC65475 WWY65269:WWY65475 KM130805:KM131011 UI130805:UI131011 AEE130805:AEE131011 AOA130805:AOA131011 AXW130805:AXW131011 BHS130805:BHS131011 BRO130805:BRO131011 CBK130805:CBK131011 CLG130805:CLG131011 CVC130805:CVC131011 DEY130805:DEY131011 DOU130805:DOU131011 DYQ130805:DYQ131011 EIM130805:EIM131011 ESI130805:ESI131011 FCE130805:FCE131011 FMA130805:FMA131011 FVW130805:FVW131011 GFS130805:GFS131011 GPO130805:GPO131011 GZK130805:GZK131011 HJG130805:HJG131011 HTC130805:HTC131011 ICY130805:ICY131011 IMU130805:IMU131011 IWQ130805:IWQ131011 JGM130805:JGM131011 JQI130805:JQI131011 KAE130805:KAE131011 KKA130805:KKA131011 KTW130805:KTW131011 LDS130805:LDS131011 LNO130805:LNO131011 LXK130805:LXK131011 MHG130805:MHG131011 MRC130805:MRC131011 NAY130805:NAY131011 NKU130805:NKU131011 NUQ130805:NUQ131011 OEM130805:OEM131011 OOI130805:OOI131011 OYE130805:OYE131011 PIA130805:PIA131011 PRW130805:PRW131011 QBS130805:QBS131011 QLO130805:QLO131011 QVK130805:QVK131011 RFG130805:RFG131011 RPC130805:RPC131011 RYY130805:RYY131011 SIU130805:SIU131011 SSQ130805:SSQ131011 TCM130805:TCM131011 TMI130805:TMI131011 TWE130805:TWE131011 UGA130805:UGA131011 UPW130805:UPW131011 UZS130805:UZS131011 VJO130805:VJO131011 VTK130805:VTK131011 WDG130805:WDG131011 WNC130805:WNC131011 WWY130805:WWY131011 KM196341:KM196547 UI196341:UI196547 AEE196341:AEE196547 AOA196341:AOA196547 AXW196341:AXW196547 BHS196341:BHS196547 BRO196341:BRO196547 CBK196341:CBK196547 CLG196341:CLG196547 CVC196341:CVC196547 DEY196341:DEY196547 DOU196341:DOU196547 DYQ196341:DYQ196547 EIM196341:EIM196547 ESI196341:ESI196547 FCE196341:FCE196547 FMA196341:FMA196547 FVW196341:FVW196547 GFS196341:GFS196547 GPO196341:GPO196547 GZK196341:GZK196547 HJG196341:HJG196547 HTC196341:HTC196547 ICY196341:ICY196547 IMU196341:IMU196547 IWQ196341:IWQ196547 JGM196341:JGM196547 JQI196341:JQI196547 KAE196341:KAE196547 KKA196341:KKA196547 KTW196341:KTW196547 LDS196341:LDS196547 LNO196341:LNO196547 LXK196341:LXK196547 MHG196341:MHG196547 MRC196341:MRC196547 NAY196341:NAY196547 NKU196341:NKU196547 NUQ196341:NUQ196547 OEM196341:OEM196547 OOI196341:OOI196547 OYE196341:OYE196547 PIA196341:PIA196547 PRW196341:PRW196547 QBS196341:QBS196547 QLO196341:QLO196547 QVK196341:QVK196547 RFG196341:RFG196547 RPC196341:RPC196547 RYY196341:RYY196547 SIU196341:SIU196547 SSQ196341:SSQ196547 TCM196341:TCM196547 TMI196341:TMI196547 TWE196341:TWE196547 UGA196341:UGA196547 UPW196341:UPW196547 UZS196341:UZS196547 VJO196341:VJO196547 VTK196341:VTK196547 WDG196341:WDG196547 WNC196341:WNC196547 WWY196341:WWY196547 KM261877:KM262083 UI261877:UI262083 AEE261877:AEE262083 AOA261877:AOA262083 AXW261877:AXW262083 BHS261877:BHS262083 BRO261877:BRO262083 CBK261877:CBK262083 CLG261877:CLG262083 CVC261877:CVC262083 DEY261877:DEY262083 DOU261877:DOU262083 DYQ261877:DYQ262083 EIM261877:EIM262083 ESI261877:ESI262083 FCE261877:FCE262083 FMA261877:FMA262083 FVW261877:FVW262083 GFS261877:GFS262083 GPO261877:GPO262083 GZK261877:GZK262083 HJG261877:HJG262083 HTC261877:HTC262083 ICY261877:ICY262083 IMU261877:IMU262083 IWQ261877:IWQ262083 JGM261877:JGM262083 JQI261877:JQI262083 KAE261877:KAE262083 KKA261877:KKA262083 KTW261877:KTW262083 LDS261877:LDS262083 LNO261877:LNO262083 LXK261877:LXK262083 MHG261877:MHG262083 MRC261877:MRC262083 NAY261877:NAY262083 NKU261877:NKU262083 NUQ261877:NUQ262083 OEM261877:OEM262083 OOI261877:OOI262083 OYE261877:OYE262083 PIA261877:PIA262083 PRW261877:PRW262083 QBS261877:QBS262083 QLO261877:QLO262083 QVK261877:QVK262083 RFG261877:RFG262083 RPC261877:RPC262083 RYY261877:RYY262083 SIU261877:SIU262083 SSQ261877:SSQ262083 TCM261877:TCM262083 TMI261877:TMI262083 TWE261877:TWE262083 UGA261877:UGA262083 UPW261877:UPW262083 UZS261877:UZS262083 VJO261877:VJO262083 VTK261877:VTK262083 WDG261877:WDG262083 WNC261877:WNC262083 WWY261877:WWY262083 KM327413:KM327619 UI327413:UI327619 AEE327413:AEE327619 AOA327413:AOA327619 AXW327413:AXW327619 BHS327413:BHS327619 BRO327413:BRO327619 CBK327413:CBK327619 CLG327413:CLG327619 CVC327413:CVC327619 DEY327413:DEY327619 DOU327413:DOU327619 DYQ327413:DYQ327619 EIM327413:EIM327619 ESI327413:ESI327619 FCE327413:FCE327619 FMA327413:FMA327619 FVW327413:FVW327619 GFS327413:GFS327619 GPO327413:GPO327619 GZK327413:GZK327619 HJG327413:HJG327619 HTC327413:HTC327619 ICY327413:ICY327619 IMU327413:IMU327619 IWQ327413:IWQ327619 JGM327413:JGM327619 JQI327413:JQI327619 KAE327413:KAE327619 KKA327413:KKA327619 KTW327413:KTW327619 LDS327413:LDS327619 LNO327413:LNO327619 LXK327413:LXK327619 MHG327413:MHG327619 MRC327413:MRC327619 NAY327413:NAY327619 NKU327413:NKU327619 NUQ327413:NUQ327619 OEM327413:OEM327619 OOI327413:OOI327619 OYE327413:OYE327619 PIA327413:PIA327619 PRW327413:PRW327619 QBS327413:QBS327619 QLO327413:QLO327619 QVK327413:QVK327619 RFG327413:RFG327619 RPC327413:RPC327619 RYY327413:RYY327619 SIU327413:SIU327619 SSQ327413:SSQ327619 TCM327413:TCM327619 TMI327413:TMI327619 TWE327413:TWE327619 UGA327413:UGA327619 UPW327413:UPW327619 UZS327413:UZS327619 VJO327413:VJO327619 VTK327413:VTK327619 WDG327413:WDG327619 WNC327413:WNC327619 WWY327413:WWY327619 KM392949:KM393155 UI392949:UI393155 AEE392949:AEE393155 AOA392949:AOA393155 AXW392949:AXW393155 BHS392949:BHS393155 BRO392949:BRO393155 CBK392949:CBK393155 CLG392949:CLG393155 CVC392949:CVC393155 DEY392949:DEY393155 DOU392949:DOU393155 DYQ392949:DYQ393155 EIM392949:EIM393155 ESI392949:ESI393155 FCE392949:FCE393155 FMA392949:FMA393155 FVW392949:FVW393155 GFS392949:GFS393155 GPO392949:GPO393155 GZK392949:GZK393155 HJG392949:HJG393155 HTC392949:HTC393155 ICY392949:ICY393155 IMU392949:IMU393155 IWQ392949:IWQ393155 JGM392949:JGM393155 JQI392949:JQI393155 KAE392949:KAE393155 KKA392949:KKA393155 KTW392949:KTW393155 LDS392949:LDS393155 LNO392949:LNO393155 LXK392949:LXK393155 MHG392949:MHG393155 MRC392949:MRC393155 NAY392949:NAY393155 NKU392949:NKU393155 NUQ392949:NUQ393155 OEM392949:OEM393155 OOI392949:OOI393155 OYE392949:OYE393155 PIA392949:PIA393155 PRW392949:PRW393155 QBS392949:QBS393155 QLO392949:QLO393155 QVK392949:QVK393155 RFG392949:RFG393155 RPC392949:RPC393155 RYY392949:RYY393155 SIU392949:SIU393155 SSQ392949:SSQ393155 TCM392949:TCM393155 TMI392949:TMI393155 TWE392949:TWE393155 UGA392949:UGA393155 UPW392949:UPW393155 UZS392949:UZS393155 VJO392949:VJO393155 VTK392949:VTK393155 WDG392949:WDG393155 WNC392949:WNC393155 WWY392949:WWY393155 KM458485:KM458691 UI458485:UI458691 AEE458485:AEE458691 AOA458485:AOA458691 AXW458485:AXW458691 BHS458485:BHS458691 BRO458485:BRO458691 CBK458485:CBK458691 CLG458485:CLG458691 CVC458485:CVC458691 DEY458485:DEY458691 DOU458485:DOU458691 DYQ458485:DYQ458691 EIM458485:EIM458691 ESI458485:ESI458691 FCE458485:FCE458691 FMA458485:FMA458691 FVW458485:FVW458691 GFS458485:GFS458691 GPO458485:GPO458691 GZK458485:GZK458691 HJG458485:HJG458691 HTC458485:HTC458691 ICY458485:ICY458691 IMU458485:IMU458691 IWQ458485:IWQ458691 JGM458485:JGM458691 JQI458485:JQI458691 KAE458485:KAE458691 KKA458485:KKA458691 KTW458485:KTW458691 LDS458485:LDS458691 LNO458485:LNO458691 LXK458485:LXK458691 MHG458485:MHG458691 MRC458485:MRC458691 NAY458485:NAY458691 NKU458485:NKU458691 NUQ458485:NUQ458691 OEM458485:OEM458691 OOI458485:OOI458691 OYE458485:OYE458691 PIA458485:PIA458691 PRW458485:PRW458691 QBS458485:QBS458691 QLO458485:QLO458691 QVK458485:QVK458691 RFG458485:RFG458691 RPC458485:RPC458691 RYY458485:RYY458691 SIU458485:SIU458691 SSQ458485:SSQ458691 TCM458485:TCM458691 TMI458485:TMI458691 TWE458485:TWE458691 UGA458485:UGA458691 UPW458485:UPW458691 UZS458485:UZS458691 VJO458485:VJO458691 VTK458485:VTK458691 WDG458485:WDG458691 WNC458485:WNC458691 WWY458485:WWY458691 KM524021:KM524227 UI524021:UI524227 AEE524021:AEE524227 AOA524021:AOA524227 AXW524021:AXW524227 BHS524021:BHS524227 BRO524021:BRO524227 CBK524021:CBK524227 CLG524021:CLG524227 CVC524021:CVC524227 DEY524021:DEY524227 DOU524021:DOU524227 DYQ524021:DYQ524227 EIM524021:EIM524227 ESI524021:ESI524227 FCE524021:FCE524227 FMA524021:FMA524227 FVW524021:FVW524227 GFS524021:GFS524227 GPO524021:GPO524227 GZK524021:GZK524227 HJG524021:HJG524227 HTC524021:HTC524227 ICY524021:ICY524227 IMU524021:IMU524227 IWQ524021:IWQ524227 JGM524021:JGM524227 JQI524021:JQI524227 KAE524021:KAE524227 KKA524021:KKA524227 KTW524021:KTW524227 LDS524021:LDS524227 LNO524021:LNO524227 LXK524021:LXK524227 MHG524021:MHG524227 MRC524021:MRC524227 NAY524021:NAY524227 NKU524021:NKU524227 NUQ524021:NUQ524227 OEM524021:OEM524227 OOI524021:OOI524227 OYE524021:OYE524227 PIA524021:PIA524227 PRW524021:PRW524227 QBS524021:QBS524227 QLO524021:QLO524227 QVK524021:QVK524227 RFG524021:RFG524227 RPC524021:RPC524227 RYY524021:RYY524227 SIU524021:SIU524227 SSQ524021:SSQ524227 TCM524021:TCM524227 TMI524021:TMI524227 TWE524021:TWE524227 UGA524021:UGA524227 UPW524021:UPW524227 UZS524021:UZS524227 VJO524021:VJO524227 VTK524021:VTK524227 WDG524021:WDG524227 WNC524021:WNC524227 WWY524021:WWY524227 KM589557:KM589763 UI589557:UI589763 AEE589557:AEE589763 AOA589557:AOA589763 AXW589557:AXW589763 BHS589557:BHS589763 BRO589557:BRO589763 CBK589557:CBK589763 CLG589557:CLG589763 CVC589557:CVC589763 DEY589557:DEY589763 DOU589557:DOU589763 DYQ589557:DYQ589763 EIM589557:EIM589763 ESI589557:ESI589763 FCE589557:FCE589763 FMA589557:FMA589763 FVW589557:FVW589763 GFS589557:GFS589763 GPO589557:GPO589763 GZK589557:GZK589763 HJG589557:HJG589763 HTC589557:HTC589763 ICY589557:ICY589763 IMU589557:IMU589763 IWQ589557:IWQ589763 JGM589557:JGM589763 JQI589557:JQI589763 KAE589557:KAE589763 KKA589557:KKA589763 KTW589557:KTW589763 LDS589557:LDS589763 LNO589557:LNO589763 LXK589557:LXK589763 MHG589557:MHG589763 MRC589557:MRC589763 NAY589557:NAY589763 NKU589557:NKU589763 NUQ589557:NUQ589763 OEM589557:OEM589763 OOI589557:OOI589763 OYE589557:OYE589763 PIA589557:PIA589763 PRW589557:PRW589763 QBS589557:QBS589763 QLO589557:QLO589763 QVK589557:QVK589763 RFG589557:RFG589763 RPC589557:RPC589763 RYY589557:RYY589763 SIU589557:SIU589763 SSQ589557:SSQ589763 TCM589557:TCM589763 TMI589557:TMI589763 TWE589557:TWE589763 UGA589557:UGA589763 UPW589557:UPW589763 UZS589557:UZS589763 VJO589557:VJO589763 VTK589557:VTK589763 WDG589557:WDG589763 WNC589557:WNC589763 WWY589557:WWY589763 KM655093:KM655299 UI655093:UI655299 AEE655093:AEE655299 AOA655093:AOA655299 AXW655093:AXW655299 BHS655093:BHS655299 BRO655093:BRO655299 CBK655093:CBK655299 CLG655093:CLG655299 CVC655093:CVC655299 DEY655093:DEY655299 DOU655093:DOU655299 DYQ655093:DYQ655299 EIM655093:EIM655299 ESI655093:ESI655299 FCE655093:FCE655299 FMA655093:FMA655299 FVW655093:FVW655299 GFS655093:GFS655299 GPO655093:GPO655299 GZK655093:GZK655299 HJG655093:HJG655299 HTC655093:HTC655299 ICY655093:ICY655299 IMU655093:IMU655299 IWQ655093:IWQ655299 JGM655093:JGM655299 JQI655093:JQI655299 KAE655093:KAE655299 KKA655093:KKA655299 KTW655093:KTW655299 LDS655093:LDS655299 LNO655093:LNO655299 LXK655093:LXK655299 MHG655093:MHG655299 MRC655093:MRC655299 NAY655093:NAY655299 NKU655093:NKU655299 NUQ655093:NUQ655299 OEM655093:OEM655299 OOI655093:OOI655299 OYE655093:OYE655299 PIA655093:PIA655299 PRW655093:PRW655299 QBS655093:QBS655299 QLO655093:QLO655299 QVK655093:QVK655299 RFG655093:RFG655299 RPC655093:RPC655299 RYY655093:RYY655299 SIU655093:SIU655299 SSQ655093:SSQ655299 TCM655093:TCM655299 TMI655093:TMI655299 TWE655093:TWE655299 UGA655093:UGA655299 UPW655093:UPW655299 UZS655093:UZS655299 VJO655093:VJO655299 VTK655093:VTK655299 WDG655093:WDG655299 WNC655093:WNC655299 WWY655093:WWY655299 KM720629:KM720835 UI720629:UI720835 AEE720629:AEE720835 AOA720629:AOA720835 AXW720629:AXW720835 BHS720629:BHS720835 BRO720629:BRO720835 CBK720629:CBK720835 CLG720629:CLG720835 CVC720629:CVC720835 DEY720629:DEY720835 DOU720629:DOU720835 DYQ720629:DYQ720835 EIM720629:EIM720835 ESI720629:ESI720835 FCE720629:FCE720835 FMA720629:FMA720835 FVW720629:FVW720835 GFS720629:GFS720835 GPO720629:GPO720835 GZK720629:GZK720835 HJG720629:HJG720835 HTC720629:HTC720835 ICY720629:ICY720835 IMU720629:IMU720835 IWQ720629:IWQ720835 JGM720629:JGM720835 JQI720629:JQI720835 KAE720629:KAE720835 KKA720629:KKA720835 KTW720629:KTW720835 LDS720629:LDS720835 LNO720629:LNO720835 LXK720629:LXK720835 MHG720629:MHG720835 MRC720629:MRC720835 NAY720629:NAY720835 NKU720629:NKU720835 NUQ720629:NUQ720835 OEM720629:OEM720835 OOI720629:OOI720835 OYE720629:OYE720835 PIA720629:PIA720835 PRW720629:PRW720835 QBS720629:QBS720835 QLO720629:QLO720835 QVK720629:QVK720835 RFG720629:RFG720835 RPC720629:RPC720835 RYY720629:RYY720835 SIU720629:SIU720835 SSQ720629:SSQ720835 TCM720629:TCM720835 TMI720629:TMI720835 TWE720629:TWE720835 UGA720629:UGA720835 UPW720629:UPW720835 UZS720629:UZS720835 VJO720629:VJO720835 VTK720629:VTK720835 WDG720629:WDG720835 WNC720629:WNC720835 WWY720629:WWY720835 KM786165:KM786371 UI786165:UI786371 AEE786165:AEE786371 AOA786165:AOA786371 AXW786165:AXW786371 BHS786165:BHS786371 BRO786165:BRO786371 CBK786165:CBK786371 CLG786165:CLG786371 CVC786165:CVC786371 DEY786165:DEY786371 DOU786165:DOU786371 DYQ786165:DYQ786371 EIM786165:EIM786371 ESI786165:ESI786371 FCE786165:FCE786371 FMA786165:FMA786371 FVW786165:FVW786371 GFS786165:GFS786371 GPO786165:GPO786371 GZK786165:GZK786371 HJG786165:HJG786371 HTC786165:HTC786371 ICY786165:ICY786371 IMU786165:IMU786371 IWQ786165:IWQ786371 JGM786165:JGM786371 JQI786165:JQI786371 KAE786165:KAE786371 KKA786165:KKA786371 KTW786165:KTW786371 LDS786165:LDS786371 LNO786165:LNO786371 LXK786165:LXK786371 MHG786165:MHG786371 MRC786165:MRC786371 NAY786165:NAY786371 NKU786165:NKU786371 NUQ786165:NUQ786371 OEM786165:OEM786371 OOI786165:OOI786371 OYE786165:OYE786371 PIA786165:PIA786371 PRW786165:PRW786371 QBS786165:QBS786371 QLO786165:QLO786371 QVK786165:QVK786371 RFG786165:RFG786371 RPC786165:RPC786371 RYY786165:RYY786371 SIU786165:SIU786371 SSQ786165:SSQ786371 TCM786165:TCM786371 TMI786165:TMI786371 TWE786165:TWE786371 UGA786165:UGA786371 UPW786165:UPW786371 UZS786165:UZS786371 VJO786165:VJO786371 VTK786165:VTK786371 WDG786165:WDG786371 WNC786165:WNC786371 WWY786165:WWY786371 KM851701:KM851907 UI851701:UI851907 AEE851701:AEE851907 AOA851701:AOA851907 AXW851701:AXW851907 BHS851701:BHS851907 BRO851701:BRO851907 CBK851701:CBK851907 CLG851701:CLG851907 CVC851701:CVC851907 DEY851701:DEY851907 DOU851701:DOU851907 DYQ851701:DYQ851907 EIM851701:EIM851907 ESI851701:ESI851907 FCE851701:FCE851907 FMA851701:FMA851907 FVW851701:FVW851907 GFS851701:GFS851907 GPO851701:GPO851907 GZK851701:GZK851907 HJG851701:HJG851907 HTC851701:HTC851907 ICY851701:ICY851907 IMU851701:IMU851907 IWQ851701:IWQ851907 JGM851701:JGM851907 JQI851701:JQI851907 KAE851701:KAE851907 KKA851701:KKA851907 KTW851701:KTW851907 LDS851701:LDS851907 LNO851701:LNO851907 LXK851701:LXK851907 MHG851701:MHG851907 MRC851701:MRC851907 NAY851701:NAY851907 NKU851701:NKU851907 NUQ851701:NUQ851907 OEM851701:OEM851907 OOI851701:OOI851907 OYE851701:OYE851907 PIA851701:PIA851907 PRW851701:PRW851907 QBS851701:QBS851907 QLO851701:QLO851907 QVK851701:QVK851907 RFG851701:RFG851907 RPC851701:RPC851907 RYY851701:RYY851907 SIU851701:SIU851907 SSQ851701:SSQ851907 TCM851701:TCM851907 TMI851701:TMI851907 TWE851701:TWE851907 UGA851701:UGA851907 UPW851701:UPW851907 UZS851701:UZS851907 VJO851701:VJO851907 VTK851701:VTK851907 WDG851701:WDG851907 WNC851701:WNC851907 WWY851701:WWY851907 KM917237:KM917443 UI917237:UI917443 AEE917237:AEE917443 AOA917237:AOA917443 AXW917237:AXW917443 BHS917237:BHS917443 BRO917237:BRO917443 CBK917237:CBK917443 CLG917237:CLG917443 CVC917237:CVC917443 DEY917237:DEY917443 DOU917237:DOU917443 DYQ917237:DYQ917443 EIM917237:EIM917443 ESI917237:ESI917443 FCE917237:FCE917443 FMA917237:FMA917443 FVW917237:FVW917443 GFS917237:GFS917443 GPO917237:GPO917443 GZK917237:GZK917443 HJG917237:HJG917443 HTC917237:HTC917443 ICY917237:ICY917443 IMU917237:IMU917443 IWQ917237:IWQ917443 JGM917237:JGM917443 JQI917237:JQI917443 KAE917237:KAE917443 KKA917237:KKA917443 KTW917237:KTW917443 LDS917237:LDS917443 LNO917237:LNO917443 LXK917237:LXK917443 MHG917237:MHG917443 MRC917237:MRC917443 NAY917237:NAY917443 NKU917237:NKU917443 NUQ917237:NUQ917443 OEM917237:OEM917443 OOI917237:OOI917443 OYE917237:OYE917443 PIA917237:PIA917443 PRW917237:PRW917443 QBS917237:QBS917443 QLO917237:QLO917443 QVK917237:QVK917443 RFG917237:RFG917443 RPC917237:RPC917443 RYY917237:RYY917443 SIU917237:SIU917443 SSQ917237:SSQ917443 TCM917237:TCM917443 TMI917237:TMI917443 TWE917237:TWE917443 UGA917237:UGA917443 UPW917237:UPW917443 UZS917237:UZS917443 VJO917237:VJO917443 VTK917237:VTK917443 WDG917237:WDG917443 WNC917237:WNC917443 WWY917237:WWY917443 KM982773:KM982979 UI982773:UI982979 AEE982773:AEE982979 AOA982773:AOA982979 AXW982773:AXW982979 BHS982773:BHS982979 BRO982773:BRO982979 CBK982773:CBK982979 CLG982773:CLG982979 CVC982773:CVC982979 DEY982773:DEY982979 DOU982773:DOU982979 DYQ982773:DYQ982979 EIM982773:EIM982979 ESI982773:ESI982979 FCE982773:FCE982979 FMA982773:FMA982979 FVW982773:FVW982979 GFS982773:GFS982979 GPO982773:GPO982979 GZK982773:GZK982979 HJG982773:HJG982979 HTC982773:HTC982979 ICY982773:ICY982979 IMU982773:IMU982979 IWQ982773:IWQ982979 JGM982773:JGM982979 JQI982773:JQI982979 KAE982773:KAE982979 KKA982773:KKA982979 KTW982773:KTW982979 LDS982773:LDS982979 LNO982773:LNO982979 LXK982773:LXK982979 MHG982773:MHG982979 MRC982773:MRC982979 NAY982773:NAY982979 NKU982773:NKU982979 NUQ982773:NUQ982979 OEM982773:OEM982979 OOI982773:OOI982979 OYE982773:OYE982979 PIA982773:PIA982979 PRW982773:PRW982979 QBS982773:QBS982979 QLO982773:QLO982979 QVK982773:QVK982979 RFG982773:RFG982979 RPC982773:RPC982979 RYY982773:RYY982979 SIU982773:SIU982979 SSQ982773:SSQ982979 TCM982773:TCM982979 TMI982773:TMI982979 TWE982773:TWE982979 UGA982773:UGA982979 UPW982773:UPW982979 UZS982773:UZS982979 VJO982773:VJO982979 VTK982773:VTK982979 WDG982773:WDG982979 WNC982773:WNC982979 WWY982773:WWY982979 CA65269:CB65475 LT65269:LT65475 VP65269:VP65475 AFL65269:AFL65475 APH65269:APH65475 AZD65269:AZD65475 BIZ65269:BIZ65475 BSV65269:BSV65475 CCR65269:CCR65475 CMN65269:CMN65475 CWJ65269:CWJ65475 DGF65269:DGF65475 DQB65269:DQB65475 DZX65269:DZX65475 EJT65269:EJT65475 ETP65269:ETP65475 FDL65269:FDL65475 FNH65269:FNH65475 FXD65269:FXD65475 GGZ65269:GGZ65475 GQV65269:GQV65475 HAR65269:HAR65475 HKN65269:HKN65475 HUJ65269:HUJ65475 IEF65269:IEF65475 IOB65269:IOB65475 IXX65269:IXX65475 JHT65269:JHT65475 JRP65269:JRP65475 KBL65269:KBL65475 KLH65269:KLH65475 KVD65269:KVD65475 LEZ65269:LEZ65475 LOV65269:LOV65475 LYR65269:LYR65475 MIN65269:MIN65475 MSJ65269:MSJ65475 NCF65269:NCF65475 NMB65269:NMB65475 NVX65269:NVX65475 OFT65269:OFT65475 OPP65269:OPP65475 OZL65269:OZL65475 PJH65269:PJH65475 PTD65269:PTD65475 QCZ65269:QCZ65475 QMV65269:QMV65475 QWR65269:QWR65475 RGN65269:RGN65475 RQJ65269:RQJ65475 SAF65269:SAF65475 SKB65269:SKB65475 STX65269:STX65475 TDT65269:TDT65475 TNP65269:TNP65475 TXL65269:TXL65475 UHH65269:UHH65475 URD65269:URD65475 VAZ65269:VAZ65475 VKV65269:VKV65475 VUR65269:VUR65475 WEN65269:WEN65475 WOJ65269:WOJ65475 WYF65269:WYF65475 CA130805:CB131011 LT130805:LT131011 VP130805:VP131011 AFL130805:AFL131011 APH130805:APH131011 AZD130805:AZD131011 BIZ130805:BIZ131011 BSV130805:BSV131011 CCR130805:CCR131011 CMN130805:CMN131011 CWJ130805:CWJ131011 DGF130805:DGF131011 DQB130805:DQB131011 DZX130805:DZX131011 EJT130805:EJT131011 ETP130805:ETP131011 FDL130805:FDL131011 FNH130805:FNH131011 FXD130805:FXD131011 GGZ130805:GGZ131011 GQV130805:GQV131011 HAR130805:HAR131011 HKN130805:HKN131011 HUJ130805:HUJ131011 IEF130805:IEF131011 IOB130805:IOB131011 IXX130805:IXX131011 JHT130805:JHT131011 JRP130805:JRP131011 KBL130805:KBL131011 KLH130805:KLH131011 KVD130805:KVD131011 LEZ130805:LEZ131011 LOV130805:LOV131011 LYR130805:LYR131011 MIN130805:MIN131011 MSJ130805:MSJ131011 NCF130805:NCF131011 NMB130805:NMB131011 NVX130805:NVX131011 OFT130805:OFT131011 OPP130805:OPP131011 OZL130805:OZL131011 PJH130805:PJH131011 PTD130805:PTD131011 QCZ130805:QCZ131011 QMV130805:QMV131011 QWR130805:QWR131011 RGN130805:RGN131011 RQJ130805:RQJ131011 SAF130805:SAF131011 SKB130805:SKB131011 STX130805:STX131011 TDT130805:TDT131011 TNP130805:TNP131011 TXL130805:TXL131011 UHH130805:UHH131011 URD130805:URD131011 VAZ130805:VAZ131011 VKV130805:VKV131011 VUR130805:VUR131011 WEN130805:WEN131011 WOJ130805:WOJ131011 WYF130805:WYF131011 CA196341:CB196547 LT196341:LT196547 VP196341:VP196547 AFL196341:AFL196547 APH196341:APH196547 AZD196341:AZD196547 BIZ196341:BIZ196547 BSV196341:BSV196547 CCR196341:CCR196547 CMN196341:CMN196547 CWJ196341:CWJ196547 DGF196341:DGF196547 DQB196341:DQB196547 DZX196341:DZX196547 EJT196341:EJT196547 ETP196341:ETP196547 FDL196341:FDL196547 FNH196341:FNH196547 FXD196341:FXD196547 GGZ196341:GGZ196547 GQV196341:GQV196547 HAR196341:HAR196547 HKN196341:HKN196547 HUJ196341:HUJ196547 IEF196341:IEF196547 IOB196341:IOB196547 IXX196341:IXX196547 JHT196341:JHT196547 JRP196341:JRP196547 KBL196341:KBL196547 KLH196341:KLH196547 KVD196341:KVD196547 LEZ196341:LEZ196547 LOV196341:LOV196547 LYR196341:LYR196547 MIN196341:MIN196547 MSJ196341:MSJ196547 NCF196341:NCF196547 NMB196341:NMB196547 NVX196341:NVX196547 OFT196341:OFT196547 OPP196341:OPP196547 OZL196341:OZL196547 PJH196341:PJH196547 PTD196341:PTD196547 QCZ196341:QCZ196547 QMV196341:QMV196547 QWR196341:QWR196547 RGN196341:RGN196547 RQJ196341:RQJ196547 SAF196341:SAF196547 SKB196341:SKB196547 STX196341:STX196547 TDT196341:TDT196547 TNP196341:TNP196547 TXL196341:TXL196547 UHH196341:UHH196547 URD196341:URD196547 VAZ196341:VAZ196547 VKV196341:VKV196547 VUR196341:VUR196547 WEN196341:WEN196547 WOJ196341:WOJ196547 WYF196341:WYF196547 CA261877:CB262083 LT261877:LT262083 VP261877:VP262083 AFL261877:AFL262083 APH261877:APH262083 AZD261877:AZD262083 BIZ261877:BIZ262083 BSV261877:BSV262083 CCR261877:CCR262083 CMN261877:CMN262083 CWJ261877:CWJ262083 DGF261877:DGF262083 DQB261877:DQB262083 DZX261877:DZX262083 EJT261877:EJT262083 ETP261877:ETP262083 FDL261877:FDL262083 FNH261877:FNH262083 FXD261877:FXD262083 GGZ261877:GGZ262083 GQV261877:GQV262083 HAR261877:HAR262083 HKN261877:HKN262083 HUJ261877:HUJ262083 IEF261877:IEF262083 IOB261877:IOB262083 IXX261877:IXX262083 JHT261877:JHT262083 JRP261877:JRP262083 KBL261877:KBL262083 KLH261877:KLH262083 KVD261877:KVD262083 LEZ261877:LEZ262083 LOV261877:LOV262083 LYR261877:LYR262083 MIN261877:MIN262083 MSJ261877:MSJ262083 NCF261877:NCF262083 NMB261877:NMB262083 NVX261877:NVX262083 OFT261877:OFT262083 OPP261877:OPP262083 OZL261877:OZL262083 PJH261877:PJH262083 PTD261877:PTD262083 QCZ261877:QCZ262083 QMV261877:QMV262083 QWR261877:QWR262083 RGN261877:RGN262083 RQJ261877:RQJ262083 SAF261877:SAF262083 SKB261877:SKB262083 STX261877:STX262083 TDT261877:TDT262083 TNP261877:TNP262083 TXL261877:TXL262083 UHH261877:UHH262083 URD261877:URD262083 VAZ261877:VAZ262083 VKV261877:VKV262083 VUR261877:VUR262083 WEN261877:WEN262083 WOJ261877:WOJ262083 WYF261877:WYF262083 CA327413:CB327619 LT327413:LT327619 VP327413:VP327619 AFL327413:AFL327619 APH327413:APH327619 AZD327413:AZD327619 BIZ327413:BIZ327619 BSV327413:BSV327619 CCR327413:CCR327619 CMN327413:CMN327619 CWJ327413:CWJ327619 DGF327413:DGF327619 DQB327413:DQB327619 DZX327413:DZX327619 EJT327413:EJT327619 ETP327413:ETP327619 FDL327413:FDL327619 FNH327413:FNH327619 FXD327413:FXD327619 GGZ327413:GGZ327619 GQV327413:GQV327619 HAR327413:HAR327619 HKN327413:HKN327619 HUJ327413:HUJ327619 IEF327413:IEF327619 IOB327413:IOB327619 IXX327413:IXX327619 JHT327413:JHT327619 JRP327413:JRP327619 KBL327413:KBL327619 KLH327413:KLH327619 KVD327413:KVD327619 LEZ327413:LEZ327619 LOV327413:LOV327619 LYR327413:LYR327619 MIN327413:MIN327619 MSJ327413:MSJ327619 NCF327413:NCF327619 NMB327413:NMB327619 NVX327413:NVX327619 OFT327413:OFT327619 OPP327413:OPP327619 OZL327413:OZL327619 PJH327413:PJH327619 PTD327413:PTD327619 QCZ327413:QCZ327619 QMV327413:QMV327619 QWR327413:QWR327619 RGN327413:RGN327619 RQJ327413:RQJ327619 SAF327413:SAF327619 SKB327413:SKB327619 STX327413:STX327619 TDT327413:TDT327619 TNP327413:TNP327619 TXL327413:TXL327619 UHH327413:UHH327619 URD327413:URD327619 VAZ327413:VAZ327619 VKV327413:VKV327619 VUR327413:VUR327619 WEN327413:WEN327619 WOJ327413:WOJ327619 WYF327413:WYF327619 CA392949:CB393155 LT392949:LT393155 VP392949:VP393155 AFL392949:AFL393155 APH392949:APH393155 AZD392949:AZD393155 BIZ392949:BIZ393155 BSV392949:BSV393155 CCR392949:CCR393155 CMN392949:CMN393155 CWJ392949:CWJ393155 DGF392949:DGF393155 DQB392949:DQB393155 DZX392949:DZX393155 EJT392949:EJT393155 ETP392949:ETP393155 FDL392949:FDL393155 FNH392949:FNH393155 FXD392949:FXD393155 GGZ392949:GGZ393155 GQV392949:GQV393155 HAR392949:HAR393155 HKN392949:HKN393155 HUJ392949:HUJ393155 IEF392949:IEF393155 IOB392949:IOB393155 IXX392949:IXX393155 JHT392949:JHT393155 JRP392949:JRP393155 KBL392949:KBL393155 KLH392949:KLH393155 KVD392949:KVD393155 LEZ392949:LEZ393155 LOV392949:LOV393155 LYR392949:LYR393155 MIN392949:MIN393155 MSJ392949:MSJ393155 NCF392949:NCF393155 NMB392949:NMB393155 NVX392949:NVX393155 OFT392949:OFT393155 OPP392949:OPP393155 OZL392949:OZL393155 PJH392949:PJH393155 PTD392949:PTD393155 QCZ392949:QCZ393155 QMV392949:QMV393155 QWR392949:QWR393155 RGN392949:RGN393155 RQJ392949:RQJ393155 SAF392949:SAF393155 SKB392949:SKB393155 STX392949:STX393155 TDT392949:TDT393155 TNP392949:TNP393155 TXL392949:TXL393155 UHH392949:UHH393155 URD392949:URD393155 VAZ392949:VAZ393155 VKV392949:VKV393155 VUR392949:VUR393155 WEN392949:WEN393155 WOJ392949:WOJ393155 WYF392949:WYF393155 CA458485:CB458691 LT458485:LT458691 VP458485:VP458691 AFL458485:AFL458691 APH458485:APH458691 AZD458485:AZD458691 BIZ458485:BIZ458691 BSV458485:BSV458691 CCR458485:CCR458691 CMN458485:CMN458691 CWJ458485:CWJ458691 DGF458485:DGF458691 DQB458485:DQB458691 DZX458485:DZX458691 EJT458485:EJT458691 ETP458485:ETP458691 FDL458485:FDL458691 FNH458485:FNH458691 FXD458485:FXD458691 GGZ458485:GGZ458691 GQV458485:GQV458691 HAR458485:HAR458691 HKN458485:HKN458691 HUJ458485:HUJ458691 IEF458485:IEF458691 IOB458485:IOB458691 IXX458485:IXX458691 JHT458485:JHT458691 JRP458485:JRP458691 KBL458485:KBL458691 KLH458485:KLH458691 KVD458485:KVD458691 LEZ458485:LEZ458691 LOV458485:LOV458691 LYR458485:LYR458691 MIN458485:MIN458691 MSJ458485:MSJ458691 NCF458485:NCF458691 NMB458485:NMB458691 NVX458485:NVX458691 OFT458485:OFT458691 OPP458485:OPP458691 OZL458485:OZL458691 PJH458485:PJH458691 PTD458485:PTD458691 QCZ458485:QCZ458691 QMV458485:QMV458691 QWR458485:QWR458691 RGN458485:RGN458691 RQJ458485:RQJ458691 SAF458485:SAF458691 SKB458485:SKB458691 STX458485:STX458691 TDT458485:TDT458691 TNP458485:TNP458691 TXL458485:TXL458691 UHH458485:UHH458691 URD458485:URD458691 VAZ458485:VAZ458691 VKV458485:VKV458691 VUR458485:VUR458691 WEN458485:WEN458691 WOJ458485:WOJ458691 WYF458485:WYF458691 CA524021:CB524227 LT524021:LT524227 VP524021:VP524227 AFL524021:AFL524227 APH524021:APH524227 AZD524021:AZD524227 BIZ524021:BIZ524227 BSV524021:BSV524227 CCR524021:CCR524227 CMN524021:CMN524227 CWJ524021:CWJ524227 DGF524021:DGF524227 DQB524021:DQB524227 DZX524021:DZX524227 EJT524021:EJT524227 ETP524021:ETP524227 FDL524021:FDL524227 FNH524021:FNH524227 FXD524021:FXD524227 GGZ524021:GGZ524227 GQV524021:GQV524227 HAR524021:HAR524227 HKN524021:HKN524227 HUJ524021:HUJ524227 IEF524021:IEF524227 IOB524021:IOB524227 IXX524021:IXX524227 JHT524021:JHT524227 JRP524021:JRP524227 KBL524021:KBL524227 KLH524021:KLH524227 KVD524021:KVD524227 LEZ524021:LEZ524227 LOV524021:LOV524227 LYR524021:LYR524227 MIN524021:MIN524227 MSJ524021:MSJ524227 NCF524021:NCF524227 NMB524021:NMB524227 NVX524021:NVX524227 OFT524021:OFT524227 OPP524021:OPP524227 OZL524021:OZL524227 PJH524021:PJH524227 PTD524021:PTD524227 QCZ524021:QCZ524227 QMV524021:QMV524227 QWR524021:QWR524227 RGN524021:RGN524227 RQJ524021:RQJ524227 SAF524021:SAF524227 SKB524021:SKB524227 STX524021:STX524227 TDT524021:TDT524227 TNP524021:TNP524227 TXL524021:TXL524227 UHH524021:UHH524227 URD524021:URD524227 VAZ524021:VAZ524227 VKV524021:VKV524227 VUR524021:VUR524227 WEN524021:WEN524227 WOJ524021:WOJ524227 WYF524021:WYF524227 CA589557:CB589763 LT589557:LT589763 VP589557:VP589763 AFL589557:AFL589763 APH589557:APH589763 AZD589557:AZD589763 BIZ589557:BIZ589763 BSV589557:BSV589763 CCR589557:CCR589763 CMN589557:CMN589763 CWJ589557:CWJ589763 DGF589557:DGF589763 DQB589557:DQB589763 DZX589557:DZX589763 EJT589557:EJT589763 ETP589557:ETP589763 FDL589557:FDL589763 FNH589557:FNH589763 FXD589557:FXD589763 GGZ589557:GGZ589763 GQV589557:GQV589763 HAR589557:HAR589763 HKN589557:HKN589763 HUJ589557:HUJ589763 IEF589557:IEF589763 IOB589557:IOB589763 IXX589557:IXX589763 JHT589557:JHT589763 JRP589557:JRP589763 KBL589557:KBL589763 KLH589557:KLH589763 KVD589557:KVD589763 LEZ589557:LEZ589763 LOV589557:LOV589763 LYR589557:LYR589763 MIN589557:MIN589763 MSJ589557:MSJ589763 NCF589557:NCF589763 NMB589557:NMB589763 NVX589557:NVX589763 OFT589557:OFT589763 OPP589557:OPP589763 OZL589557:OZL589763 PJH589557:PJH589763 PTD589557:PTD589763 QCZ589557:QCZ589763 QMV589557:QMV589763 QWR589557:QWR589763 RGN589557:RGN589763 RQJ589557:RQJ589763 SAF589557:SAF589763 SKB589557:SKB589763 STX589557:STX589763 TDT589557:TDT589763 TNP589557:TNP589763 TXL589557:TXL589763 UHH589557:UHH589763 URD589557:URD589763 VAZ589557:VAZ589763 VKV589557:VKV589763 VUR589557:VUR589763 WEN589557:WEN589763 WOJ589557:WOJ589763 WYF589557:WYF589763 CA655093:CB655299 LT655093:LT655299 VP655093:VP655299 AFL655093:AFL655299 APH655093:APH655299 AZD655093:AZD655299 BIZ655093:BIZ655299 BSV655093:BSV655299 CCR655093:CCR655299 CMN655093:CMN655299 CWJ655093:CWJ655299 DGF655093:DGF655299 DQB655093:DQB655299 DZX655093:DZX655299 EJT655093:EJT655299 ETP655093:ETP655299 FDL655093:FDL655299 FNH655093:FNH655299 FXD655093:FXD655299 GGZ655093:GGZ655299 GQV655093:GQV655299 HAR655093:HAR655299 HKN655093:HKN655299 HUJ655093:HUJ655299 IEF655093:IEF655299 IOB655093:IOB655299 IXX655093:IXX655299 JHT655093:JHT655299 JRP655093:JRP655299 KBL655093:KBL655299 KLH655093:KLH655299 KVD655093:KVD655299 LEZ655093:LEZ655299 LOV655093:LOV655299 LYR655093:LYR655299 MIN655093:MIN655299 MSJ655093:MSJ655299 NCF655093:NCF655299 NMB655093:NMB655299 NVX655093:NVX655299 OFT655093:OFT655299 OPP655093:OPP655299 OZL655093:OZL655299 PJH655093:PJH655299 PTD655093:PTD655299 QCZ655093:QCZ655299 QMV655093:QMV655299 QWR655093:QWR655299 RGN655093:RGN655299 RQJ655093:RQJ655299 SAF655093:SAF655299 SKB655093:SKB655299 STX655093:STX655299 TDT655093:TDT655299 TNP655093:TNP655299 TXL655093:TXL655299 UHH655093:UHH655299 URD655093:URD655299 VAZ655093:VAZ655299 VKV655093:VKV655299 VUR655093:VUR655299 WEN655093:WEN655299 WOJ655093:WOJ655299 WYF655093:WYF655299 CA720629:CB720835 LT720629:LT720835 VP720629:VP720835 AFL720629:AFL720835 APH720629:APH720835 AZD720629:AZD720835 BIZ720629:BIZ720835 BSV720629:BSV720835 CCR720629:CCR720835 CMN720629:CMN720835 CWJ720629:CWJ720835 DGF720629:DGF720835 DQB720629:DQB720835 DZX720629:DZX720835 EJT720629:EJT720835 ETP720629:ETP720835 FDL720629:FDL720835 FNH720629:FNH720835 FXD720629:FXD720835 GGZ720629:GGZ720835 GQV720629:GQV720835 HAR720629:HAR720835 HKN720629:HKN720835 HUJ720629:HUJ720835 IEF720629:IEF720835 IOB720629:IOB720835 IXX720629:IXX720835 JHT720629:JHT720835 JRP720629:JRP720835 KBL720629:KBL720835 KLH720629:KLH720835 KVD720629:KVD720835 LEZ720629:LEZ720835 LOV720629:LOV720835 LYR720629:LYR720835 MIN720629:MIN720835 MSJ720629:MSJ720835 NCF720629:NCF720835 NMB720629:NMB720835 NVX720629:NVX720835 OFT720629:OFT720835 OPP720629:OPP720835 OZL720629:OZL720835 PJH720629:PJH720835 PTD720629:PTD720835 QCZ720629:QCZ720835 QMV720629:QMV720835 QWR720629:QWR720835 RGN720629:RGN720835 RQJ720629:RQJ720835 SAF720629:SAF720835 SKB720629:SKB720835 STX720629:STX720835 TDT720629:TDT720835 TNP720629:TNP720835 TXL720629:TXL720835 UHH720629:UHH720835 URD720629:URD720835 VAZ720629:VAZ720835 VKV720629:VKV720835 VUR720629:VUR720835 WEN720629:WEN720835 WOJ720629:WOJ720835 WYF720629:WYF720835 CA786165:CB786371 LT786165:LT786371 VP786165:VP786371 AFL786165:AFL786371 APH786165:APH786371 AZD786165:AZD786371 BIZ786165:BIZ786371 BSV786165:BSV786371 CCR786165:CCR786371 CMN786165:CMN786371 CWJ786165:CWJ786371 DGF786165:DGF786371 DQB786165:DQB786371 DZX786165:DZX786371 EJT786165:EJT786371 ETP786165:ETP786371 FDL786165:FDL786371 FNH786165:FNH786371 FXD786165:FXD786371 GGZ786165:GGZ786371 GQV786165:GQV786371 HAR786165:HAR786371 HKN786165:HKN786371 HUJ786165:HUJ786371 IEF786165:IEF786371 IOB786165:IOB786371 IXX786165:IXX786371 JHT786165:JHT786371 JRP786165:JRP786371 KBL786165:KBL786371 KLH786165:KLH786371 KVD786165:KVD786371 LEZ786165:LEZ786371 LOV786165:LOV786371 LYR786165:LYR786371 MIN786165:MIN786371 MSJ786165:MSJ786371 NCF786165:NCF786371 NMB786165:NMB786371 NVX786165:NVX786371 OFT786165:OFT786371 OPP786165:OPP786371 OZL786165:OZL786371 PJH786165:PJH786371 PTD786165:PTD786371 QCZ786165:QCZ786371 QMV786165:QMV786371 QWR786165:QWR786371 RGN786165:RGN786371 RQJ786165:RQJ786371 SAF786165:SAF786371 SKB786165:SKB786371 STX786165:STX786371 TDT786165:TDT786371 TNP786165:TNP786371 TXL786165:TXL786371 UHH786165:UHH786371 URD786165:URD786371 VAZ786165:VAZ786371 VKV786165:VKV786371 VUR786165:VUR786371 WEN786165:WEN786371 WOJ786165:WOJ786371 WYF786165:WYF786371 CA851701:CB851907 LT851701:LT851907 VP851701:VP851907 AFL851701:AFL851907 APH851701:APH851907 AZD851701:AZD851907 BIZ851701:BIZ851907 BSV851701:BSV851907 CCR851701:CCR851907 CMN851701:CMN851907 CWJ851701:CWJ851907 DGF851701:DGF851907 DQB851701:DQB851907 DZX851701:DZX851907 EJT851701:EJT851907 ETP851701:ETP851907 FDL851701:FDL851907 FNH851701:FNH851907 FXD851701:FXD851907 GGZ851701:GGZ851907 GQV851701:GQV851907 HAR851701:HAR851907 HKN851701:HKN851907 HUJ851701:HUJ851907 IEF851701:IEF851907 IOB851701:IOB851907 IXX851701:IXX851907 JHT851701:JHT851907 JRP851701:JRP851907 KBL851701:KBL851907 KLH851701:KLH851907 KVD851701:KVD851907 LEZ851701:LEZ851907 LOV851701:LOV851907 LYR851701:LYR851907 MIN851701:MIN851907 MSJ851701:MSJ851907 NCF851701:NCF851907 NMB851701:NMB851907 NVX851701:NVX851907 OFT851701:OFT851907 OPP851701:OPP851907 OZL851701:OZL851907 PJH851701:PJH851907 PTD851701:PTD851907 QCZ851701:QCZ851907 QMV851701:QMV851907 QWR851701:QWR851907 RGN851701:RGN851907 RQJ851701:RQJ851907 SAF851701:SAF851907 SKB851701:SKB851907 STX851701:STX851907 TDT851701:TDT851907 TNP851701:TNP851907 TXL851701:TXL851907 UHH851701:UHH851907 URD851701:URD851907 VAZ851701:VAZ851907 VKV851701:VKV851907 VUR851701:VUR851907 WEN851701:WEN851907 WOJ851701:WOJ851907 WYF851701:WYF851907 CA917237:CB917443 LT917237:LT917443 VP917237:VP917443 AFL917237:AFL917443 APH917237:APH917443 AZD917237:AZD917443 BIZ917237:BIZ917443 BSV917237:BSV917443 CCR917237:CCR917443 CMN917237:CMN917443 CWJ917237:CWJ917443 DGF917237:DGF917443 DQB917237:DQB917443 DZX917237:DZX917443 EJT917237:EJT917443 ETP917237:ETP917443 FDL917237:FDL917443 FNH917237:FNH917443 FXD917237:FXD917443 GGZ917237:GGZ917443 GQV917237:GQV917443 HAR917237:HAR917443 HKN917237:HKN917443 HUJ917237:HUJ917443 IEF917237:IEF917443 IOB917237:IOB917443 IXX917237:IXX917443 JHT917237:JHT917443 JRP917237:JRP917443 KBL917237:KBL917443 KLH917237:KLH917443 KVD917237:KVD917443 LEZ917237:LEZ917443 LOV917237:LOV917443 LYR917237:LYR917443 MIN917237:MIN917443 MSJ917237:MSJ917443 NCF917237:NCF917443 NMB917237:NMB917443 NVX917237:NVX917443 OFT917237:OFT917443 OPP917237:OPP917443 OZL917237:OZL917443 PJH917237:PJH917443 PTD917237:PTD917443 QCZ917237:QCZ917443 QMV917237:QMV917443 QWR917237:QWR917443 RGN917237:RGN917443 RQJ917237:RQJ917443 SAF917237:SAF917443 SKB917237:SKB917443 STX917237:STX917443 TDT917237:TDT917443 TNP917237:TNP917443 TXL917237:TXL917443 UHH917237:UHH917443 URD917237:URD917443 VAZ917237:VAZ917443 VKV917237:VKV917443 VUR917237:VUR917443 WEN917237:WEN917443 WOJ917237:WOJ917443 WYF917237:WYF917443 CA982773:CB982979 LT982773:LT982979 VP982773:VP982979 AFL982773:AFL982979 APH982773:APH982979 AZD982773:AZD982979 BIZ982773:BIZ982979 BSV982773:BSV982979 CCR982773:CCR982979 CMN982773:CMN982979 CWJ982773:CWJ982979 DGF982773:DGF982979 DQB982773:DQB982979 DZX982773:DZX982979 EJT982773:EJT982979 ETP982773:ETP982979 FDL982773:FDL982979 FNH982773:FNH982979 FXD982773:FXD982979 GGZ982773:GGZ982979 GQV982773:GQV982979 HAR982773:HAR982979 HKN982773:HKN982979 HUJ982773:HUJ982979 IEF982773:IEF982979 IOB982773:IOB982979 IXX982773:IXX982979 JHT982773:JHT982979 JRP982773:JRP982979 KBL982773:KBL982979 KLH982773:KLH982979 KVD982773:KVD982979 LEZ982773:LEZ982979 LOV982773:LOV982979 LYR982773:LYR982979 MIN982773:MIN982979 MSJ982773:MSJ982979 NCF982773:NCF982979 NMB982773:NMB982979 NVX982773:NVX982979 OFT982773:OFT982979 OPP982773:OPP982979 OZL982773:OZL982979 PJH982773:PJH982979 PTD982773:PTD982979 QCZ982773:QCZ982979 QMV982773:QMV982979 QWR982773:QWR982979 RGN982773:RGN982979 RQJ982773:RQJ982979 SAF982773:SAF982979 SKB982773:SKB982979 STX982773:STX982979 TDT982773:TDT982979 TNP982773:TNP982979 TXL982773:TXL982979 UHH982773:UHH982979 URD982773:URD982979 VAZ982773:VAZ982979 VKV982773:VKV982979 VUR982773:VUR982979 WEN982773:WEN982979 WOJ982773:WOJ982979 WYF982773:WYF982979 KZ65269:KZ65475 UV65269:UV65475 AER65269:AER65475 AON65269:AON65475 AYJ65269:AYJ65475 BIF65269:BIF65475 BSB65269:BSB65475 CBX65269:CBX65475 CLT65269:CLT65475 CVP65269:CVP65475 DFL65269:DFL65475 DPH65269:DPH65475 DZD65269:DZD65475 EIZ65269:EIZ65475 ESV65269:ESV65475 FCR65269:FCR65475 FMN65269:FMN65475 FWJ65269:FWJ65475 GGF65269:GGF65475 GQB65269:GQB65475 GZX65269:GZX65475 HJT65269:HJT65475 HTP65269:HTP65475 IDL65269:IDL65475 INH65269:INH65475 IXD65269:IXD65475 JGZ65269:JGZ65475 JQV65269:JQV65475 KAR65269:KAR65475 KKN65269:KKN65475 KUJ65269:KUJ65475 LEF65269:LEF65475 LOB65269:LOB65475 LXX65269:LXX65475 MHT65269:MHT65475 MRP65269:MRP65475 NBL65269:NBL65475 NLH65269:NLH65475 NVD65269:NVD65475 OEZ65269:OEZ65475 OOV65269:OOV65475 OYR65269:OYR65475 PIN65269:PIN65475 PSJ65269:PSJ65475 QCF65269:QCF65475 QMB65269:QMB65475 QVX65269:QVX65475 RFT65269:RFT65475 RPP65269:RPP65475 RZL65269:RZL65475 SJH65269:SJH65475 STD65269:STD65475 TCZ65269:TCZ65475 TMV65269:TMV65475 TWR65269:TWR65475 UGN65269:UGN65475 UQJ65269:UQJ65475 VAF65269:VAF65475 VKB65269:VKB65475 VTX65269:VTX65475 WDT65269:WDT65475 WNP65269:WNP65475 WXL65269:WXL65475 KZ130805:KZ131011 UV130805:UV131011 AER130805:AER131011 AON130805:AON131011 AYJ130805:AYJ131011 BIF130805:BIF131011 BSB130805:BSB131011 CBX130805:CBX131011 CLT130805:CLT131011 CVP130805:CVP131011 DFL130805:DFL131011 DPH130805:DPH131011 DZD130805:DZD131011 EIZ130805:EIZ131011 ESV130805:ESV131011 FCR130805:FCR131011 FMN130805:FMN131011 FWJ130805:FWJ131011 GGF130805:GGF131011 GQB130805:GQB131011 GZX130805:GZX131011 HJT130805:HJT131011 HTP130805:HTP131011 IDL130805:IDL131011 INH130805:INH131011 IXD130805:IXD131011 JGZ130805:JGZ131011 JQV130805:JQV131011 KAR130805:KAR131011 KKN130805:KKN131011 KUJ130805:KUJ131011 LEF130805:LEF131011 LOB130805:LOB131011 LXX130805:LXX131011 MHT130805:MHT131011 MRP130805:MRP131011 NBL130805:NBL131011 NLH130805:NLH131011 NVD130805:NVD131011 OEZ130805:OEZ131011 OOV130805:OOV131011 OYR130805:OYR131011 PIN130805:PIN131011 PSJ130805:PSJ131011 QCF130805:QCF131011 QMB130805:QMB131011 QVX130805:QVX131011 RFT130805:RFT131011 RPP130805:RPP131011 RZL130805:RZL131011 SJH130805:SJH131011 STD130805:STD131011 TCZ130805:TCZ131011 TMV130805:TMV131011 TWR130805:TWR131011 UGN130805:UGN131011 UQJ130805:UQJ131011 VAF130805:VAF131011 VKB130805:VKB131011 VTX130805:VTX131011 WDT130805:WDT131011 WNP130805:WNP131011 WXL130805:WXL131011 KZ196341:KZ196547 UV196341:UV196547 AER196341:AER196547 AON196341:AON196547 AYJ196341:AYJ196547 BIF196341:BIF196547 BSB196341:BSB196547 CBX196341:CBX196547 CLT196341:CLT196547 CVP196341:CVP196547 DFL196341:DFL196547 DPH196341:DPH196547 DZD196341:DZD196547 EIZ196341:EIZ196547 ESV196341:ESV196547 FCR196341:FCR196547 FMN196341:FMN196547 FWJ196341:FWJ196547 GGF196341:GGF196547 GQB196341:GQB196547 GZX196341:GZX196547 HJT196341:HJT196547 HTP196341:HTP196547 IDL196341:IDL196547 INH196341:INH196547 IXD196341:IXD196547 JGZ196341:JGZ196547 JQV196341:JQV196547 KAR196341:KAR196547 KKN196341:KKN196547 KUJ196341:KUJ196547 LEF196341:LEF196547 LOB196341:LOB196547 LXX196341:LXX196547 MHT196341:MHT196547 MRP196341:MRP196547 NBL196341:NBL196547 NLH196341:NLH196547 NVD196341:NVD196547 OEZ196341:OEZ196547 OOV196341:OOV196547 OYR196341:OYR196547 PIN196341:PIN196547 PSJ196341:PSJ196547 QCF196341:QCF196547 QMB196341:QMB196547 QVX196341:QVX196547 RFT196341:RFT196547 RPP196341:RPP196547 RZL196341:RZL196547 SJH196341:SJH196547 STD196341:STD196547 TCZ196341:TCZ196547 TMV196341:TMV196547 TWR196341:TWR196547 UGN196341:UGN196547 UQJ196341:UQJ196547 VAF196341:VAF196547 VKB196341:VKB196547 VTX196341:VTX196547 WDT196341:WDT196547 WNP196341:WNP196547 WXL196341:WXL196547 KZ261877:KZ262083 UV261877:UV262083 AER261877:AER262083 AON261877:AON262083 AYJ261877:AYJ262083 BIF261877:BIF262083 BSB261877:BSB262083 CBX261877:CBX262083 CLT261877:CLT262083 CVP261877:CVP262083 DFL261877:DFL262083 DPH261877:DPH262083 DZD261877:DZD262083 EIZ261877:EIZ262083 ESV261877:ESV262083 FCR261877:FCR262083 FMN261877:FMN262083 FWJ261877:FWJ262083 GGF261877:GGF262083 GQB261877:GQB262083 GZX261877:GZX262083 HJT261877:HJT262083 HTP261877:HTP262083 IDL261877:IDL262083 INH261877:INH262083 IXD261877:IXD262083 JGZ261877:JGZ262083 JQV261877:JQV262083 KAR261877:KAR262083 KKN261877:KKN262083 KUJ261877:KUJ262083 LEF261877:LEF262083 LOB261877:LOB262083 LXX261877:LXX262083 MHT261877:MHT262083 MRP261877:MRP262083 NBL261877:NBL262083 NLH261877:NLH262083 NVD261877:NVD262083 OEZ261877:OEZ262083 OOV261877:OOV262083 OYR261877:OYR262083 PIN261877:PIN262083 PSJ261877:PSJ262083 QCF261877:QCF262083 QMB261877:QMB262083 QVX261877:QVX262083 RFT261877:RFT262083 RPP261877:RPP262083 RZL261877:RZL262083 SJH261877:SJH262083 STD261877:STD262083 TCZ261877:TCZ262083 TMV261877:TMV262083 TWR261877:TWR262083 UGN261877:UGN262083 UQJ261877:UQJ262083 VAF261877:VAF262083 VKB261877:VKB262083 VTX261877:VTX262083 WDT261877:WDT262083 WNP261877:WNP262083 WXL261877:WXL262083 KZ327413:KZ327619 UV327413:UV327619 AER327413:AER327619 AON327413:AON327619 AYJ327413:AYJ327619 BIF327413:BIF327619 BSB327413:BSB327619 CBX327413:CBX327619 CLT327413:CLT327619 CVP327413:CVP327619 DFL327413:DFL327619 DPH327413:DPH327619 DZD327413:DZD327619 EIZ327413:EIZ327619 ESV327413:ESV327619 FCR327413:FCR327619 FMN327413:FMN327619 FWJ327413:FWJ327619 GGF327413:GGF327619 GQB327413:GQB327619 GZX327413:GZX327619 HJT327413:HJT327619 HTP327413:HTP327619 IDL327413:IDL327619 INH327413:INH327619 IXD327413:IXD327619 JGZ327413:JGZ327619 JQV327413:JQV327619 KAR327413:KAR327619 KKN327413:KKN327619 KUJ327413:KUJ327619 LEF327413:LEF327619 LOB327413:LOB327619 LXX327413:LXX327619 MHT327413:MHT327619 MRP327413:MRP327619 NBL327413:NBL327619 NLH327413:NLH327619 NVD327413:NVD327619 OEZ327413:OEZ327619 OOV327413:OOV327619 OYR327413:OYR327619 PIN327413:PIN327619 PSJ327413:PSJ327619 QCF327413:QCF327619 QMB327413:QMB327619 QVX327413:QVX327619 RFT327413:RFT327619 RPP327413:RPP327619 RZL327413:RZL327619 SJH327413:SJH327619 STD327413:STD327619 TCZ327413:TCZ327619 TMV327413:TMV327619 TWR327413:TWR327619 UGN327413:UGN327619 UQJ327413:UQJ327619 VAF327413:VAF327619 VKB327413:VKB327619 VTX327413:VTX327619 WDT327413:WDT327619 WNP327413:WNP327619 WXL327413:WXL327619 KZ392949:KZ393155 UV392949:UV393155 AER392949:AER393155 AON392949:AON393155 AYJ392949:AYJ393155 BIF392949:BIF393155 BSB392949:BSB393155 CBX392949:CBX393155 CLT392949:CLT393155 CVP392949:CVP393155 DFL392949:DFL393155 DPH392949:DPH393155 DZD392949:DZD393155 EIZ392949:EIZ393155 ESV392949:ESV393155 FCR392949:FCR393155 FMN392949:FMN393155 FWJ392949:FWJ393155 GGF392949:GGF393155 GQB392949:GQB393155 GZX392949:GZX393155 HJT392949:HJT393155 HTP392949:HTP393155 IDL392949:IDL393155 INH392949:INH393155 IXD392949:IXD393155 JGZ392949:JGZ393155 JQV392949:JQV393155 KAR392949:KAR393155 KKN392949:KKN393155 KUJ392949:KUJ393155 LEF392949:LEF393155 LOB392949:LOB393155 LXX392949:LXX393155 MHT392949:MHT393155 MRP392949:MRP393155 NBL392949:NBL393155 NLH392949:NLH393155 NVD392949:NVD393155 OEZ392949:OEZ393155 OOV392949:OOV393155 OYR392949:OYR393155 PIN392949:PIN393155 PSJ392949:PSJ393155 QCF392949:QCF393155 QMB392949:QMB393155 QVX392949:QVX393155 RFT392949:RFT393155 RPP392949:RPP393155 RZL392949:RZL393155 SJH392949:SJH393155 STD392949:STD393155 TCZ392949:TCZ393155 TMV392949:TMV393155 TWR392949:TWR393155 UGN392949:UGN393155 UQJ392949:UQJ393155 VAF392949:VAF393155 VKB392949:VKB393155 VTX392949:VTX393155 WDT392949:WDT393155 WNP392949:WNP393155 WXL392949:WXL393155 KZ458485:KZ458691 UV458485:UV458691 AER458485:AER458691 AON458485:AON458691 AYJ458485:AYJ458691 BIF458485:BIF458691 BSB458485:BSB458691 CBX458485:CBX458691 CLT458485:CLT458691 CVP458485:CVP458691 DFL458485:DFL458691 DPH458485:DPH458691 DZD458485:DZD458691 EIZ458485:EIZ458691 ESV458485:ESV458691 FCR458485:FCR458691 FMN458485:FMN458691 FWJ458485:FWJ458691 GGF458485:GGF458691 GQB458485:GQB458691 GZX458485:GZX458691 HJT458485:HJT458691 HTP458485:HTP458691 IDL458485:IDL458691 INH458485:INH458691 IXD458485:IXD458691 JGZ458485:JGZ458691 JQV458485:JQV458691 KAR458485:KAR458691 KKN458485:KKN458691 KUJ458485:KUJ458691 LEF458485:LEF458691 LOB458485:LOB458691 LXX458485:LXX458691 MHT458485:MHT458691 MRP458485:MRP458691 NBL458485:NBL458691 NLH458485:NLH458691 NVD458485:NVD458691 OEZ458485:OEZ458691 OOV458485:OOV458691 OYR458485:OYR458691 PIN458485:PIN458691 PSJ458485:PSJ458691 QCF458485:QCF458691 QMB458485:QMB458691 QVX458485:QVX458691 RFT458485:RFT458691 RPP458485:RPP458691 RZL458485:RZL458691 SJH458485:SJH458691 STD458485:STD458691 TCZ458485:TCZ458691 TMV458485:TMV458691 TWR458485:TWR458691 UGN458485:UGN458691 UQJ458485:UQJ458691 VAF458485:VAF458691 VKB458485:VKB458691 VTX458485:VTX458691 WDT458485:WDT458691 WNP458485:WNP458691 WXL458485:WXL458691 KZ524021:KZ524227 UV524021:UV524227 AER524021:AER524227 AON524021:AON524227 AYJ524021:AYJ524227 BIF524021:BIF524227 BSB524021:BSB524227 CBX524021:CBX524227 CLT524021:CLT524227 CVP524021:CVP524227 DFL524021:DFL524227 DPH524021:DPH524227 DZD524021:DZD524227 EIZ524021:EIZ524227 ESV524021:ESV524227 FCR524021:FCR524227 FMN524021:FMN524227 FWJ524021:FWJ524227 GGF524021:GGF524227 GQB524021:GQB524227 GZX524021:GZX524227 HJT524021:HJT524227 HTP524021:HTP524227 IDL524021:IDL524227 INH524021:INH524227 IXD524021:IXD524227 JGZ524021:JGZ524227 JQV524021:JQV524227 KAR524021:KAR524227 KKN524021:KKN524227 KUJ524021:KUJ524227 LEF524021:LEF524227 LOB524021:LOB524227 LXX524021:LXX524227 MHT524021:MHT524227 MRP524021:MRP524227 NBL524021:NBL524227 NLH524021:NLH524227 NVD524021:NVD524227 OEZ524021:OEZ524227 OOV524021:OOV524227 OYR524021:OYR524227 PIN524021:PIN524227 PSJ524021:PSJ524227 QCF524021:QCF524227 QMB524021:QMB524227 QVX524021:QVX524227 RFT524021:RFT524227 RPP524021:RPP524227 RZL524021:RZL524227 SJH524021:SJH524227 STD524021:STD524227 TCZ524021:TCZ524227 TMV524021:TMV524227 TWR524021:TWR524227 UGN524021:UGN524227 UQJ524021:UQJ524227 VAF524021:VAF524227 VKB524021:VKB524227 VTX524021:VTX524227 WDT524021:WDT524227 WNP524021:WNP524227 WXL524021:WXL524227 KZ589557:KZ589763 UV589557:UV589763 AER589557:AER589763 AON589557:AON589763 AYJ589557:AYJ589763 BIF589557:BIF589763 BSB589557:BSB589763 CBX589557:CBX589763 CLT589557:CLT589763 CVP589557:CVP589763 DFL589557:DFL589763 DPH589557:DPH589763 DZD589557:DZD589763 EIZ589557:EIZ589763 ESV589557:ESV589763 FCR589557:FCR589763 FMN589557:FMN589763 FWJ589557:FWJ589763 GGF589557:GGF589763 GQB589557:GQB589763 GZX589557:GZX589763 HJT589557:HJT589763 HTP589557:HTP589763 IDL589557:IDL589763 INH589557:INH589763 IXD589557:IXD589763 JGZ589557:JGZ589763 JQV589557:JQV589763 KAR589557:KAR589763 KKN589557:KKN589763 KUJ589557:KUJ589763 LEF589557:LEF589763 LOB589557:LOB589763 LXX589557:LXX589763 MHT589557:MHT589763 MRP589557:MRP589763 NBL589557:NBL589763 NLH589557:NLH589763 NVD589557:NVD589763 OEZ589557:OEZ589763 OOV589557:OOV589763 OYR589557:OYR589763 PIN589557:PIN589763 PSJ589557:PSJ589763 QCF589557:QCF589763 QMB589557:QMB589763 QVX589557:QVX589763 RFT589557:RFT589763 RPP589557:RPP589763 RZL589557:RZL589763 SJH589557:SJH589763 STD589557:STD589763 TCZ589557:TCZ589763 TMV589557:TMV589763 TWR589557:TWR589763 UGN589557:UGN589763 UQJ589557:UQJ589763 VAF589557:VAF589763 VKB589557:VKB589763 VTX589557:VTX589763 WDT589557:WDT589763 WNP589557:WNP589763 WXL589557:WXL589763 KZ655093:KZ655299 UV655093:UV655299 AER655093:AER655299 AON655093:AON655299 AYJ655093:AYJ655299 BIF655093:BIF655299 BSB655093:BSB655299 CBX655093:CBX655299 CLT655093:CLT655299 CVP655093:CVP655299 DFL655093:DFL655299 DPH655093:DPH655299 DZD655093:DZD655299 EIZ655093:EIZ655299 ESV655093:ESV655299 FCR655093:FCR655299 FMN655093:FMN655299 FWJ655093:FWJ655299 GGF655093:GGF655299 GQB655093:GQB655299 GZX655093:GZX655299 HJT655093:HJT655299 HTP655093:HTP655299 IDL655093:IDL655299 INH655093:INH655299 IXD655093:IXD655299 JGZ655093:JGZ655299 JQV655093:JQV655299 KAR655093:KAR655299 KKN655093:KKN655299 KUJ655093:KUJ655299 LEF655093:LEF655299 LOB655093:LOB655299 LXX655093:LXX655299 MHT655093:MHT655299 MRP655093:MRP655299 NBL655093:NBL655299 NLH655093:NLH655299 NVD655093:NVD655299 OEZ655093:OEZ655299 OOV655093:OOV655299 OYR655093:OYR655299 PIN655093:PIN655299 PSJ655093:PSJ655299 QCF655093:QCF655299 QMB655093:QMB655299 QVX655093:QVX655299 RFT655093:RFT655299 RPP655093:RPP655299 RZL655093:RZL655299 SJH655093:SJH655299 STD655093:STD655299 TCZ655093:TCZ655299 TMV655093:TMV655299 TWR655093:TWR655299 UGN655093:UGN655299 UQJ655093:UQJ655299 VAF655093:VAF655299 VKB655093:VKB655299 VTX655093:VTX655299 WDT655093:WDT655299 WNP655093:WNP655299 WXL655093:WXL655299 KZ720629:KZ720835 UV720629:UV720835 AER720629:AER720835 AON720629:AON720835 AYJ720629:AYJ720835 BIF720629:BIF720835 BSB720629:BSB720835 CBX720629:CBX720835 CLT720629:CLT720835 CVP720629:CVP720835 DFL720629:DFL720835 DPH720629:DPH720835 DZD720629:DZD720835 EIZ720629:EIZ720835 ESV720629:ESV720835 FCR720629:FCR720835 FMN720629:FMN720835 FWJ720629:FWJ720835 GGF720629:GGF720835 GQB720629:GQB720835 GZX720629:GZX720835 HJT720629:HJT720835 HTP720629:HTP720835 IDL720629:IDL720835 INH720629:INH720835 IXD720629:IXD720835 JGZ720629:JGZ720835 JQV720629:JQV720835 KAR720629:KAR720835 KKN720629:KKN720835 KUJ720629:KUJ720835 LEF720629:LEF720835 LOB720629:LOB720835 LXX720629:LXX720835 MHT720629:MHT720835 MRP720629:MRP720835 NBL720629:NBL720835 NLH720629:NLH720835 NVD720629:NVD720835 OEZ720629:OEZ720835 OOV720629:OOV720835 OYR720629:OYR720835 PIN720629:PIN720835 PSJ720629:PSJ720835 QCF720629:QCF720835 QMB720629:QMB720835 QVX720629:QVX720835 RFT720629:RFT720835 RPP720629:RPP720835 RZL720629:RZL720835 SJH720629:SJH720835 STD720629:STD720835 TCZ720629:TCZ720835 TMV720629:TMV720835 TWR720629:TWR720835 UGN720629:UGN720835 UQJ720629:UQJ720835 VAF720629:VAF720835 VKB720629:VKB720835 VTX720629:VTX720835 WDT720629:WDT720835 WNP720629:WNP720835 WXL720629:WXL720835 KZ786165:KZ786371 UV786165:UV786371 AER786165:AER786371 AON786165:AON786371 AYJ786165:AYJ786371 BIF786165:BIF786371 BSB786165:BSB786371 CBX786165:CBX786371 CLT786165:CLT786371 CVP786165:CVP786371 DFL786165:DFL786371 DPH786165:DPH786371 DZD786165:DZD786371 EIZ786165:EIZ786371 ESV786165:ESV786371 FCR786165:FCR786371 FMN786165:FMN786371 FWJ786165:FWJ786371 GGF786165:GGF786371 GQB786165:GQB786371 GZX786165:GZX786371 HJT786165:HJT786371 HTP786165:HTP786371 IDL786165:IDL786371 INH786165:INH786371 IXD786165:IXD786371 JGZ786165:JGZ786371 JQV786165:JQV786371 KAR786165:KAR786371 KKN786165:KKN786371 KUJ786165:KUJ786371 LEF786165:LEF786371 LOB786165:LOB786371 LXX786165:LXX786371 MHT786165:MHT786371 MRP786165:MRP786371 NBL786165:NBL786371 NLH786165:NLH786371 NVD786165:NVD786371 OEZ786165:OEZ786371 OOV786165:OOV786371 OYR786165:OYR786371 PIN786165:PIN786371 PSJ786165:PSJ786371 QCF786165:QCF786371 QMB786165:QMB786371 QVX786165:QVX786371 RFT786165:RFT786371 RPP786165:RPP786371 RZL786165:RZL786371 SJH786165:SJH786371 STD786165:STD786371 TCZ786165:TCZ786371 TMV786165:TMV786371 TWR786165:TWR786371 UGN786165:UGN786371 UQJ786165:UQJ786371 VAF786165:VAF786371 VKB786165:VKB786371 VTX786165:VTX786371 WDT786165:WDT786371 WNP786165:WNP786371 WXL786165:WXL786371 KZ851701:KZ851907 UV851701:UV851907 AER851701:AER851907 AON851701:AON851907 AYJ851701:AYJ851907 BIF851701:BIF851907 BSB851701:BSB851907 CBX851701:CBX851907 CLT851701:CLT851907 CVP851701:CVP851907 DFL851701:DFL851907 DPH851701:DPH851907 DZD851701:DZD851907 EIZ851701:EIZ851907 ESV851701:ESV851907 FCR851701:FCR851907 FMN851701:FMN851907 FWJ851701:FWJ851907 GGF851701:GGF851907 GQB851701:GQB851907 GZX851701:GZX851907 HJT851701:HJT851907 HTP851701:HTP851907 IDL851701:IDL851907 INH851701:INH851907 IXD851701:IXD851907 JGZ851701:JGZ851907 JQV851701:JQV851907 KAR851701:KAR851907 KKN851701:KKN851907 KUJ851701:KUJ851907 LEF851701:LEF851907 LOB851701:LOB851907 LXX851701:LXX851907 MHT851701:MHT851907 MRP851701:MRP851907 NBL851701:NBL851907 NLH851701:NLH851907 NVD851701:NVD851907 OEZ851701:OEZ851907 OOV851701:OOV851907 OYR851701:OYR851907 PIN851701:PIN851907 PSJ851701:PSJ851907 QCF851701:QCF851907 QMB851701:QMB851907 QVX851701:QVX851907 RFT851701:RFT851907 RPP851701:RPP851907 RZL851701:RZL851907 SJH851701:SJH851907 STD851701:STD851907 TCZ851701:TCZ851907 TMV851701:TMV851907 TWR851701:TWR851907 UGN851701:UGN851907 UQJ851701:UQJ851907 VAF851701:VAF851907 VKB851701:VKB851907 VTX851701:VTX851907 WDT851701:WDT851907 WNP851701:WNP851907 WXL851701:WXL851907 KZ917237:KZ917443 UV917237:UV917443 AER917237:AER917443 AON917237:AON917443 AYJ917237:AYJ917443 BIF917237:BIF917443 BSB917237:BSB917443 CBX917237:CBX917443 CLT917237:CLT917443 CVP917237:CVP917443 DFL917237:DFL917443 DPH917237:DPH917443 DZD917237:DZD917443 EIZ917237:EIZ917443 ESV917237:ESV917443 FCR917237:FCR917443 FMN917237:FMN917443 FWJ917237:FWJ917443 GGF917237:GGF917443 GQB917237:GQB917443 GZX917237:GZX917443 HJT917237:HJT917443 HTP917237:HTP917443 IDL917237:IDL917443 INH917237:INH917443 IXD917237:IXD917443 JGZ917237:JGZ917443 JQV917237:JQV917443 KAR917237:KAR917443 KKN917237:KKN917443 KUJ917237:KUJ917443 LEF917237:LEF917443 LOB917237:LOB917443 LXX917237:LXX917443 MHT917237:MHT917443 MRP917237:MRP917443 NBL917237:NBL917443 NLH917237:NLH917443 NVD917237:NVD917443 OEZ917237:OEZ917443 OOV917237:OOV917443 OYR917237:OYR917443 PIN917237:PIN917443 PSJ917237:PSJ917443 QCF917237:QCF917443 QMB917237:QMB917443 QVX917237:QVX917443 RFT917237:RFT917443 RPP917237:RPP917443 RZL917237:RZL917443 SJH917237:SJH917443 STD917237:STD917443 TCZ917237:TCZ917443 TMV917237:TMV917443 TWR917237:TWR917443 UGN917237:UGN917443 UQJ917237:UQJ917443 VAF917237:VAF917443 VKB917237:VKB917443 VTX917237:VTX917443 WDT917237:WDT917443 WNP917237:WNP917443 WXL917237:WXL917443 KZ982773:KZ982979 UV982773:UV982979 AER982773:AER982979 AON982773:AON982979 AYJ982773:AYJ982979 BIF982773:BIF982979 BSB982773:BSB982979 CBX982773:CBX982979 CLT982773:CLT982979 CVP982773:CVP982979 DFL982773:DFL982979 DPH982773:DPH982979 DZD982773:DZD982979 EIZ982773:EIZ982979 ESV982773:ESV982979 FCR982773:FCR982979 FMN982773:FMN982979 FWJ982773:FWJ982979 GGF982773:GGF982979 GQB982773:GQB982979 GZX982773:GZX982979 HJT982773:HJT982979 HTP982773:HTP982979 IDL982773:IDL982979 INH982773:INH982979 IXD982773:IXD982979 JGZ982773:JGZ982979 JQV982773:JQV982979 KAR982773:KAR982979 KKN982773:KKN982979 KUJ982773:KUJ982979 LEF982773:LEF982979 LOB982773:LOB982979 LXX982773:LXX982979 MHT982773:MHT982979 MRP982773:MRP982979 NBL982773:NBL982979 NLH982773:NLH982979 NVD982773:NVD982979 OEZ982773:OEZ982979 OOV982773:OOV982979 OYR982773:OYR982979 PIN982773:PIN982979 PSJ982773:PSJ982979 QCF982773:QCF982979 QMB982773:QMB982979 QVX982773:QVX982979 RFT982773:RFT982979 RPP982773:RPP982979 RZL982773:RZL982979 SJH982773:SJH982979 STD982773:STD982979 TCZ982773:TCZ982979 TMV982773:TMV982979 TWR982773:TWR982979 UGN982773:UGN982979 UQJ982773:UQJ982979 VAF982773:VAF982979 VKB982773:VKB982979 VTX982773:VTX982979 WDT982773:WDT982979 WNP982773:WNP982979 WXL982773:WXL982979 BK65269:BL65475 LE65269:LE65475 VA65269:VA65475 AEW65269:AEW65475 AOS65269:AOS65475 AYO65269:AYO65475 BIK65269:BIK65475 BSG65269:BSG65475 CCC65269:CCC65475 CLY65269:CLY65475 CVU65269:CVU65475 DFQ65269:DFQ65475 DPM65269:DPM65475 DZI65269:DZI65475 EJE65269:EJE65475 ETA65269:ETA65475 FCW65269:FCW65475 FMS65269:FMS65475 FWO65269:FWO65475 GGK65269:GGK65475 GQG65269:GQG65475 HAC65269:HAC65475 HJY65269:HJY65475 HTU65269:HTU65475 IDQ65269:IDQ65475 INM65269:INM65475 IXI65269:IXI65475 JHE65269:JHE65475 JRA65269:JRA65475 KAW65269:KAW65475 KKS65269:KKS65475 KUO65269:KUO65475 LEK65269:LEK65475 LOG65269:LOG65475 LYC65269:LYC65475 MHY65269:MHY65475 MRU65269:MRU65475 NBQ65269:NBQ65475 NLM65269:NLM65475 NVI65269:NVI65475 OFE65269:OFE65475 OPA65269:OPA65475 OYW65269:OYW65475 PIS65269:PIS65475 PSO65269:PSO65475 QCK65269:QCK65475 QMG65269:QMG65475 QWC65269:QWC65475 RFY65269:RFY65475 RPU65269:RPU65475 RZQ65269:RZQ65475 SJM65269:SJM65475 STI65269:STI65475 TDE65269:TDE65475 TNA65269:TNA65475 TWW65269:TWW65475 UGS65269:UGS65475 UQO65269:UQO65475 VAK65269:VAK65475 VKG65269:VKG65475 VUC65269:VUC65475 WDY65269:WDY65475 WNU65269:WNU65475 WXQ65269:WXQ65475 BK130805:BL131011 LE130805:LE131011 VA130805:VA131011 AEW130805:AEW131011 AOS130805:AOS131011 AYO130805:AYO131011 BIK130805:BIK131011 BSG130805:BSG131011 CCC130805:CCC131011 CLY130805:CLY131011 CVU130805:CVU131011 DFQ130805:DFQ131011 DPM130805:DPM131011 DZI130805:DZI131011 EJE130805:EJE131011 ETA130805:ETA131011 FCW130805:FCW131011 FMS130805:FMS131011 FWO130805:FWO131011 GGK130805:GGK131011 GQG130805:GQG131011 HAC130805:HAC131011 HJY130805:HJY131011 HTU130805:HTU131011 IDQ130805:IDQ131011 INM130805:INM131011 IXI130805:IXI131011 JHE130805:JHE131011 JRA130805:JRA131011 KAW130805:KAW131011 KKS130805:KKS131011 KUO130805:KUO131011 LEK130805:LEK131011 LOG130805:LOG131011 LYC130805:LYC131011 MHY130805:MHY131011 MRU130805:MRU131011 NBQ130805:NBQ131011 NLM130805:NLM131011 NVI130805:NVI131011 OFE130805:OFE131011 OPA130805:OPA131011 OYW130805:OYW131011 PIS130805:PIS131011 PSO130805:PSO131011 QCK130805:QCK131011 QMG130805:QMG131011 QWC130805:QWC131011 RFY130805:RFY131011 RPU130805:RPU131011 RZQ130805:RZQ131011 SJM130805:SJM131011 STI130805:STI131011 TDE130805:TDE131011 TNA130805:TNA131011 TWW130805:TWW131011 UGS130805:UGS131011 UQO130805:UQO131011 VAK130805:VAK131011 VKG130805:VKG131011 VUC130805:VUC131011 WDY130805:WDY131011 WNU130805:WNU131011 WXQ130805:WXQ131011 BK196341:BL196547 LE196341:LE196547 VA196341:VA196547 AEW196341:AEW196547 AOS196341:AOS196547 AYO196341:AYO196547 BIK196341:BIK196547 BSG196341:BSG196547 CCC196341:CCC196547 CLY196341:CLY196547 CVU196341:CVU196547 DFQ196341:DFQ196547 DPM196341:DPM196547 DZI196341:DZI196547 EJE196341:EJE196547 ETA196341:ETA196547 FCW196341:FCW196547 FMS196341:FMS196547 FWO196341:FWO196547 GGK196341:GGK196547 GQG196341:GQG196547 HAC196341:HAC196547 HJY196341:HJY196547 HTU196341:HTU196547 IDQ196341:IDQ196547 INM196341:INM196547 IXI196341:IXI196547 JHE196341:JHE196547 JRA196341:JRA196547 KAW196341:KAW196547 KKS196341:KKS196547 KUO196341:KUO196547 LEK196341:LEK196547 LOG196341:LOG196547 LYC196341:LYC196547 MHY196341:MHY196547 MRU196341:MRU196547 NBQ196341:NBQ196547 NLM196341:NLM196547 NVI196341:NVI196547 OFE196341:OFE196547 OPA196341:OPA196547 OYW196341:OYW196547 PIS196341:PIS196547 PSO196341:PSO196547 QCK196341:QCK196547 QMG196341:QMG196547 QWC196341:QWC196547 RFY196341:RFY196547 RPU196341:RPU196547 RZQ196341:RZQ196547 SJM196341:SJM196547 STI196341:STI196547 TDE196341:TDE196547 TNA196341:TNA196547 TWW196341:TWW196547 UGS196341:UGS196547 UQO196341:UQO196547 VAK196341:VAK196547 VKG196341:VKG196547 VUC196341:VUC196547 WDY196341:WDY196547 WNU196341:WNU196547 WXQ196341:WXQ196547 BK261877:BL262083 LE261877:LE262083 VA261877:VA262083 AEW261877:AEW262083 AOS261877:AOS262083 AYO261877:AYO262083 BIK261877:BIK262083 BSG261877:BSG262083 CCC261877:CCC262083 CLY261877:CLY262083 CVU261877:CVU262083 DFQ261877:DFQ262083 DPM261877:DPM262083 DZI261877:DZI262083 EJE261877:EJE262083 ETA261877:ETA262083 FCW261877:FCW262083 FMS261877:FMS262083 FWO261877:FWO262083 GGK261877:GGK262083 GQG261877:GQG262083 HAC261877:HAC262083 HJY261877:HJY262083 HTU261877:HTU262083 IDQ261877:IDQ262083 INM261877:INM262083 IXI261877:IXI262083 JHE261877:JHE262083 JRA261877:JRA262083 KAW261877:KAW262083 KKS261877:KKS262083 KUO261877:KUO262083 LEK261877:LEK262083 LOG261877:LOG262083 LYC261877:LYC262083 MHY261877:MHY262083 MRU261877:MRU262083 NBQ261877:NBQ262083 NLM261877:NLM262083 NVI261877:NVI262083 OFE261877:OFE262083 OPA261877:OPA262083 OYW261877:OYW262083 PIS261877:PIS262083 PSO261877:PSO262083 QCK261877:QCK262083 QMG261877:QMG262083 QWC261877:QWC262083 RFY261877:RFY262083 RPU261877:RPU262083 RZQ261877:RZQ262083 SJM261877:SJM262083 STI261877:STI262083 TDE261877:TDE262083 TNA261877:TNA262083 TWW261877:TWW262083 UGS261877:UGS262083 UQO261877:UQO262083 VAK261877:VAK262083 VKG261877:VKG262083 VUC261877:VUC262083 WDY261877:WDY262083 WNU261877:WNU262083 WXQ261877:WXQ262083 BK327413:BL327619 LE327413:LE327619 VA327413:VA327619 AEW327413:AEW327619 AOS327413:AOS327619 AYO327413:AYO327619 BIK327413:BIK327619 BSG327413:BSG327619 CCC327413:CCC327619 CLY327413:CLY327619 CVU327413:CVU327619 DFQ327413:DFQ327619 DPM327413:DPM327619 DZI327413:DZI327619 EJE327413:EJE327619 ETA327413:ETA327619 FCW327413:FCW327619 FMS327413:FMS327619 FWO327413:FWO327619 GGK327413:GGK327619 GQG327413:GQG327619 HAC327413:HAC327619 HJY327413:HJY327619 HTU327413:HTU327619 IDQ327413:IDQ327619 INM327413:INM327619 IXI327413:IXI327619 JHE327413:JHE327619 JRA327413:JRA327619 KAW327413:KAW327619 KKS327413:KKS327619 KUO327413:KUO327619 LEK327413:LEK327619 LOG327413:LOG327619 LYC327413:LYC327619 MHY327413:MHY327619 MRU327413:MRU327619 NBQ327413:NBQ327619 NLM327413:NLM327619 NVI327413:NVI327619 OFE327413:OFE327619 OPA327413:OPA327619 OYW327413:OYW327619 PIS327413:PIS327619 PSO327413:PSO327619 QCK327413:QCK327619 QMG327413:QMG327619 QWC327413:QWC327619 RFY327413:RFY327619 RPU327413:RPU327619 RZQ327413:RZQ327619 SJM327413:SJM327619 STI327413:STI327619 TDE327413:TDE327619 TNA327413:TNA327619 TWW327413:TWW327619 UGS327413:UGS327619 UQO327413:UQO327619 VAK327413:VAK327619 VKG327413:VKG327619 VUC327413:VUC327619 WDY327413:WDY327619 WNU327413:WNU327619 WXQ327413:WXQ327619 BK392949:BL393155 LE392949:LE393155 VA392949:VA393155 AEW392949:AEW393155 AOS392949:AOS393155 AYO392949:AYO393155 BIK392949:BIK393155 BSG392949:BSG393155 CCC392949:CCC393155 CLY392949:CLY393155 CVU392949:CVU393155 DFQ392949:DFQ393155 DPM392949:DPM393155 DZI392949:DZI393155 EJE392949:EJE393155 ETA392949:ETA393155 FCW392949:FCW393155 FMS392949:FMS393155 FWO392949:FWO393155 GGK392949:GGK393155 GQG392949:GQG393155 HAC392949:HAC393155 HJY392949:HJY393155 HTU392949:HTU393155 IDQ392949:IDQ393155 INM392949:INM393155 IXI392949:IXI393155 JHE392949:JHE393155 JRA392949:JRA393155 KAW392949:KAW393155 KKS392949:KKS393155 KUO392949:KUO393155 LEK392949:LEK393155 LOG392949:LOG393155 LYC392949:LYC393155 MHY392949:MHY393155 MRU392949:MRU393155 NBQ392949:NBQ393155 NLM392949:NLM393155 NVI392949:NVI393155 OFE392949:OFE393155 OPA392949:OPA393155 OYW392949:OYW393155 PIS392949:PIS393155 PSO392949:PSO393155 QCK392949:QCK393155 QMG392949:QMG393155 QWC392949:QWC393155 RFY392949:RFY393155 RPU392949:RPU393155 RZQ392949:RZQ393155 SJM392949:SJM393155 STI392949:STI393155 TDE392949:TDE393155 TNA392949:TNA393155 TWW392949:TWW393155 UGS392949:UGS393155 UQO392949:UQO393155 VAK392949:VAK393155 VKG392949:VKG393155 VUC392949:VUC393155 WDY392949:WDY393155 WNU392949:WNU393155 WXQ392949:WXQ393155 BK458485:BL458691 LE458485:LE458691 VA458485:VA458691 AEW458485:AEW458691 AOS458485:AOS458691 AYO458485:AYO458691 BIK458485:BIK458691 BSG458485:BSG458691 CCC458485:CCC458691 CLY458485:CLY458691 CVU458485:CVU458691 DFQ458485:DFQ458691 DPM458485:DPM458691 DZI458485:DZI458691 EJE458485:EJE458691 ETA458485:ETA458691 FCW458485:FCW458691 FMS458485:FMS458691 FWO458485:FWO458691 GGK458485:GGK458691 GQG458485:GQG458691 HAC458485:HAC458691 HJY458485:HJY458691 HTU458485:HTU458691 IDQ458485:IDQ458691 INM458485:INM458691 IXI458485:IXI458691 JHE458485:JHE458691 JRA458485:JRA458691 KAW458485:KAW458691 KKS458485:KKS458691 KUO458485:KUO458691 LEK458485:LEK458691 LOG458485:LOG458691 LYC458485:LYC458691 MHY458485:MHY458691 MRU458485:MRU458691 NBQ458485:NBQ458691 NLM458485:NLM458691 NVI458485:NVI458691 OFE458485:OFE458691 OPA458485:OPA458691 OYW458485:OYW458691 PIS458485:PIS458691 PSO458485:PSO458691 QCK458485:QCK458691 QMG458485:QMG458691 QWC458485:QWC458691 RFY458485:RFY458691 RPU458485:RPU458691 RZQ458485:RZQ458691 SJM458485:SJM458691 STI458485:STI458691 TDE458485:TDE458691 TNA458485:TNA458691 TWW458485:TWW458691 UGS458485:UGS458691 UQO458485:UQO458691 VAK458485:VAK458691 VKG458485:VKG458691 VUC458485:VUC458691 WDY458485:WDY458691 WNU458485:WNU458691 WXQ458485:WXQ458691 BK524021:BL524227 LE524021:LE524227 VA524021:VA524227 AEW524021:AEW524227 AOS524021:AOS524227 AYO524021:AYO524227 BIK524021:BIK524227 BSG524021:BSG524227 CCC524021:CCC524227 CLY524021:CLY524227 CVU524021:CVU524227 DFQ524021:DFQ524227 DPM524021:DPM524227 DZI524021:DZI524227 EJE524021:EJE524227 ETA524021:ETA524227 FCW524021:FCW524227 FMS524021:FMS524227 FWO524021:FWO524227 GGK524021:GGK524227 GQG524021:GQG524227 HAC524021:HAC524227 HJY524021:HJY524227 HTU524021:HTU524227 IDQ524021:IDQ524227 INM524021:INM524227 IXI524021:IXI524227 JHE524021:JHE524227 JRA524021:JRA524227 KAW524021:KAW524227 KKS524021:KKS524227 KUO524021:KUO524227 LEK524021:LEK524227 LOG524021:LOG524227 LYC524021:LYC524227 MHY524021:MHY524227 MRU524021:MRU524227 NBQ524021:NBQ524227 NLM524021:NLM524227 NVI524021:NVI524227 OFE524021:OFE524227 OPA524021:OPA524227 OYW524021:OYW524227 PIS524021:PIS524227 PSO524021:PSO524227 QCK524021:QCK524227 QMG524021:QMG524227 QWC524021:QWC524227 RFY524021:RFY524227 RPU524021:RPU524227 RZQ524021:RZQ524227 SJM524021:SJM524227 STI524021:STI524227 TDE524021:TDE524227 TNA524021:TNA524227 TWW524021:TWW524227 UGS524021:UGS524227 UQO524021:UQO524227 VAK524021:VAK524227 VKG524021:VKG524227 VUC524021:VUC524227 WDY524021:WDY524227 WNU524021:WNU524227 WXQ524021:WXQ524227 BK589557:BL589763 LE589557:LE589763 VA589557:VA589763 AEW589557:AEW589763 AOS589557:AOS589763 AYO589557:AYO589763 BIK589557:BIK589763 BSG589557:BSG589763 CCC589557:CCC589763 CLY589557:CLY589763 CVU589557:CVU589763 DFQ589557:DFQ589763 DPM589557:DPM589763 DZI589557:DZI589763 EJE589557:EJE589763 ETA589557:ETA589763 FCW589557:FCW589763 FMS589557:FMS589763 FWO589557:FWO589763 GGK589557:GGK589763 GQG589557:GQG589763 HAC589557:HAC589763 HJY589557:HJY589763 HTU589557:HTU589763 IDQ589557:IDQ589763 INM589557:INM589763 IXI589557:IXI589763 JHE589557:JHE589763 JRA589557:JRA589763 KAW589557:KAW589763 KKS589557:KKS589763 KUO589557:KUO589763 LEK589557:LEK589763 LOG589557:LOG589763 LYC589557:LYC589763 MHY589557:MHY589763 MRU589557:MRU589763 NBQ589557:NBQ589763 NLM589557:NLM589763 NVI589557:NVI589763 OFE589557:OFE589763 OPA589557:OPA589763 OYW589557:OYW589763 PIS589557:PIS589763 PSO589557:PSO589763 QCK589557:QCK589763 QMG589557:QMG589763 QWC589557:QWC589763 RFY589557:RFY589763 RPU589557:RPU589763 RZQ589557:RZQ589763 SJM589557:SJM589763 STI589557:STI589763 TDE589557:TDE589763 TNA589557:TNA589763 TWW589557:TWW589763 UGS589557:UGS589763 UQO589557:UQO589763 VAK589557:VAK589763 VKG589557:VKG589763 VUC589557:VUC589763 WDY589557:WDY589763 WNU589557:WNU589763 WXQ589557:WXQ589763 BK655093:BL655299 LE655093:LE655299 VA655093:VA655299 AEW655093:AEW655299 AOS655093:AOS655299 AYO655093:AYO655299 BIK655093:BIK655299 BSG655093:BSG655299 CCC655093:CCC655299 CLY655093:CLY655299 CVU655093:CVU655299 DFQ655093:DFQ655299 DPM655093:DPM655299 DZI655093:DZI655299 EJE655093:EJE655299 ETA655093:ETA655299 FCW655093:FCW655299 FMS655093:FMS655299 FWO655093:FWO655299 GGK655093:GGK655299 GQG655093:GQG655299 HAC655093:HAC655299 HJY655093:HJY655299 HTU655093:HTU655299 IDQ655093:IDQ655299 INM655093:INM655299 IXI655093:IXI655299 JHE655093:JHE655299 JRA655093:JRA655299 KAW655093:KAW655299 KKS655093:KKS655299 KUO655093:KUO655299 LEK655093:LEK655299 LOG655093:LOG655299 LYC655093:LYC655299 MHY655093:MHY655299 MRU655093:MRU655299 NBQ655093:NBQ655299 NLM655093:NLM655299 NVI655093:NVI655299 OFE655093:OFE655299 OPA655093:OPA655299 OYW655093:OYW655299 PIS655093:PIS655299 PSO655093:PSO655299 QCK655093:QCK655299 QMG655093:QMG655299 QWC655093:QWC655299 RFY655093:RFY655299 RPU655093:RPU655299 RZQ655093:RZQ655299 SJM655093:SJM655299 STI655093:STI655299 TDE655093:TDE655299 TNA655093:TNA655299 TWW655093:TWW655299 UGS655093:UGS655299 UQO655093:UQO655299 VAK655093:VAK655299 VKG655093:VKG655299 VUC655093:VUC655299 WDY655093:WDY655299 WNU655093:WNU655299 WXQ655093:WXQ655299 BK720629:BL720835 LE720629:LE720835 VA720629:VA720835 AEW720629:AEW720835 AOS720629:AOS720835 AYO720629:AYO720835 BIK720629:BIK720835 BSG720629:BSG720835 CCC720629:CCC720835 CLY720629:CLY720835 CVU720629:CVU720835 DFQ720629:DFQ720835 DPM720629:DPM720835 DZI720629:DZI720835 EJE720629:EJE720835 ETA720629:ETA720835 FCW720629:FCW720835 FMS720629:FMS720835 FWO720629:FWO720835 GGK720629:GGK720835 GQG720629:GQG720835 HAC720629:HAC720835 HJY720629:HJY720835 HTU720629:HTU720835 IDQ720629:IDQ720835 INM720629:INM720835 IXI720629:IXI720835 JHE720629:JHE720835 JRA720629:JRA720835 KAW720629:KAW720835 KKS720629:KKS720835 KUO720629:KUO720835 LEK720629:LEK720835 LOG720629:LOG720835 LYC720629:LYC720835 MHY720629:MHY720835 MRU720629:MRU720835 NBQ720629:NBQ720835 NLM720629:NLM720835 NVI720629:NVI720835 OFE720629:OFE720835 OPA720629:OPA720835 OYW720629:OYW720835 PIS720629:PIS720835 PSO720629:PSO720835 QCK720629:QCK720835 QMG720629:QMG720835 QWC720629:QWC720835 RFY720629:RFY720835 RPU720629:RPU720835 RZQ720629:RZQ720835 SJM720629:SJM720835 STI720629:STI720835 TDE720629:TDE720835 TNA720629:TNA720835 TWW720629:TWW720835 UGS720629:UGS720835 UQO720629:UQO720835 VAK720629:VAK720835 VKG720629:VKG720835 VUC720629:VUC720835 WDY720629:WDY720835 WNU720629:WNU720835 WXQ720629:WXQ720835 BK786165:BL786371 LE786165:LE786371 VA786165:VA786371 AEW786165:AEW786371 AOS786165:AOS786371 AYO786165:AYO786371 BIK786165:BIK786371 BSG786165:BSG786371 CCC786165:CCC786371 CLY786165:CLY786371 CVU786165:CVU786371 DFQ786165:DFQ786371 DPM786165:DPM786371 DZI786165:DZI786371 EJE786165:EJE786371 ETA786165:ETA786371 FCW786165:FCW786371 FMS786165:FMS786371 FWO786165:FWO786371 GGK786165:GGK786371 GQG786165:GQG786371 HAC786165:HAC786371 HJY786165:HJY786371 HTU786165:HTU786371 IDQ786165:IDQ786371 INM786165:INM786371 IXI786165:IXI786371 JHE786165:JHE786371 JRA786165:JRA786371 KAW786165:KAW786371 KKS786165:KKS786371 KUO786165:KUO786371 LEK786165:LEK786371 LOG786165:LOG786371 LYC786165:LYC786371 MHY786165:MHY786371 MRU786165:MRU786371 NBQ786165:NBQ786371 NLM786165:NLM786371 NVI786165:NVI786371 OFE786165:OFE786371 OPA786165:OPA786371 OYW786165:OYW786371 PIS786165:PIS786371 PSO786165:PSO786371 QCK786165:QCK786371 QMG786165:QMG786371 QWC786165:QWC786371 RFY786165:RFY786371 RPU786165:RPU786371 RZQ786165:RZQ786371 SJM786165:SJM786371 STI786165:STI786371 TDE786165:TDE786371 TNA786165:TNA786371 TWW786165:TWW786371 UGS786165:UGS786371 UQO786165:UQO786371 VAK786165:VAK786371 VKG786165:VKG786371 VUC786165:VUC786371 WDY786165:WDY786371 WNU786165:WNU786371 WXQ786165:WXQ786371 BK851701:BL851907 LE851701:LE851907 VA851701:VA851907 AEW851701:AEW851907 AOS851701:AOS851907 AYO851701:AYO851907 BIK851701:BIK851907 BSG851701:BSG851907 CCC851701:CCC851907 CLY851701:CLY851907 CVU851701:CVU851907 DFQ851701:DFQ851907 DPM851701:DPM851907 DZI851701:DZI851907 EJE851701:EJE851907 ETA851701:ETA851907 FCW851701:FCW851907 FMS851701:FMS851907 FWO851701:FWO851907 GGK851701:GGK851907 GQG851701:GQG851907 HAC851701:HAC851907 HJY851701:HJY851907 HTU851701:HTU851907 IDQ851701:IDQ851907 INM851701:INM851907 IXI851701:IXI851907 JHE851701:JHE851907 JRA851701:JRA851907 KAW851701:KAW851907 KKS851701:KKS851907 KUO851701:KUO851907 LEK851701:LEK851907 LOG851701:LOG851907 LYC851701:LYC851907 MHY851701:MHY851907 MRU851701:MRU851907 NBQ851701:NBQ851907 NLM851701:NLM851907 NVI851701:NVI851907 OFE851701:OFE851907 OPA851701:OPA851907 OYW851701:OYW851907 PIS851701:PIS851907 PSO851701:PSO851907 QCK851701:QCK851907 QMG851701:QMG851907 QWC851701:QWC851907 RFY851701:RFY851907 RPU851701:RPU851907 RZQ851701:RZQ851907 SJM851701:SJM851907 STI851701:STI851907 TDE851701:TDE851907 TNA851701:TNA851907 TWW851701:TWW851907 UGS851701:UGS851907 UQO851701:UQO851907 VAK851701:VAK851907 VKG851701:VKG851907 VUC851701:VUC851907 WDY851701:WDY851907 WNU851701:WNU851907 WXQ851701:WXQ851907 BK917237:BL917443 LE917237:LE917443 VA917237:VA917443 AEW917237:AEW917443 AOS917237:AOS917443 AYO917237:AYO917443 BIK917237:BIK917443 BSG917237:BSG917443 CCC917237:CCC917443 CLY917237:CLY917443 CVU917237:CVU917443 DFQ917237:DFQ917443 DPM917237:DPM917443 DZI917237:DZI917443 EJE917237:EJE917443 ETA917237:ETA917443 FCW917237:FCW917443 FMS917237:FMS917443 FWO917237:FWO917443 GGK917237:GGK917443 GQG917237:GQG917443 HAC917237:HAC917443 HJY917237:HJY917443 HTU917237:HTU917443 IDQ917237:IDQ917443 INM917237:INM917443 IXI917237:IXI917443 JHE917237:JHE917443 JRA917237:JRA917443 KAW917237:KAW917443 KKS917237:KKS917443 KUO917237:KUO917443 LEK917237:LEK917443 LOG917237:LOG917443 LYC917237:LYC917443 MHY917237:MHY917443 MRU917237:MRU917443 NBQ917237:NBQ917443 NLM917237:NLM917443 NVI917237:NVI917443 OFE917237:OFE917443 OPA917237:OPA917443 OYW917237:OYW917443 PIS917237:PIS917443 PSO917237:PSO917443 QCK917237:QCK917443 QMG917237:QMG917443 QWC917237:QWC917443 RFY917237:RFY917443 RPU917237:RPU917443 RZQ917237:RZQ917443 SJM917237:SJM917443 STI917237:STI917443 TDE917237:TDE917443 TNA917237:TNA917443 TWW917237:TWW917443 UGS917237:UGS917443 UQO917237:UQO917443 VAK917237:VAK917443 VKG917237:VKG917443 VUC917237:VUC917443 WDY917237:WDY917443 WNU917237:WNU917443 WXQ917237:WXQ917443 BK982773:BL982979 LE982773:LE982979 VA982773:VA982979 AEW982773:AEW982979 AOS982773:AOS982979 AYO982773:AYO982979 BIK982773:BIK982979 BSG982773:BSG982979 CCC982773:CCC982979 CLY982773:CLY982979 CVU982773:CVU982979 DFQ982773:DFQ982979 DPM982773:DPM982979 DZI982773:DZI982979 EJE982773:EJE982979 ETA982773:ETA982979 FCW982773:FCW982979 FMS982773:FMS982979 FWO982773:FWO982979 GGK982773:GGK982979 GQG982773:GQG982979 HAC982773:HAC982979 HJY982773:HJY982979 HTU982773:HTU982979 IDQ982773:IDQ982979 INM982773:INM982979 IXI982773:IXI982979 JHE982773:JHE982979 JRA982773:JRA982979 KAW982773:KAW982979 KKS982773:KKS982979 KUO982773:KUO982979 LEK982773:LEK982979 LOG982773:LOG982979 LYC982773:LYC982979 MHY982773:MHY982979 MRU982773:MRU982979 NBQ982773:NBQ982979 NLM982773:NLM982979 NVI982773:NVI982979 OFE982773:OFE982979 OPA982773:OPA982979 OYW982773:OYW982979 PIS982773:PIS982979 PSO982773:PSO982979 QCK982773:QCK982979 QMG982773:QMG982979 QWC982773:QWC982979 RFY982773:RFY982979 RPU982773:RPU982979 RZQ982773:RZQ982979 SJM982773:SJM982979 STI982773:STI982979 TDE982773:TDE982979 TNA982773:TNA982979 TWW982773:TWW982979 UGS982773:UGS982979 UQO982773:UQO982979 VAK982773:VAK982979 VKG982773:VKG982979 VUC982773:VUC982979 WDY982773:WDY982979 WNU982773:WNU982979 WXQ982773:WXQ982979 BP65269:BP65475 LH65269:LH65475 VD65269:VD65475 AEZ65269:AEZ65475 AOV65269:AOV65475 AYR65269:AYR65475 BIN65269:BIN65475 BSJ65269:BSJ65475 CCF65269:CCF65475 CMB65269:CMB65475 CVX65269:CVX65475 DFT65269:DFT65475 DPP65269:DPP65475 DZL65269:DZL65475 EJH65269:EJH65475 ETD65269:ETD65475 FCZ65269:FCZ65475 FMV65269:FMV65475 FWR65269:FWR65475 GGN65269:GGN65475 GQJ65269:GQJ65475 HAF65269:HAF65475 HKB65269:HKB65475 HTX65269:HTX65475 IDT65269:IDT65475 INP65269:INP65475 IXL65269:IXL65475 JHH65269:JHH65475 JRD65269:JRD65475 KAZ65269:KAZ65475 KKV65269:KKV65475 KUR65269:KUR65475 LEN65269:LEN65475 LOJ65269:LOJ65475 LYF65269:LYF65475 MIB65269:MIB65475 MRX65269:MRX65475 NBT65269:NBT65475 NLP65269:NLP65475 NVL65269:NVL65475 OFH65269:OFH65475 OPD65269:OPD65475 OYZ65269:OYZ65475 PIV65269:PIV65475 PSR65269:PSR65475 QCN65269:QCN65475 QMJ65269:QMJ65475 QWF65269:QWF65475 RGB65269:RGB65475 RPX65269:RPX65475 RZT65269:RZT65475 SJP65269:SJP65475 STL65269:STL65475 TDH65269:TDH65475 TND65269:TND65475 TWZ65269:TWZ65475 UGV65269:UGV65475 UQR65269:UQR65475 VAN65269:VAN65475 VKJ65269:VKJ65475 VUF65269:VUF65475 WEB65269:WEB65475 WNX65269:WNX65475 WXT65269:WXT65475 BP130805:BP131011 LH130805:LH131011 VD130805:VD131011 AEZ130805:AEZ131011 AOV130805:AOV131011 AYR130805:AYR131011 BIN130805:BIN131011 BSJ130805:BSJ131011 CCF130805:CCF131011 CMB130805:CMB131011 CVX130805:CVX131011 DFT130805:DFT131011 DPP130805:DPP131011 DZL130805:DZL131011 EJH130805:EJH131011 ETD130805:ETD131011 FCZ130805:FCZ131011 FMV130805:FMV131011 FWR130805:FWR131011 GGN130805:GGN131011 GQJ130805:GQJ131011 HAF130805:HAF131011 HKB130805:HKB131011 HTX130805:HTX131011 IDT130805:IDT131011 INP130805:INP131011 IXL130805:IXL131011 JHH130805:JHH131011 JRD130805:JRD131011 KAZ130805:KAZ131011 KKV130805:KKV131011 KUR130805:KUR131011 LEN130805:LEN131011 LOJ130805:LOJ131011 LYF130805:LYF131011 MIB130805:MIB131011 MRX130805:MRX131011 NBT130805:NBT131011 NLP130805:NLP131011 NVL130805:NVL131011 OFH130805:OFH131011 OPD130805:OPD131011 OYZ130805:OYZ131011 PIV130805:PIV131011 PSR130805:PSR131011 QCN130805:QCN131011 QMJ130805:QMJ131011 QWF130805:QWF131011 RGB130805:RGB131011 RPX130805:RPX131011 RZT130805:RZT131011 SJP130805:SJP131011 STL130805:STL131011 TDH130805:TDH131011 TND130805:TND131011 TWZ130805:TWZ131011 UGV130805:UGV131011 UQR130805:UQR131011 VAN130805:VAN131011 VKJ130805:VKJ131011 VUF130805:VUF131011 WEB130805:WEB131011 WNX130805:WNX131011 WXT130805:WXT131011 BP196341:BP196547 LH196341:LH196547 VD196341:VD196547 AEZ196341:AEZ196547 AOV196341:AOV196547 AYR196341:AYR196547 BIN196341:BIN196547 BSJ196341:BSJ196547 CCF196341:CCF196547 CMB196341:CMB196547 CVX196341:CVX196547 DFT196341:DFT196547 DPP196341:DPP196547 DZL196341:DZL196547 EJH196341:EJH196547 ETD196341:ETD196547 FCZ196341:FCZ196547 FMV196341:FMV196547 FWR196341:FWR196547 GGN196341:GGN196547 GQJ196341:GQJ196547 HAF196341:HAF196547 HKB196341:HKB196547 HTX196341:HTX196547 IDT196341:IDT196547 INP196341:INP196547 IXL196341:IXL196547 JHH196341:JHH196547 JRD196341:JRD196547 KAZ196341:KAZ196547 KKV196341:KKV196547 KUR196341:KUR196547 LEN196341:LEN196547 LOJ196341:LOJ196547 LYF196341:LYF196547 MIB196341:MIB196547 MRX196341:MRX196547 NBT196341:NBT196547 NLP196341:NLP196547 NVL196341:NVL196547 OFH196341:OFH196547 OPD196341:OPD196547 OYZ196341:OYZ196547 PIV196341:PIV196547 PSR196341:PSR196547 QCN196341:QCN196547 QMJ196341:QMJ196547 QWF196341:QWF196547 RGB196341:RGB196547 RPX196341:RPX196547 RZT196341:RZT196547 SJP196341:SJP196547 STL196341:STL196547 TDH196341:TDH196547 TND196341:TND196547 TWZ196341:TWZ196547 UGV196341:UGV196547 UQR196341:UQR196547 VAN196341:VAN196547 VKJ196341:VKJ196547 VUF196341:VUF196547 WEB196341:WEB196547 WNX196341:WNX196547 WXT196341:WXT196547 BP261877:BP262083 LH261877:LH262083 VD261877:VD262083 AEZ261877:AEZ262083 AOV261877:AOV262083 AYR261877:AYR262083 BIN261877:BIN262083 BSJ261877:BSJ262083 CCF261877:CCF262083 CMB261877:CMB262083 CVX261877:CVX262083 DFT261877:DFT262083 DPP261877:DPP262083 DZL261877:DZL262083 EJH261877:EJH262083 ETD261877:ETD262083 FCZ261877:FCZ262083 FMV261877:FMV262083 FWR261877:FWR262083 GGN261877:GGN262083 GQJ261877:GQJ262083 HAF261877:HAF262083 HKB261877:HKB262083 HTX261877:HTX262083 IDT261877:IDT262083 INP261877:INP262083 IXL261877:IXL262083 JHH261877:JHH262083 JRD261877:JRD262083 KAZ261877:KAZ262083 KKV261877:KKV262083 KUR261877:KUR262083 LEN261877:LEN262083 LOJ261877:LOJ262083 LYF261877:LYF262083 MIB261877:MIB262083 MRX261877:MRX262083 NBT261877:NBT262083 NLP261877:NLP262083 NVL261877:NVL262083 OFH261877:OFH262083 OPD261877:OPD262083 OYZ261877:OYZ262083 PIV261877:PIV262083 PSR261877:PSR262083 QCN261877:QCN262083 QMJ261877:QMJ262083 QWF261877:QWF262083 RGB261877:RGB262083 RPX261877:RPX262083 RZT261877:RZT262083 SJP261877:SJP262083 STL261877:STL262083 TDH261877:TDH262083 TND261877:TND262083 TWZ261877:TWZ262083 UGV261877:UGV262083 UQR261877:UQR262083 VAN261877:VAN262083 VKJ261877:VKJ262083 VUF261877:VUF262083 WEB261877:WEB262083 WNX261877:WNX262083 WXT261877:WXT262083 BP327413:BP327619 LH327413:LH327619 VD327413:VD327619 AEZ327413:AEZ327619 AOV327413:AOV327619 AYR327413:AYR327619 BIN327413:BIN327619 BSJ327413:BSJ327619 CCF327413:CCF327619 CMB327413:CMB327619 CVX327413:CVX327619 DFT327413:DFT327619 DPP327413:DPP327619 DZL327413:DZL327619 EJH327413:EJH327619 ETD327413:ETD327619 FCZ327413:FCZ327619 FMV327413:FMV327619 FWR327413:FWR327619 GGN327413:GGN327619 GQJ327413:GQJ327619 HAF327413:HAF327619 HKB327413:HKB327619 HTX327413:HTX327619 IDT327413:IDT327619 INP327413:INP327619 IXL327413:IXL327619 JHH327413:JHH327619 JRD327413:JRD327619 KAZ327413:KAZ327619 KKV327413:KKV327619 KUR327413:KUR327619 LEN327413:LEN327619 LOJ327413:LOJ327619 LYF327413:LYF327619 MIB327413:MIB327619 MRX327413:MRX327619 NBT327413:NBT327619 NLP327413:NLP327619 NVL327413:NVL327619 OFH327413:OFH327619 OPD327413:OPD327619 OYZ327413:OYZ327619 PIV327413:PIV327619 PSR327413:PSR327619 QCN327413:QCN327619 QMJ327413:QMJ327619 QWF327413:QWF327619 RGB327413:RGB327619 RPX327413:RPX327619 RZT327413:RZT327619 SJP327413:SJP327619 STL327413:STL327619 TDH327413:TDH327619 TND327413:TND327619 TWZ327413:TWZ327619 UGV327413:UGV327619 UQR327413:UQR327619 VAN327413:VAN327619 VKJ327413:VKJ327619 VUF327413:VUF327619 WEB327413:WEB327619 WNX327413:WNX327619 WXT327413:WXT327619 BP392949:BP393155 LH392949:LH393155 VD392949:VD393155 AEZ392949:AEZ393155 AOV392949:AOV393155 AYR392949:AYR393155 BIN392949:BIN393155 BSJ392949:BSJ393155 CCF392949:CCF393155 CMB392949:CMB393155 CVX392949:CVX393155 DFT392949:DFT393155 DPP392949:DPP393155 DZL392949:DZL393155 EJH392949:EJH393155 ETD392949:ETD393155 FCZ392949:FCZ393155 FMV392949:FMV393155 FWR392949:FWR393155 GGN392949:GGN393155 GQJ392949:GQJ393155 HAF392949:HAF393155 HKB392949:HKB393155 HTX392949:HTX393155 IDT392949:IDT393155 INP392949:INP393155 IXL392949:IXL393155 JHH392949:JHH393155 JRD392949:JRD393155 KAZ392949:KAZ393155 KKV392949:KKV393155 KUR392949:KUR393155 LEN392949:LEN393155 LOJ392949:LOJ393155 LYF392949:LYF393155 MIB392949:MIB393155 MRX392949:MRX393155 NBT392949:NBT393155 NLP392949:NLP393155 NVL392949:NVL393155 OFH392949:OFH393155 OPD392949:OPD393155 OYZ392949:OYZ393155 PIV392949:PIV393155 PSR392949:PSR393155 QCN392949:QCN393155 QMJ392949:QMJ393155 QWF392949:QWF393155 RGB392949:RGB393155 RPX392949:RPX393155 RZT392949:RZT393155 SJP392949:SJP393155 STL392949:STL393155 TDH392949:TDH393155 TND392949:TND393155 TWZ392949:TWZ393155 UGV392949:UGV393155 UQR392949:UQR393155 VAN392949:VAN393155 VKJ392949:VKJ393155 VUF392949:VUF393155 WEB392949:WEB393155 WNX392949:WNX393155 WXT392949:WXT393155 BP458485:BP458691 LH458485:LH458691 VD458485:VD458691 AEZ458485:AEZ458691 AOV458485:AOV458691 AYR458485:AYR458691 BIN458485:BIN458691 BSJ458485:BSJ458691 CCF458485:CCF458691 CMB458485:CMB458691 CVX458485:CVX458691 DFT458485:DFT458691 DPP458485:DPP458691 DZL458485:DZL458691 EJH458485:EJH458691 ETD458485:ETD458691 FCZ458485:FCZ458691 FMV458485:FMV458691 FWR458485:FWR458691 GGN458485:GGN458691 GQJ458485:GQJ458691 HAF458485:HAF458691 HKB458485:HKB458691 HTX458485:HTX458691 IDT458485:IDT458691 INP458485:INP458691 IXL458485:IXL458691 JHH458485:JHH458691 JRD458485:JRD458691 KAZ458485:KAZ458691 KKV458485:KKV458691 KUR458485:KUR458691 LEN458485:LEN458691 LOJ458485:LOJ458691 LYF458485:LYF458691 MIB458485:MIB458691 MRX458485:MRX458691 NBT458485:NBT458691 NLP458485:NLP458691 NVL458485:NVL458691 OFH458485:OFH458691 OPD458485:OPD458691 OYZ458485:OYZ458691 PIV458485:PIV458691 PSR458485:PSR458691 QCN458485:QCN458691 QMJ458485:QMJ458691 QWF458485:QWF458691 RGB458485:RGB458691 RPX458485:RPX458691 RZT458485:RZT458691 SJP458485:SJP458691 STL458485:STL458691 TDH458485:TDH458691 TND458485:TND458691 TWZ458485:TWZ458691 UGV458485:UGV458691 UQR458485:UQR458691 VAN458485:VAN458691 VKJ458485:VKJ458691 VUF458485:VUF458691 WEB458485:WEB458691 WNX458485:WNX458691 WXT458485:WXT458691 BP524021:BP524227 LH524021:LH524227 VD524021:VD524227 AEZ524021:AEZ524227 AOV524021:AOV524227 AYR524021:AYR524227 BIN524021:BIN524227 BSJ524021:BSJ524227 CCF524021:CCF524227 CMB524021:CMB524227 CVX524021:CVX524227 DFT524021:DFT524227 DPP524021:DPP524227 DZL524021:DZL524227 EJH524021:EJH524227 ETD524021:ETD524227 FCZ524021:FCZ524227 FMV524021:FMV524227 FWR524021:FWR524227 GGN524021:GGN524227 GQJ524021:GQJ524227 HAF524021:HAF524227 HKB524021:HKB524227 HTX524021:HTX524227 IDT524021:IDT524227 INP524021:INP524227 IXL524021:IXL524227 JHH524021:JHH524227 JRD524021:JRD524227 KAZ524021:KAZ524227 KKV524021:KKV524227 KUR524021:KUR524227 LEN524021:LEN524227 LOJ524021:LOJ524227 LYF524021:LYF524227 MIB524021:MIB524227 MRX524021:MRX524227 NBT524021:NBT524227 NLP524021:NLP524227 NVL524021:NVL524227 OFH524021:OFH524227 OPD524021:OPD524227 OYZ524021:OYZ524227 PIV524021:PIV524227 PSR524021:PSR524227 QCN524021:QCN524227 QMJ524021:QMJ524227 QWF524021:QWF524227 RGB524021:RGB524227 RPX524021:RPX524227 RZT524021:RZT524227 SJP524021:SJP524227 STL524021:STL524227 TDH524021:TDH524227 TND524021:TND524227 TWZ524021:TWZ524227 UGV524021:UGV524227 UQR524021:UQR524227 VAN524021:VAN524227 VKJ524021:VKJ524227 VUF524021:VUF524227 WEB524021:WEB524227 WNX524021:WNX524227 WXT524021:WXT524227 BP589557:BP589763 LH589557:LH589763 VD589557:VD589763 AEZ589557:AEZ589763 AOV589557:AOV589763 AYR589557:AYR589763 BIN589557:BIN589763 BSJ589557:BSJ589763 CCF589557:CCF589763 CMB589557:CMB589763 CVX589557:CVX589763 DFT589557:DFT589763 DPP589557:DPP589763 DZL589557:DZL589763 EJH589557:EJH589763 ETD589557:ETD589763 FCZ589557:FCZ589763 FMV589557:FMV589763 FWR589557:FWR589763 GGN589557:GGN589763 GQJ589557:GQJ589763 HAF589557:HAF589763 HKB589557:HKB589763 HTX589557:HTX589763 IDT589557:IDT589763 INP589557:INP589763 IXL589557:IXL589763 JHH589557:JHH589763 JRD589557:JRD589763 KAZ589557:KAZ589763 KKV589557:KKV589763 KUR589557:KUR589763 LEN589557:LEN589763 LOJ589557:LOJ589763 LYF589557:LYF589763 MIB589557:MIB589763 MRX589557:MRX589763 NBT589557:NBT589763 NLP589557:NLP589763 NVL589557:NVL589763 OFH589557:OFH589763 OPD589557:OPD589763 OYZ589557:OYZ589763 PIV589557:PIV589763 PSR589557:PSR589763 QCN589557:QCN589763 QMJ589557:QMJ589763 QWF589557:QWF589763 RGB589557:RGB589763 RPX589557:RPX589763 RZT589557:RZT589763 SJP589557:SJP589763 STL589557:STL589763 TDH589557:TDH589763 TND589557:TND589763 TWZ589557:TWZ589763 UGV589557:UGV589763 UQR589557:UQR589763 VAN589557:VAN589763 VKJ589557:VKJ589763 VUF589557:VUF589763 WEB589557:WEB589763 WNX589557:WNX589763 WXT589557:WXT589763 BP655093:BP655299 LH655093:LH655299 VD655093:VD655299 AEZ655093:AEZ655299 AOV655093:AOV655299 AYR655093:AYR655299 BIN655093:BIN655299 BSJ655093:BSJ655299 CCF655093:CCF655299 CMB655093:CMB655299 CVX655093:CVX655299 DFT655093:DFT655299 DPP655093:DPP655299 DZL655093:DZL655299 EJH655093:EJH655299 ETD655093:ETD655299 FCZ655093:FCZ655299 FMV655093:FMV655299 FWR655093:FWR655299 GGN655093:GGN655299 GQJ655093:GQJ655299 HAF655093:HAF655299 HKB655093:HKB655299 HTX655093:HTX655299 IDT655093:IDT655299 INP655093:INP655299 IXL655093:IXL655299 JHH655093:JHH655299 JRD655093:JRD655299 KAZ655093:KAZ655299 KKV655093:KKV655299 KUR655093:KUR655299 LEN655093:LEN655299 LOJ655093:LOJ655299 LYF655093:LYF655299 MIB655093:MIB655299 MRX655093:MRX655299 NBT655093:NBT655299 NLP655093:NLP655299 NVL655093:NVL655299 OFH655093:OFH655299 OPD655093:OPD655299 OYZ655093:OYZ655299 PIV655093:PIV655299 PSR655093:PSR655299 QCN655093:QCN655299 QMJ655093:QMJ655299 QWF655093:QWF655299 RGB655093:RGB655299 RPX655093:RPX655299 RZT655093:RZT655299 SJP655093:SJP655299 STL655093:STL655299 TDH655093:TDH655299 TND655093:TND655299 TWZ655093:TWZ655299 UGV655093:UGV655299 UQR655093:UQR655299 VAN655093:VAN655299 VKJ655093:VKJ655299 VUF655093:VUF655299 WEB655093:WEB655299 WNX655093:WNX655299 WXT655093:WXT655299 BP720629:BP720835 LH720629:LH720835 VD720629:VD720835 AEZ720629:AEZ720835 AOV720629:AOV720835 AYR720629:AYR720835 BIN720629:BIN720835 BSJ720629:BSJ720835 CCF720629:CCF720835 CMB720629:CMB720835 CVX720629:CVX720835 DFT720629:DFT720835 DPP720629:DPP720835 DZL720629:DZL720835 EJH720629:EJH720835 ETD720629:ETD720835 FCZ720629:FCZ720835 FMV720629:FMV720835 FWR720629:FWR720835 GGN720629:GGN720835 GQJ720629:GQJ720835 HAF720629:HAF720835 HKB720629:HKB720835 HTX720629:HTX720835 IDT720629:IDT720835 INP720629:INP720835 IXL720629:IXL720835 JHH720629:JHH720835 JRD720629:JRD720835 KAZ720629:KAZ720835 KKV720629:KKV720835 KUR720629:KUR720835 LEN720629:LEN720835 LOJ720629:LOJ720835 LYF720629:LYF720835 MIB720629:MIB720835 MRX720629:MRX720835 NBT720629:NBT720835 NLP720629:NLP720835 NVL720629:NVL720835 OFH720629:OFH720835 OPD720629:OPD720835 OYZ720629:OYZ720835 PIV720629:PIV720835 PSR720629:PSR720835 QCN720629:QCN720835 QMJ720629:QMJ720835 QWF720629:QWF720835 RGB720629:RGB720835 RPX720629:RPX720835 RZT720629:RZT720835 SJP720629:SJP720835 STL720629:STL720835 TDH720629:TDH720835 TND720629:TND720835 TWZ720629:TWZ720835 UGV720629:UGV720835 UQR720629:UQR720835 VAN720629:VAN720835 VKJ720629:VKJ720835 VUF720629:VUF720835 WEB720629:WEB720835 WNX720629:WNX720835 WXT720629:WXT720835 BP786165:BP786371 LH786165:LH786371 VD786165:VD786371 AEZ786165:AEZ786371 AOV786165:AOV786371 AYR786165:AYR786371 BIN786165:BIN786371 BSJ786165:BSJ786371 CCF786165:CCF786371 CMB786165:CMB786371 CVX786165:CVX786371 DFT786165:DFT786371 DPP786165:DPP786371 DZL786165:DZL786371 EJH786165:EJH786371 ETD786165:ETD786371 FCZ786165:FCZ786371 FMV786165:FMV786371 FWR786165:FWR786371 GGN786165:GGN786371 GQJ786165:GQJ786371 HAF786165:HAF786371 HKB786165:HKB786371 HTX786165:HTX786371 IDT786165:IDT786371 INP786165:INP786371 IXL786165:IXL786371 JHH786165:JHH786371 JRD786165:JRD786371 KAZ786165:KAZ786371 KKV786165:KKV786371 KUR786165:KUR786371 LEN786165:LEN786371 LOJ786165:LOJ786371 LYF786165:LYF786371 MIB786165:MIB786371 MRX786165:MRX786371 NBT786165:NBT786371 NLP786165:NLP786371 NVL786165:NVL786371 OFH786165:OFH786371 OPD786165:OPD786371 OYZ786165:OYZ786371 PIV786165:PIV786371 PSR786165:PSR786371 QCN786165:QCN786371 QMJ786165:QMJ786371 QWF786165:QWF786371 RGB786165:RGB786371 RPX786165:RPX786371 RZT786165:RZT786371 SJP786165:SJP786371 STL786165:STL786371 TDH786165:TDH786371 TND786165:TND786371 TWZ786165:TWZ786371 UGV786165:UGV786371 UQR786165:UQR786371 VAN786165:VAN786371 VKJ786165:VKJ786371 VUF786165:VUF786371 WEB786165:WEB786371 WNX786165:WNX786371 WXT786165:WXT786371 BP851701:BP851907 LH851701:LH851907 VD851701:VD851907 AEZ851701:AEZ851907 AOV851701:AOV851907 AYR851701:AYR851907 BIN851701:BIN851907 BSJ851701:BSJ851907 CCF851701:CCF851907 CMB851701:CMB851907 CVX851701:CVX851907 DFT851701:DFT851907 DPP851701:DPP851907 DZL851701:DZL851907 EJH851701:EJH851907 ETD851701:ETD851907 FCZ851701:FCZ851907 FMV851701:FMV851907 FWR851701:FWR851907 GGN851701:GGN851907 GQJ851701:GQJ851907 HAF851701:HAF851907 HKB851701:HKB851907 HTX851701:HTX851907 IDT851701:IDT851907 INP851701:INP851907 IXL851701:IXL851907 JHH851701:JHH851907 JRD851701:JRD851907 KAZ851701:KAZ851907 KKV851701:KKV851907 KUR851701:KUR851907 LEN851701:LEN851907 LOJ851701:LOJ851907 LYF851701:LYF851907 MIB851701:MIB851907 MRX851701:MRX851907 NBT851701:NBT851907 NLP851701:NLP851907 NVL851701:NVL851907 OFH851701:OFH851907 OPD851701:OPD851907 OYZ851701:OYZ851907 PIV851701:PIV851907 PSR851701:PSR851907 QCN851701:QCN851907 QMJ851701:QMJ851907 QWF851701:QWF851907 RGB851701:RGB851907 RPX851701:RPX851907 RZT851701:RZT851907 SJP851701:SJP851907 STL851701:STL851907 TDH851701:TDH851907 TND851701:TND851907 TWZ851701:TWZ851907 UGV851701:UGV851907 UQR851701:UQR851907 VAN851701:VAN851907 VKJ851701:VKJ851907 VUF851701:VUF851907 WEB851701:WEB851907 WNX851701:WNX851907 WXT851701:WXT851907 BP917237:BP917443 LH917237:LH917443 VD917237:VD917443 AEZ917237:AEZ917443 AOV917237:AOV917443 AYR917237:AYR917443 BIN917237:BIN917443 BSJ917237:BSJ917443 CCF917237:CCF917443 CMB917237:CMB917443 CVX917237:CVX917443 DFT917237:DFT917443 DPP917237:DPP917443 DZL917237:DZL917443 EJH917237:EJH917443 ETD917237:ETD917443 FCZ917237:FCZ917443 FMV917237:FMV917443 FWR917237:FWR917443 GGN917237:GGN917443 GQJ917237:GQJ917443 HAF917237:HAF917443 HKB917237:HKB917443 HTX917237:HTX917443 IDT917237:IDT917443 INP917237:INP917443 IXL917237:IXL917443 JHH917237:JHH917443 JRD917237:JRD917443 KAZ917237:KAZ917443 KKV917237:KKV917443 KUR917237:KUR917443 LEN917237:LEN917443 LOJ917237:LOJ917443 LYF917237:LYF917443 MIB917237:MIB917443 MRX917237:MRX917443 NBT917237:NBT917443 NLP917237:NLP917443 NVL917237:NVL917443 OFH917237:OFH917443 OPD917237:OPD917443 OYZ917237:OYZ917443 PIV917237:PIV917443 PSR917237:PSR917443 QCN917237:QCN917443 QMJ917237:QMJ917443 QWF917237:QWF917443 RGB917237:RGB917443 RPX917237:RPX917443 RZT917237:RZT917443 SJP917237:SJP917443 STL917237:STL917443 TDH917237:TDH917443 TND917237:TND917443 TWZ917237:TWZ917443 UGV917237:UGV917443 UQR917237:UQR917443 VAN917237:VAN917443 VKJ917237:VKJ917443 VUF917237:VUF917443 WEB917237:WEB917443 WNX917237:WNX917443 WXT917237:WXT917443 BP982773:BP982979 LH982773:LH982979 VD982773:VD982979 AEZ982773:AEZ982979 AOV982773:AOV982979 AYR982773:AYR982979 BIN982773:BIN982979 BSJ982773:BSJ982979 CCF982773:CCF982979 CMB982773:CMB982979 CVX982773:CVX982979 DFT982773:DFT982979 DPP982773:DPP982979 DZL982773:DZL982979 EJH982773:EJH982979 ETD982773:ETD982979 FCZ982773:FCZ982979 FMV982773:FMV982979 FWR982773:FWR982979 GGN982773:GGN982979 GQJ982773:GQJ982979 HAF982773:HAF982979 HKB982773:HKB982979 HTX982773:HTX982979 IDT982773:IDT982979 INP982773:INP982979 IXL982773:IXL982979 JHH982773:JHH982979 JRD982773:JRD982979 KAZ982773:KAZ982979 KKV982773:KKV982979 KUR982773:KUR982979 LEN982773:LEN982979 LOJ982773:LOJ982979 LYF982773:LYF982979 MIB982773:MIB982979 MRX982773:MRX982979 NBT982773:NBT982979 NLP982773:NLP982979 NVL982773:NVL982979 OFH982773:OFH982979 OPD982773:OPD982979 OYZ982773:OYZ982979 PIV982773:PIV982979 PSR982773:PSR982979 QCN982773:QCN982979 QMJ982773:QMJ982979 QWF982773:QWF982979 RGB982773:RGB982979 RPX982773:RPX982979 RZT982773:RZT982979 SJP982773:SJP982979 STL982773:STL982979 TDH982773:TDH982979 TND982773:TND982979 TWZ982773:TWZ982979 UGV982773:UGV982979 UQR982773:UQR982979 VAN982773:VAN982979 VKJ982773:VKJ982979 VUF982773:VUF982979 WEB982773:WEB982979 WNX982773:WNX982979 WXT982773:WXT982979 BC65269:BD65475 AO65269:AP65475 AE982773:AF982979 AE917237:AF917443 AO982773:AP982979 AE851701:AF851907 AO917237:AP917443 AE786165:AF786371 AO851701:AP851907 AE720629:AF720835 AO786165:AP786371 AE655093:AF655299 AO720629:AP720835 AE589557:AF589763 AO655093:AP655299 AE524021:AF524227 AO589557:AP589763 AE458485:AF458691 AO524021:AP524227 AE392949:AF393155 AO458485:AP458691 AE327413:AF327619 AO392949:AP393155 AE261877:AF262083 AO327413:AP327619 AE196341:AF196547 AO261877:AP262083 AE130805:AF131011 AO196341:AP196547 AO130805:AP131011 BC982773:BD982979 BC917237:BD917443 BC851701:BD851907 BC786165:BD786371 BC720629:BD720835 BC655093:BD655299 BC589557:BD589763 BC524021:BD524227 BC458485:BD458691 BC392949:BD393155 BC327413:BD327619 BC261877:BD262083 BC196341:BD196547 BC130805:BD131011 AE65269:AF65475 AXW5:AXW11 BHS5:BHS11 BRO5:BRO11 CBK5:CBK11 CLG5:CLG11 CVC5:CVC11 DEY5:DEY11 DOU5:DOU11 DYQ5:DYQ11 EIM5:EIM11 ESI5:ESI11 FCE5:FCE11 FMA5:FMA11 FVW5:FVW11 GFS5:GFS11 GPO5:GPO11 GZK5:GZK11 HJG5:HJG11 HTC5:HTC11 ICY5:ICY11 IMU5:IMU11 IWQ5:IWQ11 JGM5:JGM11 JQI5:JQI11 KAE5:KAE11 KKA5:KKA11 KTW5:KTW11 LDS5:LDS11 LNO5:LNO11 LXK5:LXK11 MHG5:MHG11 MRC5:MRC11 NAY5:NAY11 NKU5:NKU11 NUQ5:NUQ11 OEM5:OEM11 OOI5:OOI11 OYE5:OYE11 PIA5:PIA11 PRW5:PRW11 QBS5:QBS11 QLO5:QLO11 QVK5:QVK11 RFG5:RFG11 RPC5:RPC11 RYY5:RYY11 SIU5:SIU11 SSQ5:SSQ11 TCM5:TCM11 TMI5:TMI11 TWE5:TWE11 UGA5:UGA11 UPW5:UPW11 UZS5:UZS11 VJO5:VJO11 VTK5:VTK11 WDG5:WDG11 WNC5:WNC11 WWY5:WWY11 LT5:LT11 VP5:VP11 AFL5:AFL11 APH5:APH11 AZD5:AZD11 BIZ5:BIZ11 BSV5:BSV11 CCR5:CCR11 CMN5:CMN11 CWJ5:CWJ11 DGF5:DGF11 DQB5:DQB11 DZX5:DZX11 EJT5:EJT11 ETP5:ETP11 FDL5:FDL11 FNH5:FNH11 FXD5:FXD11 GGZ5:GGZ11 GQV5:GQV11 HAR5:HAR11 HKN5:HKN11 HUJ5:HUJ11 IEF5:IEF11 IOB5:IOB11 IXX5:IXX11 JHT5:JHT11 JRP5:JRP11 KBL5:KBL11 KLH5:KLH11 KVD5:KVD11 LEZ5:LEZ11 LOV5:LOV11 LYR5:LYR11 MIN5:MIN11 MSJ5:MSJ11 NCF5:NCF11 NMB5:NMB11 NVX5:NVX11 OFT5:OFT11 OPP5:OPP11 OZL5:OZL11 PJH5:PJH11 PTD5:PTD11 QCZ5:QCZ11 QMV5:QMV11 QWR5:QWR11 RGN5:RGN11 RQJ5:RQJ11 SAF5:SAF11 SKB5:SKB11 STX5:STX11 TDT5:TDT11 TNP5:TNP11 TXL5:TXL11 UHH5:UHH11 URD5:URD11 VAZ5:VAZ11 VKV5:VKV11 VUR5:VUR11 WEN5:WEN11 WOJ5:WOJ11 WYF5:WYF11 KZ5:KZ11 UV5:UV11 AER5:AER11 AON5:AON11 AYJ5:AYJ11 BIF5:BIF11 BSB5:BSB11 CBX5:CBX11 CLT5:CLT11 CVP5:CVP11 DFL5:DFL11 DPH5:DPH11 DZD5:DZD11 EIZ5:EIZ11 ESV5:ESV11 FCR5:FCR11 FMN5:FMN11 FWJ5:FWJ11 GGF5:GGF11 GQB5:GQB11 GZX5:GZX11 HJT5:HJT11 HTP5:HTP11 IDL5:IDL11 INH5:INH11 IXD5:IXD11 JGZ5:JGZ11 JQV5:JQV11 KAR5:KAR11 KKN5:KKN11 KUJ5:KUJ11 LEF5:LEF11 LOB5:LOB11 LXX5:LXX11 MHT5:MHT11 MRP5:MRP11 NBL5:NBL11 NLH5:NLH11 NVD5:NVD11 OEZ5:OEZ11 OOV5:OOV11 OYR5:OYR11 PIN5:PIN11 PSJ5:PSJ11 QCF5:QCF11 QMB5:QMB11 QVX5:QVX11 RFT5:RFT11 RPP5:RPP11 RZL5:RZL11 SJH5:SJH11 STD5:STD11 TCZ5:TCZ11 TMV5:TMV11 TWR5:TWR11 UGN5:UGN11 UQJ5:UQJ11 VAF5:VAF11 VKB5:VKB11 VTX5:VTX11 WDT5:WDT11 WNP5:WNP11 WXL5:WXL11 LE5:LE11 VA5:VA11 AEW5:AEW11 AOS5:AOS11 AYO5:AYO11 BIK5:BIK11 BSG5:BSG11 CCC5:CCC11 CLY5:CLY11 CVU5:CVU11 DFQ5:DFQ11 DPM5:DPM11 DZI5:DZI11 EJE5:EJE11 ETA5:ETA11 FCW5:FCW11 FMS5:FMS11 FWO5:FWO11 GGK5:GGK11 GQG5:GQG11 HAC5:HAC11 HJY5:HJY11 HTU5:HTU11 IDQ5:IDQ11 INM5:INM11 IXI5:IXI11 JHE5:JHE11 JRA5:JRA11 KAW5:KAW11 KKS5:KKS11 KUO5:KUO11 LEK5:LEK11 LOG5:LOG11 LYC5:LYC11 MHY5:MHY11 MRU5:MRU11 NBQ5:NBQ11 NLM5:NLM11 NVI5:NVI11 OFE5:OFE11 OPA5:OPA11 OYW5:OYW11 PIS5:PIS11 PSO5:PSO11 QCK5:QCK11 QMG5:QMG11 QWC5:QWC11 RFY5:RFY11 RPU5:RPU11 RZQ5:RZQ11 SJM5:SJM11 STI5:STI11 TDE5:TDE11 TNA5:TNA11 TWW5:TWW11 UGS5:UGS11 UQO5:UQO11 VAK5:VAK11 VKG5:VKG11 VUC5:VUC11 WDY5:WDY11 WNU5:WNU11 WXQ5:WXQ11 LH5:LH11 VD5:VD11 AEZ5:AEZ11 AOV5:AOV11 AYR5:AYR11 BIN5:BIN11 BSJ5:BSJ11 CCF5:CCF11 CMB5:CMB11 CVX5:CVX11 DFT5:DFT11 DPP5:DPP11 DZL5:DZL11 EJH5:EJH11 ETD5:ETD11 FCZ5:FCZ11 FMV5:FMV11 FWR5:FWR11 GGN5:GGN11 GQJ5:GQJ11 HAF5:HAF11 HKB5:HKB11 HTX5:HTX11 IDT5:IDT11 INP5:INP11 IXL5:IXL11 JHH5:JHH11 JRD5:JRD11 KAZ5:KAZ11 KKV5:KKV11 KUR5:KUR11 LEN5:LEN11 LOJ5:LOJ11 LYF5:LYF11 MIB5:MIB11 MRX5:MRX11 NBT5:NBT11 NLP5:NLP11 NVL5:NVL11 OFH5:OFH11 OPD5:OPD11 OYZ5:OYZ11 PIV5:PIV11 PSR5:PSR11 QCN5:QCN11 QMJ5:QMJ11 QWF5:QWF11 RGB5:RGB11 RPX5:RPX11 RZT5:RZT11 SJP5:SJP11 STL5:STL11 TDH5:TDH11 TND5:TND11 TWZ5:TWZ11 UGV5:UGV11 UQR5:UQR11 VAN5:VAN11 VKJ5:VKJ11 VUF5:VUF11 WEB5:WEB11 WNX5:WNX11 UI5:UI11 AEE5:AEE11 KM5:KM11 WXT5:WXT11 AOA5:AOA11 CB5:CB11 BD5:BD180">
      <formula1>0</formula1>
      <formula2>100</formula2>
    </dataValidation>
    <dataValidation type="list" allowBlank="1" showInputMessage="1" showErrorMessage="1" sqref="BG65269:BG65471 LC5:LC11 UY5:UY11 WNL982773:WNL982975 WDP982773:WDP982975 VTT982773:VTT982975 VJX982773:VJX982975 VAB982773:VAB982975 UQF982773:UQF982975 UGJ982773:UGJ982975 TWN982773:TWN982975 TMR982773:TMR982975 TCV982773:TCV982975 SSZ982773:SSZ982975 SJD982773:SJD982975 RZH982773:RZH982975 RPL982773:RPL982975 RFP982773:RFP982975 QVT982773:QVT982975 QLX982773:QLX982975 QCB982773:QCB982975 PSF982773:PSF982975 PIJ982773:PIJ982975 OYN982773:OYN982975 OOR982773:OOR982975 OEV982773:OEV982975 NUZ982773:NUZ982975 NLD982773:NLD982975 NBH982773:NBH982975 MRL982773:MRL982975 MHP982773:MHP982975 LXT982773:LXT982975 LNX982773:LNX982975 LEB982773:LEB982975 KUF982773:KUF982975 KKJ982773:KKJ982975 KAN982773:KAN982975 JQR982773:JQR982975 JGV982773:JGV982975 IWZ982773:IWZ982975 IND982773:IND982975 IDH982773:IDH982975 HTL982773:HTL982975 HJP982773:HJP982975 GZT982773:GZT982975 GPX982773:GPX982975 GGB982773:GGB982975 FWF982773:FWF982975 FMJ982773:FMJ982975 FCN982773:FCN982975 ESR982773:ESR982975 EIV982773:EIV982975 DYZ982773:DYZ982975 DPD982773:DPD982975 DFH982773:DFH982975 CVL982773:CVL982975 CLP982773:CLP982975 CBT982773:CBT982975 BRX982773:BRX982975 BIB982773:BIB982975 AYF982773:AYF982975 AOJ982773:AOJ982975 AEN982773:AEN982975 UR982773:UR982975 KV982773:KV982975 AU982773:AU982975 WXH917237:WXH917439 WNL917237:WNL917439 WDP917237:WDP917439 VTT917237:VTT917439 VJX917237:VJX917439 VAB917237:VAB917439 UQF917237:UQF917439 UGJ917237:UGJ917439 TWN917237:TWN917439 TMR917237:TMR917439 TCV917237:TCV917439 SSZ917237:SSZ917439 SJD917237:SJD917439 RZH917237:RZH917439 RPL917237:RPL917439 RFP917237:RFP917439 QVT917237:QVT917439 QLX917237:QLX917439 QCB917237:QCB917439 PSF917237:PSF917439 PIJ917237:PIJ917439 OYN917237:OYN917439 OOR917237:OOR917439 OEV917237:OEV917439 NUZ917237:NUZ917439 NLD917237:NLD917439 NBH917237:NBH917439 MRL917237:MRL917439 MHP917237:MHP917439 LXT917237:LXT917439 LNX917237:LNX917439 LEB917237:LEB917439 KUF917237:KUF917439 KKJ917237:KKJ917439 KAN917237:KAN917439 JQR917237:JQR917439 JGV917237:JGV917439 IWZ917237:IWZ917439 IND917237:IND917439 IDH917237:IDH917439 HTL917237:HTL917439 HJP917237:HJP917439 GZT917237:GZT917439 GPX917237:GPX917439 GGB917237:GGB917439 FWF917237:FWF917439 FMJ917237:FMJ917439 FCN917237:FCN917439 ESR917237:ESR917439 EIV917237:EIV917439 DYZ917237:DYZ917439 DPD917237:DPD917439 DFH917237:DFH917439 CVL917237:CVL917439 CLP917237:CLP917439 CBT917237:CBT917439 BRX917237:BRX917439 BIB917237:BIB917439 AYF917237:AYF917439 AOJ917237:AOJ917439 AEN917237:AEN917439 UR917237:UR917439 KV917237:KV917439 AU917237:AU917439 WXH851701:WXH851903 WNL851701:WNL851903 WDP851701:WDP851903 VTT851701:VTT851903 VJX851701:VJX851903 VAB851701:VAB851903 UQF851701:UQF851903 UGJ851701:UGJ851903 TWN851701:TWN851903 TMR851701:TMR851903 TCV851701:TCV851903 SSZ851701:SSZ851903 SJD851701:SJD851903 RZH851701:RZH851903 RPL851701:RPL851903 RFP851701:RFP851903 QVT851701:QVT851903 QLX851701:QLX851903 QCB851701:QCB851903 PSF851701:PSF851903 PIJ851701:PIJ851903 OYN851701:OYN851903 OOR851701:OOR851903 OEV851701:OEV851903 NUZ851701:NUZ851903 NLD851701:NLD851903 NBH851701:NBH851903 MRL851701:MRL851903 MHP851701:MHP851903 LXT851701:LXT851903 LNX851701:LNX851903 LEB851701:LEB851903 KUF851701:KUF851903 KKJ851701:KKJ851903 KAN851701:KAN851903 JQR851701:JQR851903 JGV851701:JGV851903 IWZ851701:IWZ851903 IND851701:IND851903 IDH851701:IDH851903 HTL851701:HTL851903 HJP851701:HJP851903 GZT851701:GZT851903 GPX851701:GPX851903 GGB851701:GGB851903 FWF851701:FWF851903 FMJ851701:FMJ851903 FCN851701:FCN851903 ESR851701:ESR851903 EIV851701:EIV851903 DYZ851701:DYZ851903 DPD851701:DPD851903 DFH851701:DFH851903 CVL851701:CVL851903 CLP851701:CLP851903 CBT851701:CBT851903 BRX851701:BRX851903 BIB851701:BIB851903 AYF851701:AYF851903 AOJ851701:AOJ851903 AEN851701:AEN851903 UR851701:UR851903 KV851701:KV851903 AU851701:AU851903 WXH786165:WXH786367 WNL786165:WNL786367 WDP786165:WDP786367 VTT786165:VTT786367 VJX786165:VJX786367 VAB786165:VAB786367 UQF786165:UQF786367 UGJ786165:UGJ786367 TWN786165:TWN786367 TMR786165:TMR786367 TCV786165:TCV786367 SSZ786165:SSZ786367 SJD786165:SJD786367 RZH786165:RZH786367 RPL786165:RPL786367 RFP786165:RFP786367 QVT786165:QVT786367 QLX786165:QLX786367 QCB786165:QCB786367 PSF786165:PSF786367 PIJ786165:PIJ786367 OYN786165:OYN786367 OOR786165:OOR786367 OEV786165:OEV786367 NUZ786165:NUZ786367 NLD786165:NLD786367 NBH786165:NBH786367 MRL786165:MRL786367 MHP786165:MHP786367 LXT786165:LXT786367 LNX786165:LNX786367 LEB786165:LEB786367 KUF786165:KUF786367 KKJ786165:KKJ786367 KAN786165:KAN786367 JQR786165:JQR786367 JGV786165:JGV786367 IWZ786165:IWZ786367 IND786165:IND786367 IDH786165:IDH786367 HTL786165:HTL786367 HJP786165:HJP786367 GZT786165:GZT786367 GPX786165:GPX786367 GGB786165:GGB786367 FWF786165:FWF786367 FMJ786165:FMJ786367 FCN786165:FCN786367 ESR786165:ESR786367 EIV786165:EIV786367 DYZ786165:DYZ786367 DPD786165:DPD786367 DFH786165:DFH786367 CVL786165:CVL786367 CLP786165:CLP786367 CBT786165:CBT786367 BRX786165:BRX786367 BIB786165:BIB786367 AYF786165:AYF786367 AOJ786165:AOJ786367 AEN786165:AEN786367 UR786165:UR786367 KV786165:KV786367 AU786165:AU786367 WXH720629:WXH720831 WNL720629:WNL720831 WDP720629:WDP720831 VTT720629:VTT720831 VJX720629:VJX720831 VAB720629:VAB720831 UQF720629:UQF720831 UGJ720629:UGJ720831 TWN720629:TWN720831 TMR720629:TMR720831 TCV720629:TCV720831 SSZ720629:SSZ720831 SJD720629:SJD720831 RZH720629:RZH720831 RPL720629:RPL720831 RFP720629:RFP720831 QVT720629:QVT720831 QLX720629:QLX720831 QCB720629:QCB720831 PSF720629:PSF720831 PIJ720629:PIJ720831 OYN720629:OYN720831 OOR720629:OOR720831 OEV720629:OEV720831 NUZ720629:NUZ720831 NLD720629:NLD720831 NBH720629:NBH720831 MRL720629:MRL720831 MHP720629:MHP720831 LXT720629:LXT720831 LNX720629:LNX720831 LEB720629:LEB720831 KUF720629:KUF720831 KKJ720629:KKJ720831 KAN720629:KAN720831 JQR720629:JQR720831 JGV720629:JGV720831 IWZ720629:IWZ720831 IND720629:IND720831 IDH720629:IDH720831 HTL720629:HTL720831 HJP720629:HJP720831 GZT720629:GZT720831 GPX720629:GPX720831 GGB720629:GGB720831 FWF720629:FWF720831 FMJ720629:FMJ720831 FCN720629:FCN720831 ESR720629:ESR720831 EIV720629:EIV720831 DYZ720629:DYZ720831 DPD720629:DPD720831 DFH720629:DFH720831 CVL720629:CVL720831 CLP720629:CLP720831 CBT720629:CBT720831 BRX720629:BRX720831 BIB720629:BIB720831 AYF720629:AYF720831 AOJ720629:AOJ720831 AEN720629:AEN720831 UR720629:UR720831 KV720629:KV720831 AU720629:AU720831 WXH655093:WXH655295 WNL655093:WNL655295 WDP655093:WDP655295 VTT655093:VTT655295 VJX655093:VJX655295 VAB655093:VAB655295 UQF655093:UQF655295 UGJ655093:UGJ655295 TWN655093:TWN655295 TMR655093:TMR655295 TCV655093:TCV655295 SSZ655093:SSZ655295 SJD655093:SJD655295 RZH655093:RZH655295 RPL655093:RPL655295 RFP655093:RFP655295 QVT655093:QVT655295 QLX655093:QLX655295 QCB655093:QCB655295 PSF655093:PSF655295 PIJ655093:PIJ655295 OYN655093:OYN655295 OOR655093:OOR655295 OEV655093:OEV655295 NUZ655093:NUZ655295 NLD655093:NLD655295 NBH655093:NBH655295 MRL655093:MRL655295 MHP655093:MHP655295 LXT655093:LXT655295 LNX655093:LNX655295 LEB655093:LEB655295 KUF655093:KUF655295 KKJ655093:KKJ655295 KAN655093:KAN655295 JQR655093:JQR655295 JGV655093:JGV655295 IWZ655093:IWZ655295 IND655093:IND655295 IDH655093:IDH655295 HTL655093:HTL655295 HJP655093:HJP655295 GZT655093:GZT655295 GPX655093:GPX655295 GGB655093:GGB655295 FWF655093:FWF655295 FMJ655093:FMJ655295 FCN655093:FCN655295 ESR655093:ESR655295 EIV655093:EIV655295 DYZ655093:DYZ655295 DPD655093:DPD655295 DFH655093:DFH655295 CVL655093:CVL655295 CLP655093:CLP655295 CBT655093:CBT655295 BRX655093:BRX655295 BIB655093:BIB655295 AYF655093:AYF655295 AOJ655093:AOJ655295 AEN655093:AEN655295 UR655093:UR655295 KV655093:KV655295 AU655093:AU655295 WXH589557:WXH589759 WNL589557:WNL589759 WDP589557:WDP589759 VTT589557:VTT589759 VJX589557:VJX589759 VAB589557:VAB589759 UQF589557:UQF589759 UGJ589557:UGJ589759 TWN589557:TWN589759 TMR589557:TMR589759 TCV589557:TCV589759 SSZ589557:SSZ589759 SJD589557:SJD589759 RZH589557:RZH589759 RPL589557:RPL589759 RFP589557:RFP589759 QVT589557:QVT589759 QLX589557:QLX589759 QCB589557:QCB589759 PSF589557:PSF589759 PIJ589557:PIJ589759 OYN589557:OYN589759 OOR589557:OOR589759 OEV589557:OEV589759 NUZ589557:NUZ589759 NLD589557:NLD589759 NBH589557:NBH589759 MRL589557:MRL589759 MHP589557:MHP589759 LXT589557:LXT589759 LNX589557:LNX589759 LEB589557:LEB589759 KUF589557:KUF589759 KKJ589557:KKJ589759 KAN589557:KAN589759 JQR589557:JQR589759 JGV589557:JGV589759 IWZ589557:IWZ589759 IND589557:IND589759 IDH589557:IDH589759 HTL589557:HTL589759 HJP589557:HJP589759 GZT589557:GZT589759 GPX589557:GPX589759 GGB589557:GGB589759 FWF589557:FWF589759 FMJ589557:FMJ589759 FCN589557:FCN589759 ESR589557:ESR589759 EIV589557:EIV589759 DYZ589557:DYZ589759 DPD589557:DPD589759 DFH589557:DFH589759 CVL589557:CVL589759 CLP589557:CLP589759 CBT589557:CBT589759 BRX589557:BRX589759 BIB589557:BIB589759 AYF589557:AYF589759 AOJ589557:AOJ589759 AEN589557:AEN589759 UR589557:UR589759 KV589557:KV589759 AU589557:AU589759 WXH524021:WXH524223 WNL524021:WNL524223 WDP524021:WDP524223 VTT524021:VTT524223 VJX524021:VJX524223 VAB524021:VAB524223 UQF524021:UQF524223 UGJ524021:UGJ524223 TWN524021:TWN524223 TMR524021:TMR524223 TCV524021:TCV524223 SSZ524021:SSZ524223 SJD524021:SJD524223 RZH524021:RZH524223 RPL524021:RPL524223 RFP524021:RFP524223 QVT524021:QVT524223 QLX524021:QLX524223 QCB524021:QCB524223 PSF524021:PSF524223 PIJ524021:PIJ524223 OYN524021:OYN524223 OOR524021:OOR524223 OEV524021:OEV524223 NUZ524021:NUZ524223 NLD524021:NLD524223 NBH524021:NBH524223 MRL524021:MRL524223 MHP524021:MHP524223 LXT524021:LXT524223 LNX524021:LNX524223 LEB524021:LEB524223 KUF524021:KUF524223 KKJ524021:KKJ524223 KAN524021:KAN524223 JQR524021:JQR524223 JGV524021:JGV524223 IWZ524021:IWZ524223 IND524021:IND524223 IDH524021:IDH524223 HTL524021:HTL524223 HJP524021:HJP524223 GZT524021:GZT524223 GPX524021:GPX524223 GGB524021:GGB524223 FWF524021:FWF524223 FMJ524021:FMJ524223 FCN524021:FCN524223 ESR524021:ESR524223 EIV524021:EIV524223 DYZ524021:DYZ524223 DPD524021:DPD524223 DFH524021:DFH524223 CVL524021:CVL524223 CLP524021:CLP524223 CBT524021:CBT524223 BRX524021:BRX524223 BIB524021:BIB524223 AYF524021:AYF524223 AOJ524021:AOJ524223 AEN524021:AEN524223 UR524021:UR524223 KV524021:KV524223 AU524021:AU524223 WXH458485:WXH458687 WNL458485:WNL458687 WDP458485:WDP458687 VTT458485:VTT458687 VJX458485:VJX458687 VAB458485:VAB458687 UQF458485:UQF458687 UGJ458485:UGJ458687 TWN458485:TWN458687 TMR458485:TMR458687 TCV458485:TCV458687 SSZ458485:SSZ458687 SJD458485:SJD458687 RZH458485:RZH458687 RPL458485:RPL458687 RFP458485:RFP458687 QVT458485:QVT458687 QLX458485:QLX458687 QCB458485:QCB458687 PSF458485:PSF458687 PIJ458485:PIJ458687 OYN458485:OYN458687 OOR458485:OOR458687 OEV458485:OEV458687 NUZ458485:NUZ458687 NLD458485:NLD458687 NBH458485:NBH458687 MRL458485:MRL458687 MHP458485:MHP458687 LXT458485:LXT458687 LNX458485:LNX458687 LEB458485:LEB458687 KUF458485:KUF458687 KKJ458485:KKJ458687 KAN458485:KAN458687 JQR458485:JQR458687 JGV458485:JGV458687 IWZ458485:IWZ458687 IND458485:IND458687 IDH458485:IDH458687 HTL458485:HTL458687 HJP458485:HJP458687 GZT458485:GZT458687 GPX458485:GPX458687 GGB458485:GGB458687 FWF458485:FWF458687 FMJ458485:FMJ458687 FCN458485:FCN458687 ESR458485:ESR458687 EIV458485:EIV458687 DYZ458485:DYZ458687 DPD458485:DPD458687 DFH458485:DFH458687 CVL458485:CVL458687 CLP458485:CLP458687 CBT458485:CBT458687 BRX458485:BRX458687 BIB458485:BIB458687 AYF458485:AYF458687 AOJ458485:AOJ458687 AEN458485:AEN458687 UR458485:UR458687 KV458485:KV458687 AU458485:AU458687 WXH392949:WXH393151 WNL392949:WNL393151 WDP392949:WDP393151 VTT392949:VTT393151 VJX392949:VJX393151 VAB392949:VAB393151 UQF392949:UQF393151 UGJ392949:UGJ393151 TWN392949:TWN393151 TMR392949:TMR393151 TCV392949:TCV393151 SSZ392949:SSZ393151 SJD392949:SJD393151 RZH392949:RZH393151 RPL392949:RPL393151 RFP392949:RFP393151 QVT392949:QVT393151 QLX392949:QLX393151 QCB392949:QCB393151 PSF392949:PSF393151 PIJ392949:PIJ393151 OYN392949:OYN393151 OOR392949:OOR393151 OEV392949:OEV393151 NUZ392949:NUZ393151 NLD392949:NLD393151 NBH392949:NBH393151 MRL392949:MRL393151 MHP392949:MHP393151 LXT392949:LXT393151 LNX392949:LNX393151 LEB392949:LEB393151 KUF392949:KUF393151 KKJ392949:KKJ393151 KAN392949:KAN393151 JQR392949:JQR393151 JGV392949:JGV393151 IWZ392949:IWZ393151 IND392949:IND393151 IDH392949:IDH393151 HTL392949:HTL393151 HJP392949:HJP393151 GZT392949:GZT393151 GPX392949:GPX393151 GGB392949:GGB393151 FWF392949:FWF393151 FMJ392949:FMJ393151 FCN392949:FCN393151 ESR392949:ESR393151 EIV392949:EIV393151 DYZ392949:DYZ393151 DPD392949:DPD393151 DFH392949:DFH393151 CVL392949:CVL393151 CLP392949:CLP393151 CBT392949:CBT393151 BRX392949:BRX393151 BIB392949:BIB393151 AYF392949:AYF393151 AOJ392949:AOJ393151 AEN392949:AEN393151 UR392949:UR393151 KV392949:KV393151 AU392949:AU393151 WXH327413:WXH327615 WNL327413:WNL327615 WDP327413:WDP327615 VTT327413:VTT327615 VJX327413:VJX327615 VAB327413:VAB327615 UQF327413:UQF327615 UGJ327413:UGJ327615 TWN327413:TWN327615 TMR327413:TMR327615 TCV327413:TCV327615 SSZ327413:SSZ327615 SJD327413:SJD327615 RZH327413:RZH327615 RPL327413:RPL327615 RFP327413:RFP327615 QVT327413:QVT327615 QLX327413:QLX327615 QCB327413:QCB327615 PSF327413:PSF327615 PIJ327413:PIJ327615 OYN327413:OYN327615 OOR327413:OOR327615 OEV327413:OEV327615 NUZ327413:NUZ327615 NLD327413:NLD327615 NBH327413:NBH327615 MRL327413:MRL327615 MHP327413:MHP327615 LXT327413:LXT327615 LNX327413:LNX327615 LEB327413:LEB327615 KUF327413:KUF327615 KKJ327413:KKJ327615 KAN327413:KAN327615 JQR327413:JQR327615 JGV327413:JGV327615 IWZ327413:IWZ327615 IND327413:IND327615 IDH327413:IDH327615 HTL327413:HTL327615 HJP327413:HJP327615 GZT327413:GZT327615 GPX327413:GPX327615 GGB327413:GGB327615 FWF327413:FWF327615 FMJ327413:FMJ327615 FCN327413:FCN327615 ESR327413:ESR327615 EIV327413:EIV327615 DYZ327413:DYZ327615 DPD327413:DPD327615 DFH327413:DFH327615 CVL327413:CVL327615 CLP327413:CLP327615 CBT327413:CBT327615 BRX327413:BRX327615 BIB327413:BIB327615 AYF327413:AYF327615 AOJ327413:AOJ327615 AEN327413:AEN327615 UR327413:UR327615 KV327413:KV327615 AU327413:AU327615 WXH261877:WXH262079 WNL261877:WNL262079 WDP261877:WDP262079 VTT261877:VTT262079 VJX261877:VJX262079 VAB261877:VAB262079 UQF261877:UQF262079 UGJ261877:UGJ262079 TWN261877:TWN262079 TMR261877:TMR262079 TCV261877:TCV262079 SSZ261877:SSZ262079 SJD261877:SJD262079 RZH261877:RZH262079 RPL261877:RPL262079 RFP261877:RFP262079 QVT261877:QVT262079 QLX261877:QLX262079 QCB261877:QCB262079 PSF261877:PSF262079 PIJ261877:PIJ262079 OYN261877:OYN262079 OOR261877:OOR262079 OEV261877:OEV262079 NUZ261877:NUZ262079 NLD261877:NLD262079 NBH261877:NBH262079 MRL261877:MRL262079 MHP261877:MHP262079 LXT261877:LXT262079 LNX261877:LNX262079 LEB261877:LEB262079 KUF261877:KUF262079 KKJ261877:KKJ262079 KAN261877:KAN262079 JQR261877:JQR262079 JGV261877:JGV262079 IWZ261877:IWZ262079 IND261877:IND262079 IDH261877:IDH262079 HTL261877:HTL262079 HJP261877:HJP262079 GZT261877:GZT262079 GPX261877:GPX262079 GGB261877:GGB262079 FWF261877:FWF262079 FMJ261877:FMJ262079 FCN261877:FCN262079 ESR261877:ESR262079 EIV261877:EIV262079 DYZ261877:DYZ262079 DPD261877:DPD262079 DFH261877:DFH262079 CVL261877:CVL262079 CLP261877:CLP262079 CBT261877:CBT262079 BRX261877:BRX262079 BIB261877:BIB262079 AYF261877:AYF262079 AOJ261877:AOJ262079 AEN261877:AEN262079 UR261877:UR262079 KV261877:KV262079 AU261877:AU262079 WXH196341:WXH196543 WNL196341:WNL196543 WDP196341:WDP196543 VTT196341:VTT196543 VJX196341:VJX196543 VAB196341:VAB196543 UQF196341:UQF196543 UGJ196341:UGJ196543 TWN196341:TWN196543 TMR196341:TMR196543 TCV196341:TCV196543 SSZ196341:SSZ196543 SJD196341:SJD196543 RZH196341:RZH196543 RPL196341:RPL196543 RFP196341:RFP196543 QVT196341:QVT196543 QLX196341:QLX196543 QCB196341:QCB196543 PSF196341:PSF196543 PIJ196341:PIJ196543 OYN196341:OYN196543 OOR196341:OOR196543 OEV196341:OEV196543 NUZ196341:NUZ196543 NLD196341:NLD196543 NBH196341:NBH196543 MRL196341:MRL196543 MHP196341:MHP196543 LXT196341:LXT196543 LNX196341:LNX196543 LEB196341:LEB196543 KUF196341:KUF196543 KKJ196341:KKJ196543 KAN196341:KAN196543 JQR196341:JQR196543 JGV196341:JGV196543 IWZ196341:IWZ196543 IND196341:IND196543 IDH196341:IDH196543 HTL196341:HTL196543 HJP196341:HJP196543 GZT196341:GZT196543 GPX196341:GPX196543 GGB196341:GGB196543 FWF196341:FWF196543 FMJ196341:FMJ196543 FCN196341:FCN196543 ESR196341:ESR196543 EIV196341:EIV196543 DYZ196341:DYZ196543 DPD196341:DPD196543 DFH196341:DFH196543 CVL196341:CVL196543 CLP196341:CLP196543 CBT196341:CBT196543 BRX196341:BRX196543 BIB196341:BIB196543 AYF196341:AYF196543 AOJ196341:AOJ196543 AEN196341:AEN196543 UR196341:UR196543 KV196341:KV196543 AU196341:AU196543 WXH130805:WXH131007 WNL130805:WNL131007 WDP130805:WDP131007 VTT130805:VTT131007 VJX130805:VJX131007 VAB130805:VAB131007 UQF130805:UQF131007 UGJ130805:UGJ131007 TWN130805:TWN131007 TMR130805:TMR131007 TCV130805:TCV131007 SSZ130805:SSZ131007 SJD130805:SJD131007 RZH130805:RZH131007 RPL130805:RPL131007 RFP130805:RFP131007 QVT130805:QVT131007 QLX130805:QLX131007 QCB130805:QCB131007 PSF130805:PSF131007 PIJ130805:PIJ131007 OYN130805:OYN131007 OOR130805:OOR131007 OEV130805:OEV131007 NUZ130805:NUZ131007 NLD130805:NLD131007 NBH130805:NBH131007 MRL130805:MRL131007 MHP130805:MHP131007 LXT130805:LXT131007 LNX130805:LNX131007 LEB130805:LEB131007 KUF130805:KUF131007 KKJ130805:KKJ131007 KAN130805:KAN131007 JQR130805:JQR131007 JGV130805:JGV131007 IWZ130805:IWZ131007 IND130805:IND131007 IDH130805:IDH131007 HTL130805:HTL131007 HJP130805:HJP131007 GZT130805:GZT131007 GPX130805:GPX131007 GGB130805:GGB131007 FWF130805:FWF131007 FMJ130805:FMJ131007 FCN130805:FCN131007 ESR130805:ESR131007 EIV130805:EIV131007 DYZ130805:DYZ131007 DPD130805:DPD131007 DFH130805:DFH131007 CVL130805:CVL131007 CLP130805:CLP131007 CBT130805:CBT131007 BRX130805:BRX131007 BIB130805:BIB131007 AYF130805:AYF131007 AOJ130805:AOJ131007 AEN130805:AEN131007 UR130805:UR131007 KV130805:KV131007 AU130805:AU131007 WXH65269:WXH65471 WNL65269:WNL65471 WDP65269:WDP65471 VTT65269:VTT65471 VJX65269:VJX65471 VAB65269:VAB65471 UQF65269:UQF65471 UGJ65269:UGJ65471 TWN65269:TWN65471 TMR65269:TMR65471 TCV65269:TCV65471 SSZ65269:SSZ65471 SJD65269:SJD65471 RZH65269:RZH65471 RPL65269:RPL65471 RFP65269:RFP65471 QVT65269:QVT65471 QLX65269:QLX65471 QCB65269:QCB65471 PSF65269:PSF65471 PIJ65269:PIJ65471 OYN65269:OYN65471 OOR65269:OOR65471 OEV65269:OEV65471 NUZ65269:NUZ65471 NLD65269:NLD65471 NBH65269:NBH65471 MRL65269:MRL65471 MHP65269:MHP65471 LXT65269:LXT65471 LNX65269:LNX65471 LEB65269:LEB65471 KUF65269:KUF65471 KKJ65269:KKJ65471 KAN65269:KAN65471 JQR65269:JQR65471 JGV65269:JGV65471 IWZ65269:IWZ65471 IND65269:IND65471 IDH65269:IDH65471 HTL65269:HTL65471 HJP65269:HJP65471 GZT65269:GZT65471 GPX65269:GPX65471 GGB65269:GGB65471 FWF65269:FWF65471 FMJ65269:FMJ65471 FCN65269:FCN65471 ESR65269:ESR65471 EIV65269:EIV65471 DYZ65269:DYZ65471 DPD65269:DPD65471 DFH65269:DFH65471 CVL65269:CVL65471 CLP65269:CLP65471 CBT65269:CBT65471 BRX65269:BRX65471 BIB65269:BIB65471 AYF65269:AYF65471 AOJ65269:AOJ65471 AEN65269:AEN65471 UR65269:UR65471 KV65269:KV65471 AU65269:AU65471 WXH5:WXH11 WNL5:WNL11 WDP5:WDP11 VTT5:VTT11 VJX5:VJX11 VAB5:VAB11 UQF5:UQF11 UGJ5:UGJ11 TWN5:TWN11 TMR5:TMR11 TCV5:TCV11 SSZ5:SSZ11 SJD5:SJD11 RZH5:RZH11 RPL5:RPL11 RFP5:RFP11 QVT5:QVT11 QLX5:QLX11 QCB5:QCB11 PSF5:PSF11 PIJ5:PIJ11 OYN5:OYN11 OOR5:OOR11 OEV5:OEV11 NUZ5:NUZ11 NLD5:NLD11 NBH5:NBH11 MRL5:MRL11 MHP5:MHP11 LXT5:LXT11 LNX5:LNX11 LEB5:LEB11 KUF5:KUF11 KKJ5:KKJ11 KAN5:KAN11 JQR5:JQR11 JGV5:JGV11 IWZ5:IWZ11 IND5:IND11 IDH5:IDH11 HTL5:HTL11 HJP5:HJP11 GZT5:GZT11 GPX5:GPX11 GGB5:GGB11 FWF5:FWF11 FMJ5:FMJ11 FCN5:FCN11 ESR5:ESR11 EIV5:EIV11 DYZ5:DYZ11 DPD5:DPD11 DFH5:DFH11 CVL5:CVL11 CLP5:CLP11 CBT5:CBT11 BRX5:BRX11 BIB5:BIB11 AYF5:AYF11 AOJ5:AOJ11 AEN5:AEN11 UR5:UR11 KV5:KV11 WXH982773:WXH982975 WXO982773:WXO982975 WNS982773:WNS982975 WDW982773:WDW982975 VUA982773:VUA982975 VKE982773:VKE982975 VAI982773:VAI982975 UQM982773:UQM982975 UGQ982773:UGQ982975 TWU982773:TWU982975 TMY982773:TMY982975 TDC982773:TDC982975 STG982773:STG982975 SJK982773:SJK982975 RZO982773:RZO982975 RPS982773:RPS982975 RFW982773:RFW982975 QWA982773:QWA982975 QME982773:QME982975 QCI982773:QCI982975 PSM982773:PSM982975 PIQ982773:PIQ982975 OYU982773:OYU982975 OOY982773:OOY982975 OFC982773:OFC982975 NVG982773:NVG982975 NLK982773:NLK982975 NBO982773:NBO982975 MRS982773:MRS982975 MHW982773:MHW982975 LYA982773:LYA982975 LOE982773:LOE982975 LEI982773:LEI982975 KUM982773:KUM982975 KKQ982773:KKQ982975 KAU982773:KAU982975 JQY982773:JQY982975 JHC982773:JHC982975 IXG982773:IXG982975 INK982773:INK982975 IDO982773:IDO982975 HTS982773:HTS982975 HJW982773:HJW982975 HAA982773:HAA982975 GQE982773:GQE982975 GGI982773:GGI982975 FWM982773:FWM982975 FMQ982773:FMQ982975 FCU982773:FCU982975 ESY982773:ESY982975 EJC982773:EJC982975 DZG982773:DZG982975 DPK982773:DPK982975 DFO982773:DFO982975 CVS982773:CVS982975 CLW982773:CLW982975 CCA982773:CCA982975 BSE982773:BSE982975 BII982773:BII982975 AYM982773:AYM982975 AOQ982773:AOQ982975 AEU982773:AEU982975 UY982773:UY982975 LC982773:LC982975 BG982773:BG982975 WXO917237:WXO917439 WNS917237:WNS917439 WDW917237:WDW917439 VUA917237:VUA917439 VKE917237:VKE917439 VAI917237:VAI917439 UQM917237:UQM917439 UGQ917237:UGQ917439 TWU917237:TWU917439 TMY917237:TMY917439 TDC917237:TDC917439 STG917237:STG917439 SJK917237:SJK917439 RZO917237:RZO917439 RPS917237:RPS917439 RFW917237:RFW917439 QWA917237:QWA917439 QME917237:QME917439 QCI917237:QCI917439 PSM917237:PSM917439 PIQ917237:PIQ917439 OYU917237:OYU917439 OOY917237:OOY917439 OFC917237:OFC917439 NVG917237:NVG917439 NLK917237:NLK917439 NBO917237:NBO917439 MRS917237:MRS917439 MHW917237:MHW917439 LYA917237:LYA917439 LOE917237:LOE917439 LEI917237:LEI917439 KUM917237:KUM917439 KKQ917237:KKQ917439 KAU917237:KAU917439 JQY917237:JQY917439 JHC917237:JHC917439 IXG917237:IXG917439 INK917237:INK917439 IDO917237:IDO917439 HTS917237:HTS917439 HJW917237:HJW917439 HAA917237:HAA917439 GQE917237:GQE917439 GGI917237:GGI917439 FWM917237:FWM917439 FMQ917237:FMQ917439 FCU917237:FCU917439 ESY917237:ESY917439 EJC917237:EJC917439 DZG917237:DZG917439 DPK917237:DPK917439 DFO917237:DFO917439 CVS917237:CVS917439 CLW917237:CLW917439 CCA917237:CCA917439 BSE917237:BSE917439 BII917237:BII917439 AYM917237:AYM917439 AOQ917237:AOQ917439 AEU917237:AEU917439 UY917237:UY917439 LC917237:LC917439 BG917237:BG917439 WXO851701:WXO851903 WNS851701:WNS851903 WDW851701:WDW851903 VUA851701:VUA851903 VKE851701:VKE851903 VAI851701:VAI851903 UQM851701:UQM851903 UGQ851701:UGQ851903 TWU851701:TWU851903 TMY851701:TMY851903 TDC851701:TDC851903 STG851701:STG851903 SJK851701:SJK851903 RZO851701:RZO851903 RPS851701:RPS851903 RFW851701:RFW851903 QWA851701:QWA851903 QME851701:QME851903 QCI851701:QCI851903 PSM851701:PSM851903 PIQ851701:PIQ851903 OYU851701:OYU851903 OOY851701:OOY851903 OFC851701:OFC851903 NVG851701:NVG851903 NLK851701:NLK851903 NBO851701:NBO851903 MRS851701:MRS851903 MHW851701:MHW851903 LYA851701:LYA851903 LOE851701:LOE851903 LEI851701:LEI851903 KUM851701:KUM851903 KKQ851701:KKQ851903 KAU851701:KAU851903 JQY851701:JQY851903 JHC851701:JHC851903 IXG851701:IXG851903 INK851701:INK851903 IDO851701:IDO851903 HTS851701:HTS851903 HJW851701:HJW851903 HAA851701:HAA851903 GQE851701:GQE851903 GGI851701:GGI851903 FWM851701:FWM851903 FMQ851701:FMQ851903 FCU851701:FCU851903 ESY851701:ESY851903 EJC851701:EJC851903 DZG851701:DZG851903 DPK851701:DPK851903 DFO851701:DFO851903 CVS851701:CVS851903 CLW851701:CLW851903 CCA851701:CCA851903 BSE851701:BSE851903 BII851701:BII851903 AYM851701:AYM851903 AOQ851701:AOQ851903 AEU851701:AEU851903 UY851701:UY851903 LC851701:LC851903 BG851701:BG851903 WXO786165:WXO786367 WNS786165:WNS786367 WDW786165:WDW786367 VUA786165:VUA786367 VKE786165:VKE786367 VAI786165:VAI786367 UQM786165:UQM786367 UGQ786165:UGQ786367 TWU786165:TWU786367 TMY786165:TMY786367 TDC786165:TDC786367 STG786165:STG786367 SJK786165:SJK786367 RZO786165:RZO786367 RPS786165:RPS786367 RFW786165:RFW786367 QWA786165:QWA786367 QME786165:QME786367 QCI786165:QCI786367 PSM786165:PSM786367 PIQ786165:PIQ786367 OYU786165:OYU786367 OOY786165:OOY786367 OFC786165:OFC786367 NVG786165:NVG786367 NLK786165:NLK786367 NBO786165:NBO786367 MRS786165:MRS786367 MHW786165:MHW786367 LYA786165:LYA786367 LOE786165:LOE786367 LEI786165:LEI786367 KUM786165:KUM786367 KKQ786165:KKQ786367 KAU786165:KAU786367 JQY786165:JQY786367 JHC786165:JHC786367 IXG786165:IXG786367 INK786165:INK786367 IDO786165:IDO786367 HTS786165:HTS786367 HJW786165:HJW786367 HAA786165:HAA786367 GQE786165:GQE786367 GGI786165:GGI786367 FWM786165:FWM786367 FMQ786165:FMQ786367 FCU786165:FCU786367 ESY786165:ESY786367 EJC786165:EJC786367 DZG786165:DZG786367 DPK786165:DPK786367 DFO786165:DFO786367 CVS786165:CVS786367 CLW786165:CLW786367 CCA786165:CCA786367 BSE786165:BSE786367 BII786165:BII786367 AYM786165:AYM786367 AOQ786165:AOQ786367 AEU786165:AEU786367 UY786165:UY786367 LC786165:LC786367 BG786165:BG786367 WXO720629:WXO720831 WNS720629:WNS720831 WDW720629:WDW720831 VUA720629:VUA720831 VKE720629:VKE720831 VAI720629:VAI720831 UQM720629:UQM720831 UGQ720629:UGQ720831 TWU720629:TWU720831 TMY720629:TMY720831 TDC720629:TDC720831 STG720629:STG720831 SJK720629:SJK720831 RZO720629:RZO720831 RPS720629:RPS720831 RFW720629:RFW720831 QWA720629:QWA720831 QME720629:QME720831 QCI720629:QCI720831 PSM720629:PSM720831 PIQ720629:PIQ720831 OYU720629:OYU720831 OOY720629:OOY720831 OFC720629:OFC720831 NVG720629:NVG720831 NLK720629:NLK720831 NBO720629:NBO720831 MRS720629:MRS720831 MHW720629:MHW720831 LYA720629:LYA720831 LOE720629:LOE720831 LEI720629:LEI720831 KUM720629:KUM720831 KKQ720629:KKQ720831 KAU720629:KAU720831 JQY720629:JQY720831 JHC720629:JHC720831 IXG720629:IXG720831 INK720629:INK720831 IDO720629:IDO720831 HTS720629:HTS720831 HJW720629:HJW720831 HAA720629:HAA720831 GQE720629:GQE720831 GGI720629:GGI720831 FWM720629:FWM720831 FMQ720629:FMQ720831 FCU720629:FCU720831 ESY720629:ESY720831 EJC720629:EJC720831 DZG720629:DZG720831 DPK720629:DPK720831 DFO720629:DFO720831 CVS720629:CVS720831 CLW720629:CLW720831 CCA720629:CCA720831 BSE720629:BSE720831 BII720629:BII720831 AYM720629:AYM720831 AOQ720629:AOQ720831 AEU720629:AEU720831 UY720629:UY720831 LC720629:LC720831 BG720629:BG720831 WXO655093:WXO655295 WNS655093:WNS655295 WDW655093:WDW655295 VUA655093:VUA655295 VKE655093:VKE655295 VAI655093:VAI655295 UQM655093:UQM655295 UGQ655093:UGQ655295 TWU655093:TWU655295 TMY655093:TMY655295 TDC655093:TDC655295 STG655093:STG655295 SJK655093:SJK655295 RZO655093:RZO655295 RPS655093:RPS655295 RFW655093:RFW655295 QWA655093:QWA655295 QME655093:QME655295 QCI655093:QCI655295 PSM655093:PSM655295 PIQ655093:PIQ655295 OYU655093:OYU655295 OOY655093:OOY655295 OFC655093:OFC655295 NVG655093:NVG655295 NLK655093:NLK655295 NBO655093:NBO655295 MRS655093:MRS655295 MHW655093:MHW655295 LYA655093:LYA655295 LOE655093:LOE655295 LEI655093:LEI655295 KUM655093:KUM655295 KKQ655093:KKQ655295 KAU655093:KAU655295 JQY655093:JQY655295 JHC655093:JHC655295 IXG655093:IXG655295 INK655093:INK655295 IDO655093:IDO655295 HTS655093:HTS655295 HJW655093:HJW655295 HAA655093:HAA655295 GQE655093:GQE655295 GGI655093:GGI655295 FWM655093:FWM655295 FMQ655093:FMQ655295 FCU655093:FCU655295 ESY655093:ESY655295 EJC655093:EJC655295 DZG655093:DZG655295 DPK655093:DPK655295 DFO655093:DFO655295 CVS655093:CVS655295 CLW655093:CLW655295 CCA655093:CCA655295 BSE655093:BSE655295 BII655093:BII655295 AYM655093:AYM655295 AOQ655093:AOQ655295 AEU655093:AEU655295 UY655093:UY655295 LC655093:LC655295 BG655093:BG655295 WXO589557:WXO589759 WNS589557:WNS589759 WDW589557:WDW589759 VUA589557:VUA589759 VKE589557:VKE589759 VAI589557:VAI589759 UQM589557:UQM589759 UGQ589557:UGQ589759 TWU589557:TWU589759 TMY589557:TMY589759 TDC589557:TDC589759 STG589557:STG589759 SJK589557:SJK589759 RZO589557:RZO589759 RPS589557:RPS589759 RFW589557:RFW589759 QWA589557:QWA589759 QME589557:QME589759 QCI589557:QCI589759 PSM589557:PSM589759 PIQ589557:PIQ589759 OYU589557:OYU589759 OOY589557:OOY589759 OFC589557:OFC589759 NVG589557:NVG589759 NLK589557:NLK589759 NBO589557:NBO589759 MRS589557:MRS589759 MHW589557:MHW589759 LYA589557:LYA589759 LOE589557:LOE589759 LEI589557:LEI589759 KUM589557:KUM589759 KKQ589557:KKQ589759 KAU589557:KAU589759 JQY589557:JQY589759 JHC589557:JHC589759 IXG589557:IXG589759 INK589557:INK589759 IDO589557:IDO589759 HTS589557:HTS589759 HJW589557:HJW589759 HAA589557:HAA589759 GQE589557:GQE589759 GGI589557:GGI589759 FWM589557:FWM589759 FMQ589557:FMQ589759 FCU589557:FCU589759 ESY589557:ESY589759 EJC589557:EJC589759 DZG589557:DZG589759 DPK589557:DPK589759 DFO589557:DFO589759 CVS589557:CVS589759 CLW589557:CLW589759 CCA589557:CCA589759 BSE589557:BSE589759 BII589557:BII589759 AYM589557:AYM589759 AOQ589557:AOQ589759 AEU589557:AEU589759 UY589557:UY589759 LC589557:LC589759 BG589557:BG589759 WXO524021:WXO524223 WNS524021:WNS524223 WDW524021:WDW524223 VUA524021:VUA524223 VKE524021:VKE524223 VAI524021:VAI524223 UQM524021:UQM524223 UGQ524021:UGQ524223 TWU524021:TWU524223 TMY524021:TMY524223 TDC524021:TDC524223 STG524021:STG524223 SJK524021:SJK524223 RZO524021:RZO524223 RPS524021:RPS524223 RFW524021:RFW524223 QWA524021:QWA524223 QME524021:QME524223 QCI524021:QCI524223 PSM524021:PSM524223 PIQ524021:PIQ524223 OYU524021:OYU524223 OOY524021:OOY524223 OFC524021:OFC524223 NVG524021:NVG524223 NLK524021:NLK524223 NBO524021:NBO524223 MRS524021:MRS524223 MHW524021:MHW524223 LYA524021:LYA524223 LOE524021:LOE524223 LEI524021:LEI524223 KUM524021:KUM524223 KKQ524021:KKQ524223 KAU524021:KAU524223 JQY524021:JQY524223 JHC524021:JHC524223 IXG524021:IXG524223 INK524021:INK524223 IDO524021:IDO524223 HTS524021:HTS524223 HJW524021:HJW524223 HAA524021:HAA524223 GQE524021:GQE524223 GGI524021:GGI524223 FWM524021:FWM524223 FMQ524021:FMQ524223 FCU524021:FCU524223 ESY524021:ESY524223 EJC524021:EJC524223 DZG524021:DZG524223 DPK524021:DPK524223 DFO524021:DFO524223 CVS524021:CVS524223 CLW524021:CLW524223 CCA524021:CCA524223 BSE524021:BSE524223 BII524021:BII524223 AYM524021:AYM524223 AOQ524021:AOQ524223 AEU524021:AEU524223 UY524021:UY524223 LC524021:LC524223 BG524021:BG524223 WXO458485:WXO458687 WNS458485:WNS458687 WDW458485:WDW458687 VUA458485:VUA458687 VKE458485:VKE458687 VAI458485:VAI458687 UQM458485:UQM458687 UGQ458485:UGQ458687 TWU458485:TWU458687 TMY458485:TMY458687 TDC458485:TDC458687 STG458485:STG458687 SJK458485:SJK458687 RZO458485:RZO458687 RPS458485:RPS458687 RFW458485:RFW458687 QWA458485:QWA458687 QME458485:QME458687 QCI458485:QCI458687 PSM458485:PSM458687 PIQ458485:PIQ458687 OYU458485:OYU458687 OOY458485:OOY458687 OFC458485:OFC458687 NVG458485:NVG458687 NLK458485:NLK458687 NBO458485:NBO458687 MRS458485:MRS458687 MHW458485:MHW458687 LYA458485:LYA458687 LOE458485:LOE458687 LEI458485:LEI458687 KUM458485:KUM458687 KKQ458485:KKQ458687 KAU458485:KAU458687 JQY458485:JQY458687 JHC458485:JHC458687 IXG458485:IXG458687 INK458485:INK458687 IDO458485:IDO458687 HTS458485:HTS458687 HJW458485:HJW458687 HAA458485:HAA458687 GQE458485:GQE458687 GGI458485:GGI458687 FWM458485:FWM458687 FMQ458485:FMQ458687 FCU458485:FCU458687 ESY458485:ESY458687 EJC458485:EJC458687 DZG458485:DZG458687 DPK458485:DPK458687 DFO458485:DFO458687 CVS458485:CVS458687 CLW458485:CLW458687 CCA458485:CCA458687 BSE458485:BSE458687 BII458485:BII458687 AYM458485:AYM458687 AOQ458485:AOQ458687 AEU458485:AEU458687 UY458485:UY458687 LC458485:LC458687 BG458485:BG458687 WXO392949:WXO393151 WNS392949:WNS393151 WDW392949:WDW393151 VUA392949:VUA393151 VKE392949:VKE393151 VAI392949:VAI393151 UQM392949:UQM393151 UGQ392949:UGQ393151 TWU392949:TWU393151 TMY392949:TMY393151 TDC392949:TDC393151 STG392949:STG393151 SJK392949:SJK393151 RZO392949:RZO393151 RPS392949:RPS393151 RFW392949:RFW393151 QWA392949:QWA393151 QME392949:QME393151 QCI392949:QCI393151 PSM392949:PSM393151 PIQ392949:PIQ393151 OYU392949:OYU393151 OOY392949:OOY393151 OFC392949:OFC393151 NVG392949:NVG393151 NLK392949:NLK393151 NBO392949:NBO393151 MRS392949:MRS393151 MHW392949:MHW393151 LYA392949:LYA393151 LOE392949:LOE393151 LEI392949:LEI393151 KUM392949:KUM393151 KKQ392949:KKQ393151 KAU392949:KAU393151 JQY392949:JQY393151 JHC392949:JHC393151 IXG392949:IXG393151 INK392949:INK393151 IDO392949:IDO393151 HTS392949:HTS393151 HJW392949:HJW393151 HAA392949:HAA393151 GQE392949:GQE393151 GGI392949:GGI393151 FWM392949:FWM393151 FMQ392949:FMQ393151 FCU392949:FCU393151 ESY392949:ESY393151 EJC392949:EJC393151 DZG392949:DZG393151 DPK392949:DPK393151 DFO392949:DFO393151 CVS392949:CVS393151 CLW392949:CLW393151 CCA392949:CCA393151 BSE392949:BSE393151 BII392949:BII393151 AYM392949:AYM393151 AOQ392949:AOQ393151 AEU392949:AEU393151 UY392949:UY393151 LC392949:LC393151 BG392949:BG393151 WXO327413:WXO327615 WNS327413:WNS327615 WDW327413:WDW327615 VUA327413:VUA327615 VKE327413:VKE327615 VAI327413:VAI327615 UQM327413:UQM327615 UGQ327413:UGQ327615 TWU327413:TWU327615 TMY327413:TMY327615 TDC327413:TDC327615 STG327413:STG327615 SJK327413:SJK327615 RZO327413:RZO327615 RPS327413:RPS327615 RFW327413:RFW327615 QWA327413:QWA327615 QME327413:QME327615 QCI327413:QCI327615 PSM327413:PSM327615 PIQ327413:PIQ327615 OYU327413:OYU327615 OOY327413:OOY327615 OFC327413:OFC327615 NVG327413:NVG327615 NLK327413:NLK327615 NBO327413:NBO327615 MRS327413:MRS327615 MHW327413:MHW327615 LYA327413:LYA327615 LOE327413:LOE327615 LEI327413:LEI327615 KUM327413:KUM327615 KKQ327413:KKQ327615 KAU327413:KAU327615 JQY327413:JQY327615 JHC327413:JHC327615 IXG327413:IXG327615 INK327413:INK327615 IDO327413:IDO327615 HTS327413:HTS327615 HJW327413:HJW327615 HAA327413:HAA327615 GQE327413:GQE327615 GGI327413:GGI327615 FWM327413:FWM327615 FMQ327413:FMQ327615 FCU327413:FCU327615 ESY327413:ESY327615 EJC327413:EJC327615 DZG327413:DZG327615 DPK327413:DPK327615 DFO327413:DFO327615 CVS327413:CVS327615 CLW327413:CLW327615 CCA327413:CCA327615 BSE327413:BSE327615 BII327413:BII327615 AYM327413:AYM327615 AOQ327413:AOQ327615 AEU327413:AEU327615 UY327413:UY327615 LC327413:LC327615 BG327413:BG327615 WXO261877:WXO262079 WNS261877:WNS262079 WDW261877:WDW262079 VUA261877:VUA262079 VKE261877:VKE262079 VAI261877:VAI262079 UQM261877:UQM262079 UGQ261877:UGQ262079 TWU261877:TWU262079 TMY261877:TMY262079 TDC261877:TDC262079 STG261877:STG262079 SJK261877:SJK262079 RZO261877:RZO262079 RPS261877:RPS262079 RFW261877:RFW262079 QWA261877:QWA262079 QME261877:QME262079 QCI261877:QCI262079 PSM261877:PSM262079 PIQ261877:PIQ262079 OYU261877:OYU262079 OOY261877:OOY262079 OFC261877:OFC262079 NVG261877:NVG262079 NLK261877:NLK262079 NBO261877:NBO262079 MRS261877:MRS262079 MHW261877:MHW262079 LYA261877:LYA262079 LOE261877:LOE262079 LEI261877:LEI262079 KUM261877:KUM262079 KKQ261877:KKQ262079 KAU261877:KAU262079 JQY261877:JQY262079 JHC261877:JHC262079 IXG261877:IXG262079 INK261877:INK262079 IDO261877:IDO262079 HTS261877:HTS262079 HJW261877:HJW262079 HAA261877:HAA262079 GQE261877:GQE262079 GGI261877:GGI262079 FWM261877:FWM262079 FMQ261877:FMQ262079 FCU261877:FCU262079 ESY261877:ESY262079 EJC261877:EJC262079 DZG261877:DZG262079 DPK261877:DPK262079 DFO261877:DFO262079 CVS261877:CVS262079 CLW261877:CLW262079 CCA261877:CCA262079 BSE261877:BSE262079 BII261877:BII262079 AYM261877:AYM262079 AOQ261877:AOQ262079 AEU261877:AEU262079 UY261877:UY262079 LC261877:LC262079 BG261877:BG262079 WXO196341:WXO196543 WNS196341:WNS196543 WDW196341:WDW196543 VUA196341:VUA196543 VKE196341:VKE196543 VAI196341:VAI196543 UQM196341:UQM196543 UGQ196341:UGQ196543 TWU196341:TWU196543 TMY196341:TMY196543 TDC196341:TDC196543 STG196341:STG196543 SJK196341:SJK196543 RZO196341:RZO196543 RPS196341:RPS196543 RFW196341:RFW196543 QWA196341:QWA196543 QME196341:QME196543 QCI196341:QCI196543 PSM196341:PSM196543 PIQ196341:PIQ196543 OYU196341:OYU196543 OOY196341:OOY196543 OFC196341:OFC196543 NVG196341:NVG196543 NLK196341:NLK196543 NBO196341:NBO196543 MRS196341:MRS196543 MHW196341:MHW196543 LYA196341:LYA196543 LOE196341:LOE196543 LEI196341:LEI196543 KUM196341:KUM196543 KKQ196341:KKQ196543 KAU196341:KAU196543 JQY196341:JQY196543 JHC196341:JHC196543 IXG196341:IXG196543 INK196341:INK196543 IDO196341:IDO196543 HTS196341:HTS196543 HJW196341:HJW196543 HAA196341:HAA196543 GQE196341:GQE196543 GGI196341:GGI196543 FWM196341:FWM196543 FMQ196341:FMQ196543 FCU196341:FCU196543 ESY196341:ESY196543 EJC196341:EJC196543 DZG196341:DZG196543 DPK196341:DPK196543 DFO196341:DFO196543 CVS196341:CVS196543 CLW196341:CLW196543 CCA196341:CCA196543 BSE196341:BSE196543 BII196341:BII196543 AYM196341:AYM196543 AOQ196341:AOQ196543 AEU196341:AEU196543 UY196341:UY196543 LC196341:LC196543 BG196341:BG196543 WXO130805:WXO131007 WNS130805:WNS131007 WDW130805:WDW131007 VUA130805:VUA131007 VKE130805:VKE131007 VAI130805:VAI131007 UQM130805:UQM131007 UGQ130805:UGQ131007 TWU130805:TWU131007 TMY130805:TMY131007 TDC130805:TDC131007 STG130805:STG131007 SJK130805:SJK131007 RZO130805:RZO131007 RPS130805:RPS131007 RFW130805:RFW131007 QWA130805:QWA131007 QME130805:QME131007 QCI130805:QCI131007 PSM130805:PSM131007 PIQ130805:PIQ131007 OYU130805:OYU131007 OOY130805:OOY131007 OFC130805:OFC131007 NVG130805:NVG131007 NLK130805:NLK131007 NBO130805:NBO131007 MRS130805:MRS131007 MHW130805:MHW131007 LYA130805:LYA131007 LOE130805:LOE131007 LEI130805:LEI131007 KUM130805:KUM131007 KKQ130805:KKQ131007 KAU130805:KAU131007 JQY130805:JQY131007 JHC130805:JHC131007 IXG130805:IXG131007 INK130805:INK131007 IDO130805:IDO131007 HTS130805:HTS131007 HJW130805:HJW131007 HAA130805:HAA131007 GQE130805:GQE131007 GGI130805:GGI131007 FWM130805:FWM131007 FMQ130805:FMQ131007 FCU130805:FCU131007 ESY130805:ESY131007 EJC130805:EJC131007 DZG130805:DZG131007 DPK130805:DPK131007 DFO130805:DFO131007 CVS130805:CVS131007 CLW130805:CLW131007 CCA130805:CCA131007 BSE130805:BSE131007 BII130805:BII131007 AYM130805:AYM131007 AOQ130805:AOQ131007 AEU130805:AEU131007 UY130805:UY131007 LC130805:LC131007 BG130805:BG131007 WXO65269:WXO65471 WNS65269:WNS65471 WDW65269:WDW65471 VUA65269:VUA65471 VKE65269:VKE65471 VAI65269:VAI65471 UQM65269:UQM65471 UGQ65269:UGQ65471 TWU65269:TWU65471 TMY65269:TMY65471 TDC65269:TDC65471 STG65269:STG65471 SJK65269:SJK65471 RZO65269:RZO65471 RPS65269:RPS65471 RFW65269:RFW65471 QWA65269:QWA65471 QME65269:QME65471 QCI65269:QCI65471 PSM65269:PSM65471 PIQ65269:PIQ65471 OYU65269:OYU65471 OOY65269:OOY65471 OFC65269:OFC65471 NVG65269:NVG65471 NLK65269:NLK65471 NBO65269:NBO65471 MRS65269:MRS65471 MHW65269:MHW65471 LYA65269:LYA65471 LOE65269:LOE65471 LEI65269:LEI65471 KUM65269:KUM65471 KKQ65269:KKQ65471 KAU65269:KAU65471 JQY65269:JQY65471 JHC65269:JHC65471 IXG65269:IXG65471 INK65269:INK65471 IDO65269:IDO65471 HTS65269:HTS65471 HJW65269:HJW65471 HAA65269:HAA65471 GQE65269:GQE65471 GGI65269:GGI65471 FWM65269:FWM65471 FMQ65269:FMQ65471 FCU65269:FCU65471 ESY65269:ESY65471 EJC65269:EJC65471 DZG65269:DZG65471 DPK65269:DPK65471 DFO65269:DFO65471 CVS65269:CVS65471 CLW65269:CLW65471 CCA65269:CCA65471 BSE65269:BSE65471 BII65269:BII65471 AYM65269:AYM65471 AOQ65269:AOQ65471 AEU65269:AEU65471 UY65269:UY65471 LC65269:LC65471 WXO5:WXO11 WNS5:WNS11 WDW5:WDW11 VUA5:VUA11 VKE5:VKE11 VAI5:VAI11 UQM5:UQM11 UGQ5:UGQ11 TWU5:TWU11 TMY5:TMY11 TDC5:TDC11 STG5:STG11 SJK5:SJK11 RZO5:RZO11 RPS5:RPS11 RFW5:RFW11 QWA5:QWA11 QME5:QME11 QCI5:QCI11 PSM5:PSM11 PIQ5:PIQ11 OYU5:OYU11 OOY5:OOY11 OFC5:OFC11 NVG5:NVG11 NLK5:NLK11 NBO5:NBO11 MRS5:MRS11 MHW5:MHW11 LYA5:LYA11 LOE5:LOE11 LEI5:LEI11 KUM5:KUM11 KKQ5:KKQ11 KAU5:KAU11 JQY5:JQY11 JHC5:JHC11 IXG5:IXG11 INK5:INK11 IDO5:IDO11 HTS5:HTS11 HJW5:HJW11 HAA5:HAA11 GQE5:GQE11 GGI5:GGI11 FWM5:FWM11 FMQ5:FMQ11 FCU5:FCU11 ESY5:ESY11 EJC5:EJC11 DZG5:DZG11 DPK5:DPK11 DFO5:DFO11 CVS5:CVS11 CLW5:CLW11 CCA5:CCA11 BSE5:BSE11 BII5:BII11 AYM5:AYM11 AOQ5:AOQ11 AEU5:AEU11">
      <formula1>$E$12:$E$12</formula1>
    </dataValidation>
    <dataValidation type="whole" allowBlank="1" showInputMessage="1" showErrorMessage="1" sqref="BF65269:BF65475 LB65269:LB65475 UX65269:UX65475 AET65269:AET65475 AOP65269:AOP65475 AYL65269:AYL65475 BIH65269:BIH65475 BSD65269:BSD65475 CBZ65269:CBZ65475 CLV65269:CLV65475 CVR65269:CVR65475 DFN65269:DFN65475 DPJ65269:DPJ65475 DZF65269:DZF65475 EJB65269:EJB65475 ESX65269:ESX65475 FCT65269:FCT65475 FMP65269:FMP65475 FWL65269:FWL65475 GGH65269:GGH65475 GQD65269:GQD65475 GZZ65269:GZZ65475 HJV65269:HJV65475 HTR65269:HTR65475 IDN65269:IDN65475 INJ65269:INJ65475 IXF65269:IXF65475 JHB65269:JHB65475 JQX65269:JQX65475 KAT65269:KAT65475 KKP65269:KKP65475 KUL65269:KUL65475 LEH65269:LEH65475 LOD65269:LOD65475 LXZ65269:LXZ65475 MHV65269:MHV65475 MRR65269:MRR65475 NBN65269:NBN65475 NLJ65269:NLJ65475 NVF65269:NVF65475 OFB65269:OFB65475 OOX65269:OOX65475 OYT65269:OYT65475 PIP65269:PIP65475 PSL65269:PSL65475 QCH65269:QCH65475 QMD65269:QMD65475 QVZ65269:QVZ65475 RFV65269:RFV65475 RPR65269:RPR65475 RZN65269:RZN65475 SJJ65269:SJJ65475 STF65269:STF65475 TDB65269:TDB65475 TMX65269:TMX65475 TWT65269:TWT65475 UGP65269:UGP65475 UQL65269:UQL65475 VAH65269:VAH65475 VKD65269:VKD65475 VTZ65269:VTZ65475 WDV65269:WDV65475 WNR65269:WNR65475 WXN65269:WXN65475 BF130805:BF131011 LB130805:LB131011 UX130805:UX131011 AET130805:AET131011 AOP130805:AOP131011 AYL130805:AYL131011 BIH130805:BIH131011 BSD130805:BSD131011 CBZ130805:CBZ131011 CLV130805:CLV131011 CVR130805:CVR131011 DFN130805:DFN131011 DPJ130805:DPJ131011 DZF130805:DZF131011 EJB130805:EJB131011 ESX130805:ESX131011 FCT130805:FCT131011 FMP130805:FMP131011 FWL130805:FWL131011 GGH130805:GGH131011 GQD130805:GQD131011 GZZ130805:GZZ131011 HJV130805:HJV131011 HTR130805:HTR131011 IDN130805:IDN131011 INJ130805:INJ131011 IXF130805:IXF131011 JHB130805:JHB131011 JQX130805:JQX131011 KAT130805:KAT131011 KKP130805:KKP131011 KUL130805:KUL131011 LEH130805:LEH131011 LOD130805:LOD131011 LXZ130805:LXZ131011 MHV130805:MHV131011 MRR130805:MRR131011 NBN130805:NBN131011 NLJ130805:NLJ131011 NVF130805:NVF131011 OFB130805:OFB131011 OOX130805:OOX131011 OYT130805:OYT131011 PIP130805:PIP131011 PSL130805:PSL131011 QCH130805:QCH131011 QMD130805:QMD131011 QVZ130805:QVZ131011 RFV130805:RFV131011 RPR130805:RPR131011 RZN130805:RZN131011 SJJ130805:SJJ131011 STF130805:STF131011 TDB130805:TDB131011 TMX130805:TMX131011 TWT130805:TWT131011 UGP130805:UGP131011 UQL130805:UQL131011 VAH130805:VAH131011 VKD130805:VKD131011 VTZ130805:VTZ131011 WDV130805:WDV131011 WNR130805:WNR131011 WXN130805:WXN131011 BF196341:BF196547 LB196341:LB196547 UX196341:UX196547 AET196341:AET196547 AOP196341:AOP196547 AYL196341:AYL196547 BIH196341:BIH196547 BSD196341:BSD196547 CBZ196341:CBZ196547 CLV196341:CLV196547 CVR196341:CVR196547 DFN196341:DFN196547 DPJ196341:DPJ196547 DZF196341:DZF196547 EJB196341:EJB196547 ESX196341:ESX196547 FCT196341:FCT196547 FMP196341:FMP196547 FWL196341:FWL196547 GGH196341:GGH196547 GQD196341:GQD196547 GZZ196341:GZZ196547 HJV196341:HJV196547 HTR196341:HTR196547 IDN196341:IDN196547 INJ196341:INJ196547 IXF196341:IXF196547 JHB196341:JHB196547 JQX196341:JQX196547 KAT196341:KAT196547 KKP196341:KKP196547 KUL196341:KUL196547 LEH196341:LEH196547 LOD196341:LOD196547 LXZ196341:LXZ196547 MHV196341:MHV196547 MRR196341:MRR196547 NBN196341:NBN196547 NLJ196341:NLJ196547 NVF196341:NVF196547 OFB196341:OFB196547 OOX196341:OOX196547 OYT196341:OYT196547 PIP196341:PIP196547 PSL196341:PSL196547 QCH196341:QCH196547 QMD196341:QMD196547 QVZ196341:QVZ196547 RFV196341:RFV196547 RPR196341:RPR196547 RZN196341:RZN196547 SJJ196341:SJJ196547 STF196341:STF196547 TDB196341:TDB196547 TMX196341:TMX196547 TWT196341:TWT196547 UGP196341:UGP196547 UQL196341:UQL196547 VAH196341:VAH196547 VKD196341:VKD196547 VTZ196341:VTZ196547 WDV196341:WDV196547 WNR196341:WNR196547 WXN196341:WXN196547 BF261877:BF262083 LB261877:LB262083 UX261877:UX262083 AET261877:AET262083 AOP261877:AOP262083 AYL261877:AYL262083 BIH261877:BIH262083 BSD261877:BSD262083 CBZ261877:CBZ262083 CLV261877:CLV262083 CVR261877:CVR262083 DFN261877:DFN262083 DPJ261877:DPJ262083 DZF261877:DZF262083 EJB261877:EJB262083 ESX261877:ESX262083 FCT261877:FCT262083 FMP261877:FMP262083 FWL261877:FWL262083 GGH261877:GGH262083 GQD261877:GQD262083 GZZ261877:GZZ262083 HJV261877:HJV262083 HTR261877:HTR262083 IDN261877:IDN262083 INJ261877:INJ262083 IXF261877:IXF262083 JHB261877:JHB262083 JQX261877:JQX262083 KAT261877:KAT262083 KKP261877:KKP262083 KUL261877:KUL262083 LEH261877:LEH262083 LOD261877:LOD262083 LXZ261877:LXZ262083 MHV261877:MHV262083 MRR261877:MRR262083 NBN261877:NBN262083 NLJ261877:NLJ262083 NVF261877:NVF262083 OFB261877:OFB262083 OOX261877:OOX262083 OYT261877:OYT262083 PIP261877:PIP262083 PSL261877:PSL262083 QCH261877:QCH262083 QMD261877:QMD262083 QVZ261877:QVZ262083 RFV261877:RFV262083 RPR261877:RPR262083 RZN261877:RZN262083 SJJ261877:SJJ262083 STF261877:STF262083 TDB261877:TDB262083 TMX261877:TMX262083 TWT261877:TWT262083 UGP261877:UGP262083 UQL261877:UQL262083 VAH261877:VAH262083 VKD261877:VKD262083 VTZ261877:VTZ262083 WDV261877:WDV262083 WNR261877:WNR262083 WXN261877:WXN262083 BF327413:BF327619 LB327413:LB327619 UX327413:UX327619 AET327413:AET327619 AOP327413:AOP327619 AYL327413:AYL327619 BIH327413:BIH327619 BSD327413:BSD327619 CBZ327413:CBZ327619 CLV327413:CLV327619 CVR327413:CVR327619 DFN327413:DFN327619 DPJ327413:DPJ327619 DZF327413:DZF327619 EJB327413:EJB327619 ESX327413:ESX327619 FCT327413:FCT327619 FMP327413:FMP327619 FWL327413:FWL327619 GGH327413:GGH327619 GQD327413:GQD327619 GZZ327413:GZZ327619 HJV327413:HJV327619 HTR327413:HTR327619 IDN327413:IDN327619 INJ327413:INJ327619 IXF327413:IXF327619 JHB327413:JHB327619 JQX327413:JQX327619 KAT327413:KAT327619 KKP327413:KKP327619 KUL327413:KUL327619 LEH327413:LEH327619 LOD327413:LOD327619 LXZ327413:LXZ327619 MHV327413:MHV327619 MRR327413:MRR327619 NBN327413:NBN327619 NLJ327413:NLJ327619 NVF327413:NVF327619 OFB327413:OFB327619 OOX327413:OOX327619 OYT327413:OYT327619 PIP327413:PIP327619 PSL327413:PSL327619 QCH327413:QCH327619 QMD327413:QMD327619 QVZ327413:QVZ327619 RFV327413:RFV327619 RPR327413:RPR327619 RZN327413:RZN327619 SJJ327413:SJJ327619 STF327413:STF327619 TDB327413:TDB327619 TMX327413:TMX327619 TWT327413:TWT327619 UGP327413:UGP327619 UQL327413:UQL327619 VAH327413:VAH327619 VKD327413:VKD327619 VTZ327413:VTZ327619 WDV327413:WDV327619 WNR327413:WNR327619 WXN327413:WXN327619 BF392949:BF393155 LB392949:LB393155 UX392949:UX393155 AET392949:AET393155 AOP392949:AOP393155 AYL392949:AYL393155 BIH392949:BIH393155 BSD392949:BSD393155 CBZ392949:CBZ393155 CLV392949:CLV393155 CVR392949:CVR393155 DFN392949:DFN393155 DPJ392949:DPJ393155 DZF392949:DZF393155 EJB392949:EJB393155 ESX392949:ESX393155 FCT392949:FCT393155 FMP392949:FMP393155 FWL392949:FWL393155 GGH392949:GGH393155 GQD392949:GQD393155 GZZ392949:GZZ393155 HJV392949:HJV393155 HTR392949:HTR393155 IDN392949:IDN393155 INJ392949:INJ393155 IXF392949:IXF393155 JHB392949:JHB393155 JQX392949:JQX393155 KAT392949:KAT393155 KKP392949:KKP393155 KUL392949:KUL393155 LEH392949:LEH393155 LOD392949:LOD393155 LXZ392949:LXZ393155 MHV392949:MHV393155 MRR392949:MRR393155 NBN392949:NBN393155 NLJ392949:NLJ393155 NVF392949:NVF393155 OFB392949:OFB393155 OOX392949:OOX393155 OYT392949:OYT393155 PIP392949:PIP393155 PSL392949:PSL393155 QCH392949:QCH393155 QMD392949:QMD393155 QVZ392949:QVZ393155 RFV392949:RFV393155 RPR392949:RPR393155 RZN392949:RZN393155 SJJ392949:SJJ393155 STF392949:STF393155 TDB392949:TDB393155 TMX392949:TMX393155 TWT392949:TWT393155 UGP392949:UGP393155 UQL392949:UQL393155 VAH392949:VAH393155 VKD392949:VKD393155 VTZ392949:VTZ393155 WDV392949:WDV393155 WNR392949:WNR393155 WXN392949:WXN393155 BF458485:BF458691 LB458485:LB458691 UX458485:UX458691 AET458485:AET458691 AOP458485:AOP458691 AYL458485:AYL458691 BIH458485:BIH458691 BSD458485:BSD458691 CBZ458485:CBZ458691 CLV458485:CLV458691 CVR458485:CVR458691 DFN458485:DFN458691 DPJ458485:DPJ458691 DZF458485:DZF458691 EJB458485:EJB458691 ESX458485:ESX458691 FCT458485:FCT458691 FMP458485:FMP458691 FWL458485:FWL458691 GGH458485:GGH458691 GQD458485:GQD458691 GZZ458485:GZZ458691 HJV458485:HJV458691 HTR458485:HTR458691 IDN458485:IDN458691 INJ458485:INJ458691 IXF458485:IXF458691 JHB458485:JHB458691 JQX458485:JQX458691 KAT458485:KAT458691 KKP458485:KKP458691 KUL458485:KUL458691 LEH458485:LEH458691 LOD458485:LOD458691 LXZ458485:LXZ458691 MHV458485:MHV458691 MRR458485:MRR458691 NBN458485:NBN458691 NLJ458485:NLJ458691 NVF458485:NVF458691 OFB458485:OFB458691 OOX458485:OOX458691 OYT458485:OYT458691 PIP458485:PIP458691 PSL458485:PSL458691 QCH458485:QCH458691 QMD458485:QMD458691 QVZ458485:QVZ458691 RFV458485:RFV458691 RPR458485:RPR458691 RZN458485:RZN458691 SJJ458485:SJJ458691 STF458485:STF458691 TDB458485:TDB458691 TMX458485:TMX458691 TWT458485:TWT458691 UGP458485:UGP458691 UQL458485:UQL458691 VAH458485:VAH458691 VKD458485:VKD458691 VTZ458485:VTZ458691 WDV458485:WDV458691 WNR458485:WNR458691 WXN458485:WXN458691 BF524021:BF524227 LB524021:LB524227 UX524021:UX524227 AET524021:AET524227 AOP524021:AOP524227 AYL524021:AYL524227 BIH524021:BIH524227 BSD524021:BSD524227 CBZ524021:CBZ524227 CLV524021:CLV524227 CVR524021:CVR524227 DFN524021:DFN524227 DPJ524021:DPJ524227 DZF524021:DZF524227 EJB524021:EJB524227 ESX524021:ESX524227 FCT524021:FCT524227 FMP524021:FMP524227 FWL524021:FWL524227 GGH524021:GGH524227 GQD524021:GQD524227 GZZ524021:GZZ524227 HJV524021:HJV524227 HTR524021:HTR524227 IDN524021:IDN524227 INJ524021:INJ524227 IXF524021:IXF524227 JHB524021:JHB524227 JQX524021:JQX524227 KAT524021:KAT524227 KKP524021:KKP524227 KUL524021:KUL524227 LEH524021:LEH524227 LOD524021:LOD524227 LXZ524021:LXZ524227 MHV524021:MHV524227 MRR524021:MRR524227 NBN524021:NBN524227 NLJ524021:NLJ524227 NVF524021:NVF524227 OFB524021:OFB524227 OOX524021:OOX524227 OYT524021:OYT524227 PIP524021:PIP524227 PSL524021:PSL524227 QCH524021:QCH524227 QMD524021:QMD524227 QVZ524021:QVZ524227 RFV524021:RFV524227 RPR524021:RPR524227 RZN524021:RZN524227 SJJ524021:SJJ524227 STF524021:STF524227 TDB524021:TDB524227 TMX524021:TMX524227 TWT524021:TWT524227 UGP524021:UGP524227 UQL524021:UQL524227 VAH524021:VAH524227 VKD524021:VKD524227 VTZ524021:VTZ524227 WDV524021:WDV524227 WNR524021:WNR524227 WXN524021:WXN524227 BF589557:BF589763 LB589557:LB589763 UX589557:UX589763 AET589557:AET589763 AOP589557:AOP589763 AYL589557:AYL589763 BIH589557:BIH589763 BSD589557:BSD589763 CBZ589557:CBZ589763 CLV589557:CLV589763 CVR589557:CVR589763 DFN589557:DFN589763 DPJ589557:DPJ589763 DZF589557:DZF589763 EJB589557:EJB589763 ESX589557:ESX589763 FCT589557:FCT589763 FMP589557:FMP589763 FWL589557:FWL589763 GGH589557:GGH589763 GQD589557:GQD589763 GZZ589557:GZZ589763 HJV589557:HJV589763 HTR589557:HTR589763 IDN589557:IDN589763 INJ589557:INJ589763 IXF589557:IXF589763 JHB589557:JHB589763 JQX589557:JQX589763 KAT589557:KAT589763 KKP589557:KKP589763 KUL589557:KUL589763 LEH589557:LEH589763 LOD589557:LOD589763 LXZ589557:LXZ589763 MHV589557:MHV589763 MRR589557:MRR589763 NBN589557:NBN589763 NLJ589557:NLJ589763 NVF589557:NVF589763 OFB589557:OFB589763 OOX589557:OOX589763 OYT589557:OYT589763 PIP589557:PIP589763 PSL589557:PSL589763 QCH589557:QCH589763 QMD589557:QMD589763 QVZ589557:QVZ589763 RFV589557:RFV589763 RPR589557:RPR589763 RZN589557:RZN589763 SJJ589557:SJJ589763 STF589557:STF589763 TDB589557:TDB589763 TMX589557:TMX589763 TWT589557:TWT589763 UGP589557:UGP589763 UQL589557:UQL589763 VAH589557:VAH589763 VKD589557:VKD589763 VTZ589557:VTZ589763 WDV589557:WDV589763 WNR589557:WNR589763 WXN589557:WXN589763 BF655093:BF655299 LB655093:LB655299 UX655093:UX655299 AET655093:AET655299 AOP655093:AOP655299 AYL655093:AYL655299 BIH655093:BIH655299 BSD655093:BSD655299 CBZ655093:CBZ655299 CLV655093:CLV655299 CVR655093:CVR655299 DFN655093:DFN655299 DPJ655093:DPJ655299 DZF655093:DZF655299 EJB655093:EJB655299 ESX655093:ESX655299 FCT655093:FCT655299 FMP655093:FMP655299 FWL655093:FWL655299 GGH655093:GGH655299 GQD655093:GQD655299 GZZ655093:GZZ655299 HJV655093:HJV655299 HTR655093:HTR655299 IDN655093:IDN655299 INJ655093:INJ655299 IXF655093:IXF655299 JHB655093:JHB655299 JQX655093:JQX655299 KAT655093:KAT655299 KKP655093:KKP655299 KUL655093:KUL655299 LEH655093:LEH655299 LOD655093:LOD655299 LXZ655093:LXZ655299 MHV655093:MHV655299 MRR655093:MRR655299 NBN655093:NBN655299 NLJ655093:NLJ655299 NVF655093:NVF655299 OFB655093:OFB655299 OOX655093:OOX655299 OYT655093:OYT655299 PIP655093:PIP655299 PSL655093:PSL655299 QCH655093:QCH655299 QMD655093:QMD655299 QVZ655093:QVZ655299 RFV655093:RFV655299 RPR655093:RPR655299 RZN655093:RZN655299 SJJ655093:SJJ655299 STF655093:STF655299 TDB655093:TDB655299 TMX655093:TMX655299 TWT655093:TWT655299 UGP655093:UGP655299 UQL655093:UQL655299 VAH655093:VAH655299 VKD655093:VKD655299 VTZ655093:VTZ655299 WDV655093:WDV655299 WNR655093:WNR655299 WXN655093:WXN655299 BF720629:BF720835 LB720629:LB720835 UX720629:UX720835 AET720629:AET720835 AOP720629:AOP720835 AYL720629:AYL720835 BIH720629:BIH720835 BSD720629:BSD720835 CBZ720629:CBZ720835 CLV720629:CLV720835 CVR720629:CVR720835 DFN720629:DFN720835 DPJ720629:DPJ720835 DZF720629:DZF720835 EJB720629:EJB720835 ESX720629:ESX720835 FCT720629:FCT720835 FMP720629:FMP720835 FWL720629:FWL720835 GGH720629:GGH720835 GQD720629:GQD720835 GZZ720629:GZZ720835 HJV720629:HJV720835 HTR720629:HTR720835 IDN720629:IDN720835 INJ720629:INJ720835 IXF720629:IXF720835 JHB720629:JHB720835 JQX720629:JQX720835 KAT720629:KAT720835 KKP720629:KKP720835 KUL720629:KUL720835 LEH720629:LEH720835 LOD720629:LOD720835 LXZ720629:LXZ720835 MHV720629:MHV720835 MRR720629:MRR720835 NBN720629:NBN720835 NLJ720629:NLJ720835 NVF720629:NVF720835 OFB720629:OFB720835 OOX720629:OOX720835 OYT720629:OYT720835 PIP720629:PIP720835 PSL720629:PSL720835 QCH720629:QCH720835 QMD720629:QMD720835 QVZ720629:QVZ720835 RFV720629:RFV720835 RPR720629:RPR720835 RZN720629:RZN720835 SJJ720629:SJJ720835 STF720629:STF720835 TDB720629:TDB720835 TMX720629:TMX720835 TWT720629:TWT720835 UGP720629:UGP720835 UQL720629:UQL720835 VAH720629:VAH720835 VKD720629:VKD720835 VTZ720629:VTZ720835 WDV720629:WDV720835 WNR720629:WNR720835 WXN720629:WXN720835 BF786165:BF786371 LB786165:LB786371 UX786165:UX786371 AET786165:AET786371 AOP786165:AOP786371 AYL786165:AYL786371 BIH786165:BIH786371 BSD786165:BSD786371 CBZ786165:CBZ786371 CLV786165:CLV786371 CVR786165:CVR786371 DFN786165:DFN786371 DPJ786165:DPJ786371 DZF786165:DZF786371 EJB786165:EJB786371 ESX786165:ESX786371 FCT786165:FCT786371 FMP786165:FMP786371 FWL786165:FWL786371 GGH786165:GGH786371 GQD786165:GQD786371 GZZ786165:GZZ786371 HJV786165:HJV786371 HTR786165:HTR786371 IDN786165:IDN786371 INJ786165:INJ786371 IXF786165:IXF786371 JHB786165:JHB786371 JQX786165:JQX786371 KAT786165:KAT786371 KKP786165:KKP786371 KUL786165:KUL786371 LEH786165:LEH786371 LOD786165:LOD786371 LXZ786165:LXZ786371 MHV786165:MHV786371 MRR786165:MRR786371 NBN786165:NBN786371 NLJ786165:NLJ786371 NVF786165:NVF786371 OFB786165:OFB786371 OOX786165:OOX786371 OYT786165:OYT786371 PIP786165:PIP786371 PSL786165:PSL786371 QCH786165:QCH786371 QMD786165:QMD786371 QVZ786165:QVZ786371 RFV786165:RFV786371 RPR786165:RPR786371 RZN786165:RZN786371 SJJ786165:SJJ786371 STF786165:STF786371 TDB786165:TDB786371 TMX786165:TMX786371 TWT786165:TWT786371 UGP786165:UGP786371 UQL786165:UQL786371 VAH786165:VAH786371 VKD786165:VKD786371 VTZ786165:VTZ786371 WDV786165:WDV786371 WNR786165:WNR786371 WXN786165:WXN786371 BF851701:BF851907 LB851701:LB851907 UX851701:UX851907 AET851701:AET851907 AOP851701:AOP851907 AYL851701:AYL851907 BIH851701:BIH851907 BSD851701:BSD851907 CBZ851701:CBZ851907 CLV851701:CLV851907 CVR851701:CVR851907 DFN851701:DFN851907 DPJ851701:DPJ851907 DZF851701:DZF851907 EJB851701:EJB851907 ESX851701:ESX851907 FCT851701:FCT851907 FMP851701:FMP851907 FWL851701:FWL851907 GGH851701:GGH851907 GQD851701:GQD851907 GZZ851701:GZZ851907 HJV851701:HJV851907 HTR851701:HTR851907 IDN851701:IDN851907 INJ851701:INJ851907 IXF851701:IXF851907 JHB851701:JHB851907 JQX851701:JQX851907 KAT851701:KAT851907 KKP851701:KKP851907 KUL851701:KUL851907 LEH851701:LEH851907 LOD851701:LOD851907 LXZ851701:LXZ851907 MHV851701:MHV851907 MRR851701:MRR851907 NBN851701:NBN851907 NLJ851701:NLJ851907 NVF851701:NVF851907 OFB851701:OFB851907 OOX851701:OOX851907 OYT851701:OYT851907 PIP851701:PIP851907 PSL851701:PSL851907 QCH851701:QCH851907 QMD851701:QMD851907 QVZ851701:QVZ851907 RFV851701:RFV851907 RPR851701:RPR851907 RZN851701:RZN851907 SJJ851701:SJJ851907 STF851701:STF851907 TDB851701:TDB851907 TMX851701:TMX851907 TWT851701:TWT851907 UGP851701:UGP851907 UQL851701:UQL851907 VAH851701:VAH851907 VKD851701:VKD851907 VTZ851701:VTZ851907 WDV851701:WDV851907 WNR851701:WNR851907 WXN851701:WXN851907 BF917237:BF917443 LB917237:LB917443 UX917237:UX917443 AET917237:AET917443 AOP917237:AOP917443 AYL917237:AYL917443 BIH917237:BIH917443 BSD917237:BSD917443 CBZ917237:CBZ917443 CLV917237:CLV917443 CVR917237:CVR917443 DFN917237:DFN917443 DPJ917237:DPJ917443 DZF917237:DZF917443 EJB917237:EJB917443 ESX917237:ESX917443 FCT917237:FCT917443 FMP917237:FMP917443 FWL917237:FWL917443 GGH917237:GGH917443 GQD917237:GQD917443 GZZ917237:GZZ917443 HJV917237:HJV917443 HTR917237:HTR917443 IDN917237:IDN917443 INJ917237:INJ917443 IXF917237:IXF917443 JHB917237:JHB917443 JQX917237:JQX917443 KAT917237:KAT917443 KKP917237:KKP917443 KUL917237:KUL917443 LEH917237:LEH917443 LOD917237:LOD917443 LXZ917237:LXZ917443 MHV917237:MHV917443 MRR917237:MRR917443 NBN917237:NBN917443 NLJ917237:NLJ917443 NVF917237:NVF917443 OFB917237:OFB917443 OOX917237:OOX917443 OYT917237:OYT917443 PIP917237:PIP917443 PSL917237:PSL917443 QCH917237:QCH917443 QMD917237:QMD917443 QVZ917237:QVZ917443 RFV917237:RFV917443 RPR917237:RPR917443 RZN917237:RZN917443 SJJ917237:SJJ917443 STF917237:STF917443 TDB917237:TDB917443 TMX917237:TMX917443 TWT917237:TWT917443 UGP917237:UGP917443 UQL917237:UQL917443 VAH917237:VAH917443 VKD917237:VKD917443 VTZ917237:VTZ917443 WDV917237:WDV917443 WNR917237:WNR917443 WXN917237:WXN917443 BF982773:BF982979 LB982773:LB982979 UX982773:UX982979 AET982773:AET982979 AOP982773:AOP982979 AYL982773:AYL982979 BIH982773:BIH982979 BSD982773:BSD982979 CBZ982773:CBZ982979 CLV982773:CLV982979 CVR982773:CVR982979 DFN982773:DFN982979 DPJ982773:DPJ982979 DZF982773:DZF982979 EJB982773:EJB982979 ESX982773:ESX982979 FCT982773:FCT982979 FMP982773:FMP982979 FWL982773:FWL982979 GGH982773:GGH982979 GQD982773:GQD982979 GZZ982773:GZZ982979 HJV982773:HJV982979 HTR982773:HTR982979 IDN982773:IDN982979 INJ982773:INJ982979 IXF982773:IXF982979 JHB982773:JHB982979 JQX982773:JQX982979 KAT982773:KAT982979 KKP982773:KKP982979 KUL982773:KUL982979 LEH982773:LEH982979 LOD982773:LOD982979 LXZ982773:LXZ982979 MHV982773:MHV982979 MRR982773:MRR982979 NBN982773:NBN982979 NLJ982773:NLJ982979 NVF982773:NVF982979 OFB982773:OFB982979 OOX982773:OOX982979 OYT982773:OYT982979 PIP982773:PIP982979 PSL982773:PSL982979 QCH982773:QCH982979 QMD982773:QMD982979 QVZ982773:QVZ982979 RFV982773:RFV982979 RPR982773:RPR982979 RZN982773:RZN982979 SJJ982773:SJJ982979 STF982773:STF982979 TDB982773:TDB982979 TMX982773:TMX982979 TWT982773:TWT982979 UGP982773:UGP982979 UQL982773:UQL982979 VAH982773:VAH982979 VKD982773:VKD982979 VTZ982773:VTZ982979 WDV982773:WDV982979 WNR982773:WNR982979 WXN982773:WXN982979 WXN5:WXN11 LB5:LB11 UX5:UX11 AET5:AET11 AOP5:AOP11 AYL5:AYL11 BIH5:BIH11 BSD5:BSD11 CBZ5:CBZ11 CLV5:CLV11 CVR5:CVR11 DFN5:DFN11 DPJ5:DPJ11 DZF5:DZF11 EJB5:EJB11 ESX5:ESX11 FCT5:FCT11 FMP5:FMP11 FWL5:FWL11 GGH5:GGH11 GQD5:GQD11 GZZ5:GZZ11 HJV5:HJV11 HTR5:HTR11 IDN5:IDN11 INJ5:INJ11 IXF5:IXF11 JHB5:JHB11 JQX5:JQX11 KAT5:KAT11 KKP5:KKP11 KUL5:KUL11 LEH5:LEH11 LOD5:LOD11 LXZ5:LXZ11 MHV5:MHV11 MRR5:MRR11 NBN5:NBN11 NLJ5:NLJ11 NVF5:NVF11 OFB5:OFB11 OOX5:OOX11 OYT5:OYT11 PIP5:PIP11 PSL5:PSL11 QCH5:QCH11 QMD5:QMD11 QVZ5:QVZ11 RFV5:RFV11 RPR5:RPR11 RZN5:RZN11 SJJ5:SJJ11 STF5:STF11 TDB5:TDB11 TMX5:TMX11 TWT5:TWT11 UGP5:UGP11 UQL5:UQL11 VAH5:VAH11 VKD5:VKD11 VTZ5:VTZ11 WDV5:WDV11 WNR5:WNR11">
      <formula1>0</formula1>
      <formula2>1000000000</formula2>
    </dataValidation>
    <dataValidation type="whole" allowBlank="1" showInputMessage="1" showErrorMessage="1" sqref="BM65269:BM65475 LF65269:LF65475 VB65269:VB65475 AEX65269:AEX65475 AOT65269:AOT65475 AYP65269:AYP65475 BIL65269:BIL65475 BSH65269:BSH65475 CCD65269:CCD65475 CLZ65269:CLZ65475 CVV65269:CVV65475 DFR65269:DFR65475 DPN65269:DPN65475 DZJ65269:DZJ65475 EJF65269:EJF65475 ETB65269:ETB65475 FCX65269:FCX65475 FMT65269:FMT65475 FWP65269:FWP65475 GGL65269:GGL65475 GQH65269:GQH65475 HAD65269:HAD65475 HJZ65269:HJZ65475 HTV65269:HTV65475 IDR65269:IDR65475 INN65269:INN65475 IXJ65269:IXJ65475 JHF65269:JHF65475 JRB65269:JRB65475 KAX65269:KAX65475 KKT65269:KKT65475 KUP65269:KUP65475 LEL65269:LEL65475 LOH65269:LOH65475 LYD65269:LYD65475 MHZ65269:MHZ65475 MRV65269:MRV65475 NBR65269:NBR65475 NLN65269:NLN65475 NVJ65269:NVJ65475 OFF65269:OFF65475 OPB65269:OPB65475 OYX65269:OYX65475 PIT65269:PIT65475 PSP65269:PSP65475 QCL65269:QCL65475 QMH65269:QMH65475 QWD65269:QWD65475 RFZ65269:RFZ65475 RPV65269:RPV65475 RZR65269:RZR65475 SJN65269:SJN65475 STJ65269:STJ65475 TDF65269:TDF65475 TNB65269:TNB65475 TWX65269:TWX65475 UGT65269:UGT65475 UQP65269:UQP65475 VAL65269:VAL65475 VKH65269:VKH65475 VUD65269:VUD65475 WDZ65269:WDZ65475 WNV65269:WNV65475 WXR65269:WXR65475 BM130805:BM131011 LF130805:LF131011 VB130805:VB131011 AEX130805:AEX131011 AOT130805:AOT131011 AYP130805:AYP131011 BIL130805:BIL131011 BSH130805:BSH131011 CCD130805:CCD131011 CLZ130805:CLZ131011 CVV130805:CVV131011 DFR130805:DFR131011 DPN130805:DPN131011 DZJ130805:DZJ131011 EJF130805:EJF131011 ETB130805:ETB131011 FCX130805:FCX131011 FMT130805:FMT131011 FWP130805:FWP131011 GGL130805:GGL131011 GQH130805:GQH131011 HAD130805:HAD131011 HJZ130805:HJZ131011 HTV130805:HTV131011 IDR130805:IDR131011 INN130805:INN131011 IXJ130805:IXJ131011 JHF130805:JHF131011 JRB130805:JRB131011 KAX130805:KAX131011 KKT130805:KKT131011 KUP130805:KUP131011 LEL130805:LEL131011 LOH130805:LOH131011 LYD130805:LYD131011 MHZ130805:MHZ131011 MRV130805:MRV131011 NBR130805:NBR131011 NLN130805:NLN131011 NVJ130805:NVJ131011 OFF130805:OFF131011 OPB130805:OPB131011 OYX130805:OYX131011 PIT130805:PIT131011 PSP130805:PSP131011 QCL130805:QCL131011 QMH130805:QMH131011 QWD130805:QWD131011 RFZ130805:RFZ131011 RPV130805:RPV131011 RZR130805:RZR131011 SJN130805:SJN131011 STJ130805:STJ131011 TDF130805:TDF131011 TNB130805:TNB131011 TWX130805:TWX131011 UGT130805:UGT131011 UQP130805:UQP131011 VAL130805:VAL131011 VKH130805:VKH131011 VUD130805:VUD131011 WDZ130805:WDZ131011 WNV130805:WNV131011 WXR130805:WXR131011 BM196341:BM196547 LF196341:LF196547 VB196341:VB196547 AEX196341:AEX196547 AOT196341:AOT196547 AYP196341:AYP196547 BIL196341:BIL196547 BSH196341:BSH196547 CCD196341:CCD196547 CLZ196341:CLZ196547 CVV196341:CVV196547 DFR196341:DFR196547 DPN196341:DPN196547 DZJ196341:DZJ196547 EJF196341:EJF196547 ETB196341:ETB196547 FCX196341:FCX196547 FMT196341:FMT196547 FWP196341:FWP196547 GGL196341:GGL196547 GQH196341:GQH196547 HAD196341:HAD196547 HJZ196341:HJZ196547 HTV196341:HTV196547 IDR196341:IDR196547 INN196341:INN196547 IXJ196341:IXJ196547 JHF196341:JHF196547 JRB196341:JRB196547 KAX196341:KAX196547 KKT196341:KKT196547 KUP196341:KUP196547 LEL196341:LEL196547 LOH196341:LOH196547 LYD196341:LYD196547 MHZ196341:MHZ196547 MRV196341:MRV196547 NBR196341:NBR196547 NLN196341:NLN196547 NVJ196341:NVJ196547 OFF196341:OFF196547 OPB196341:OPB196547 OYX196341:OYX196547 PIT196341:PIT196547 PSP196341:PSP196547 QCL196341:QCL196547 QMH196341:QMH196547 QWD196341:QWD196547 RFZ196341:RFZ196547 RPV196341:RPV196547 RZR196341:RZR196547 SJN196341:SJN196547 STJ196341:STJ196547 TDF196341:TDF196547 TNB196341:TNB196547 TWX196341:TWX196547 UGT196341:UGT196547 UQP196341:UQP196547 VAL196341:VAL196547 VKH196341:VKH196547 VUD196341:VUD196547 WDZ196341:WDZ196547 WNV196341:WNV196547 WXR196341:WXR196547 BM261877:BM262083 LF261877:LF262083 VB261877:VB262083 AEX261877:AEX262083 AOT261877:AOT262083 AYP261877:AYP262083 BIL261877:BIL262083 BSH261877:BSH262083 CCD261877:CCD262083 CLZ261877:CLZ262083 CVV261877:CVV262083 DFR261877:DFR262083 DPN261877:DPN262083 DZJ261877:DZJ262083 EJF261877:EJF262083 ETB261877:ETB262083 FCX261877:FCX262083 FMT261877:FMT262083 FWP261877:FWP262083 GGL261877:GGL262083 GQH261877:GQH262083 HAD261877:HAD262083 HJZ261877:HJZ262083 HTV261877:HTV262083 IDR261877:IDR262083 INN261877:INN262083 IXJ261877:IXJ262083 JHF261877:JHF262083 JRB261877:JRB262083 KAX261877:KAX262083 KKT261877:KKT262083 KUP261877:KUP262083 LEL261877:LEL262083 LOH261877:LOH262083 LYD261877:LYD262083 MHZ261877:MHZ262083 MRV261877:MRV262083 NBR261877:NBR262083 NLN261877:NLN262083 NVJ261877:NVJ262083 OFF261877:OFF262083 OPB261877:OPB262083 OYX261877:OYX262083 PIT261877:PIT262083 PSP261877:PSP262083 QCL261877:QCL262083 QMH261877:QMH262083 QWD261877:QWD262083 RFZ261877:RFZ262083 RPV261877:RPV262083 RZR261877:RZR262083 SJN261877:SJN262083 STJ261877:STJ262083 TDF261877:TDF262083 TNB261877:TNB262083 TWX261877:TWX262083 UGT261877:UGT262083 UQP261877:UQP262083 VAL261877:VAL262083 VKH261877:VKH262083 VUD261877:VUD262083 WDZ261877:WDZ262083 WNV261877:WNV262083 WXR261877:WXR262083 BM327413:BM327619 LF327413:LF327619 VB327413:VB327619 AEX327413:AEX327619 AOT327413:AOT327619 AYP327413:AYP327619 BIL327413:BIL327619 BSH327413:BSH327619 CCD327413:CCD327619 CLZ327413:CLZ327619 CVV327413:CVV327619 DFR327413:DFR327619 DPN327413:DPN327619 DZJ327413:DZJ327619 EJF327413:EJF327619 ETB327413:ETB327619 FCX327413:FCX327619 FMT327413:FMT327619 FWP327413:FWP327619 GGL327413:GGL327619 GQH327413:GQH327619 HAD327413:HAD327619 HJZ327413:HJZ327619 HTV327413:HTV327619 IDR327413:IDR327619 INN327413:INN327619 IXJ327413:IXJ327619 JHF327413:JHF327619 JRB327413:JRB327619 KAX327413:KAX327619 KKT327413:KKT327619 KUP327413:KUP327619 LEL327413:LEL327619 LOH327413:LOH327619 LYD327413:LYD327619 MHZ327413:MHZ327619 MRV327413:MRV327619 NBR327413:NBR327619 NLN327413:NLN327619 NVJ327413:NVJ327619 OFF327413:OFF327619 OPB327413:OPB327619 OYX327413:OYX327619 PIT327413:PIT327619 PSP327413:PSP327619 QCL327413:QCL327619 QMH327413:QMH327619 QWD327413:QWD327619 RFZ327413:RFZ327619 RPV327413:RPV327619 RZR327413:RZR327619 SJN327413:SJN327619 STJ327413:STJ327619 TDF327413:TDF327619 TNB327413:TNB327619 TWX327413:TWX327619 UGT327413:UGT327619 UQP327413:UQP327619 VAL327413:VAL327619 VKH327413:VKH327619 VUD327413:VUD327619 WDZ327413:WDZ327619 WNV327413:WNV327619 WXR327413:WXR327619 BM392949:BM393155 LF392949:LF393155 VB392949:VB393155 AEX392949:AEX393155 AOT392949:AOT393155 AYP392949:AYP393155 BIL392949:BIL393155 BSH392949:BSH393155 CCD392949:CCD393155 CLZ392949:CLZ393155 CVV392949:CVV393155 DFR392949:DFR393155 DPN392949:DPN393155 DZJ392949:DZJ393155 EJF392949:EJF393155 ETB392949:ETB393155 FCX392949:FCX393155 FMT392949:FMT393155 FWP392949:FWP393155 GGL392949:GGL393155 GQH392949:GQH393155 HAD392949:HAD393155 HJZ392949:HJZ393155 HTV392949:HTV393155 IDR392949:IDR393155 INN392949:INN393155 IXJ392949:IXJ393155 JHF392949:JHF393155 JRB392949:JRB393155 KAX392949:KAX393155 KKT392949:KKT393155 KUP392949:KUP393155 LEL392949:LEL393155 LOH392949:LOH393155 LYD392949:LYD393155 MHZ392949:MHZ393155 MRV392949:MRV393155 NBR392949:NBR393155 NLN392949:NLN393155 NVJ392949:NVJ393155 OFF392949:OFF393155 OPB392949:OPB393155 OYX392949:OYX393155 PIT392949:PIT393155 PSP392949:PSP393155 QCL392949:QCL393155 QMH392949:QMH393155 QWD392949:QWD393155 RFZ392949:RFZ393155 RPV392949:RPV393155 RZR392949:RZR393155 SJN392949:SJN393155 STJ392949:STJ393155 TDF392949:TDF393155 TNB392949:TNB393155 TWX392949:TWX393155 UGT392949:UGT393155 UQP392949:UQP393155 VAL392949:VAL393155 VKH392949:VKH393155 VUD392949:VUD393155 WDZ392949:WDZ393155 WNV392949:WNV393155 WXR392949:WXR393155 BM458485:BM458691 LF458485:LF458691 VB458485:VB458691 AEX458485:AEX458691 AOT458485:AOT458691 AYP458485:AYP458691 BIL458485:BIL458691 BSH458485:BSH458691 CCD458485:CCD458691 CLZ458485:CLZ458691 CVV458485:CVV458691 DFR458485:DFR458691 DPN458485:DPN458691 DZJ458485:DZJ458691 EJF458485:EJF458691 ETB458485:ETB458691 FCX458485:FCX458691 FMT458485:FMT458691 FWP458485:FWP458691 GGL458485:GGL458691 GQH458485:GQH458691 HAD458485:HAD458691 HJZ458485:HJZ458691 HTV458485:HTV458691 IDR458485:IDR458691 INN458485:INN458691 IXJ458485:IXJ458691 JHF458485:JHF458691 JRB458485:JRB458691 KAX458485:KAX458691 KKT458485:KKT458691 KUP458485:KUP458691 LEL458485:LEL458691 LOH458485:LOH458691 LYD458485:LYD458691 MHZ458485:MHZ458691 MRV458485:MRV458691 NBR458485:NBR458691 NLN458485:NLN458691 NVJ458485:NVJ458691 OFF458485:OFF458691 OPB458485:OPB458691 OYX458485:OYX458691 PIT458485:PIT458691 PSP458485:PSP458691 QCL458485:QCL458691 QMH458485:QMH458691 QWD458485:QWD458691 RFZ458485:RFZ458691 RPV458485:RPV458691 RZR458485:RZR458691 SJN458485:SJN458691 STJ458485:STJ458691 TDF458485:TDF458691 TNB458485:TNB458691 TWX458485:TWX458691 UGT458485:UGT458691 UQP458485:UQP458691 VAL458485:VAL458691 VKH458485:VKH458691 VUD458485:VUD458691 WDZ458485:WDZ458691 WNV458485:WNV458691 WXR458485:WXR458691 BM524021:BM524227 LF524021:LF524227 VB524021:VB524227 AEX524021:AEX524227 AOT524021:AOT524227 AYP524021:AYP524227 BIL524021:BIL524227 BSH524021:BSH524227 CCD524021:CCD524227 CLZ524021:CLZ524227 CVV524021:CVV524227 DFR524021:DFR524227 DPN524021:DPN524227 DZJ524021:DZJ524227 EJF524021:EJF524227 ETB524021:ETB524227 FCX524021:FCX524227 FMT524021:FMT524227 FWP524021:FWP524227 GGL524021:GGL524227 GQH524021:GQH524227 HAD524021:HAD524227 HJZ524021:HJZ524227 HTV524021:HTV524227 IDR524021:IDR524227 INN524021:INN524227 IXJ524021:IXJ524227 JHF524021:JHF524227 JRB524021:JRB524227 KAX524021:KAX524227 KKT524021:KKT524227 KUP524021:KUP524227 LEL524021:LEL524227 LOH524021:LOH524227 LYD524021:LYD524227 MHZ524021:MHZ524227 MRV524021:MRV524227 NBR524021:NBR524227 NLN524021:NLN524227 NVJ524021:NVJ524227 OFF524021:OFF524227 OPB524021:OPB524227 OYX524021:OYX524227 PIT524021:PIT524227 PSP524021:PSP524227 QCL524021:QCL524227 QMH524021:QMH524227 QWD524021:QWD524227 RFZ524021:RFZ524227 RPV524021:RPV524227 RZR524021:RZR524227 SJN524021:SJN524227 STJ524021:STJ524227 TDF524021:TDF524227 TNB524021:TNB524227 TWX524021:TWX524227 UGT524021:UGT524227 UQP524021:UQP524227 VAL524021:VAL524227 VKH524021:VKH524227 VUD524021:VUD524227 WDZ524021:WDZ524227 WNV524021:WNV524227 WXR524021:WXR524227 BM589557:BM589763 LF589557:LF589763 VB589557:VB589763 AEX589557:AEX589763 AOT589557:AOT589763 AYP589557:AYP589763 BIL589557:BIL589763 BSH589557:BSH589763 CCD589557:CCD589763 CLZ589557:CLZ589763 CVV589557:CVV589763 DFR589557:DFR589763 DPN589557:DPN589763 DZJ589557:DZJ589763 EJF589557:EJF589763 ETB589557:ETB589763 FCX589557:FCX589763 FMT589557:FMT589763 FWP589557:FWP589763 GGL589557:GGL589763 GQH589557:GQH589763 HAD589557:HAD589763 HJZ589557:HJZ589763 HTV589557:HTV589763 IDR589557:IDR589763 INN589557:INN589763 IXJ589557:IXJ589763 JHF589557:JHF589763 JRB589557:JRB589763 KAX589557:KAX589763 KKT589557:KKT589763 KUP589557:KUP589763 LEL589557:LEL589763 LOH589557:LOH589763 LYD589557:LYD589763 MHZ589557:MHZ589763 MRV589557:MRV589763 NBR589557:NBR589763 NLN589557:NLN589763 NVJ589557:NVJ589763 OFF589557:OFF589763 OPB589557:OPB589763 OYX589557:OYX589763 PIT589557:PIT589763 PSP589557:PSP589763 QCL589557:QCL589763 QMH589557:QMH589763 QWD589557:QWD589763 RFZ589557:RFZ589763 RPV589557:RPV589763 RZR589557:RZR589763 SJN589557:SJN589763 STJ589557:STJ589763 TDF589557:TDF589763 TNB589557:TNB589763 TWX589557:TWX589763 UGT589557:UGT589763 UQP589557:UQP589763 VAL589557:VAL589763 VKH589557:VKH589763 VUD589557:VUD589763 WDZ589557:WDZ589763 WNV589557:WNV589763 WXR589557:WXR589763 BM655093:BM655299 LF655093:LF655299 VB655093:VB655299 AEX655093:AEX655299 AOT655093:AOT655299 AYP655093:AYP655299 BIL655093:BIL655299 BSH655093:BSH655299 CCD655093:CCD655299 CLZ655093:CLZ655299 CVV655093:CVV655299 DFR655093:DFR655299 DPN655093:DPN655299 DZJ655093:DZJ655299 EJF655093:EJF655299 ETB655093:ETB655299 FCX655093:FCX655299 FMT655093:FMT655299 FWP655093:FWP655299 GGL655093:GGL655299 GQH655093:GQH655299 HAD655093:HAD655299 HJZ655093:HJZ655299 HTV655093:HTV655299 IDR655093:IDR655299 INN655093:INN655299 IXJ655093:IXJ655299 JHF655093:JHF655299 JRB655093:JRB655299 KAX655093:KAX655299 KKT655093:KKT655299 KUP655093:KUP655299 LEL655093:LEL655299 LOH655093:LOH655299 LYD655093:LYD655299 MHZ655093:MHZ655299 MRV655093:MRV655299 NBR655093:NBR655299 NLN655093:NLN655299 NVJ655093:NVJ655299 OFF655093:OFF655299 OPB655093:OPB655299 OYX655093:OYX655299 PIT655093:PIT655299 PSP655093:PSP655299 QCL655093:QCL655299 QMH655093:QMH655299 QWD655093:QWD655299 RFZ655093:RFZ655299 RPV655093:RPV655299 RZR655093:RZR655299 SJN655093:SJN655299 STJ655093:STJ655299 TDF655093:TDF655299 TNB655093:TNB655299 TWX655093:TWX655299 UGT655093:UGT655299 UQP655093:UQP655299 VAL655093:VAL655299 VKH655093:VKH655299 VUD655093:VUD655299 WDZ655093:WDZ655299 WNV655093:WNV655299 WXR655093:WXR655299 BM720629:BM720835 LF720629:LF720835 VB720629:VB720835 AEX720629:AEX720835 AOT720629:AOT720835 AYP720629:AYP720835 BIL720629:BIL720835 BSH720629:BSH720835 CCD720629:CCD720835 CLZ720629:CLZ720835 CVV720629:CVV720835 DFR720629:DFR720835 DPN720629:DPN720835 DZJ720629:DZJ720835 EJF720629:EJF720835 ETB720629:ETB720835 FCX720629:FCX720835 FMT720629:FMT720835 FWP720629:FWP720835 GGL720629:GGL720835 GQH720629:GQH720835 HAD720629:HAD720835 HJZ720629:HJZ720835 HTV720629:HTV720835 IDR720629:IDR720835 INN720629:INN720835 IXJ720629:IXJ720835 JHF720629:JHF720835 JRB720629:JRB720835 KAX720629:KAX720835 KKT720629:KKT720835 KUP720629:KUP720835 LEL720629:LEL720835 LOH720629:LOH720835 LYD720629:LYD720835 MHZ720629:MHZ720835 MRV720629:MRV720835 NBR720629:NBR720835 NLN720629:NLN720835 NVJ720629:NVJ720835 OFF720629:OFF720835 OPB720629:OPB720835 OYX720629:OYX720835 PIT720629:PIT720835 PSP720629:PSP720835 QCL720629:QCL720835 QMH720629:QMH720835 QWD720629:QWD720835 RFZ720629:RFZ720835 RPV720629:RPV720835 RZR720629:RZR720835 SJN720629:SJN720835 STJ720629:STJ720835 TDF720629:TDF720835 TNB720629:TNB720835 TWX720629:TWX720835 UGT720629:UGT720835 UQP720629:UQP720835 VAL720629:VAL720835 VKH720629:VKH720835 VUD720629:VUD720835 WDZ720629:WDZ720835 WNV720629:WNV720835 WXR720629:WXR720835 BM786165:BM786371 LF786165:LF786371 VB786165:VB786371 AEX786165:AEX786371 AOT786165:AOT786371 AYP786165:AYP786371 BIL786165:BIL786371 BSH786165:BSH786371 CCD786165:CCD786371 CLZ786165:CLZ786371 CVV786165:CVV786371 DFR786165:DFR786371 DPN786165:DPN786371 DZJ786165:DZJ786371 EJF786165:EJF786371 ETB786165:ETB786371 FCX786165:FCX786371 FMT786165:FMT786371 FWP786165:FWP786371 GGL786165:GGL786371 GQH786165:GQH786371 HAD786165:HAD786371 HJZ786165:HJZ786371 HTV786165:HTV786371 IDR786165:IDR786371 INN786165:INN786371 IXJ786165:IXJ786371 JHF786165:JHF786371 JRB786165:JRB786371 KAX786165:KAX786371 KKT786165:KKT786371 KUP786165:KUP786371 LEL786165:LEL786371 LOH786165:LOH786371 LYD786165:LYD786371 MHZ786165:MHZ786371 MRV786165:MRV786371 NBR786165:NBR786371 NLN786165:NLN786371 NVJ786165:NVJ786371 OFF786165:OFF786371 OPB786165:OPB786371 OYX786165:OYX786371 PIT786165:PIT786371 PSP786165:PSP786371 QCL786165:QCL786371 QMH786165:QMH786371 QWD786165:QWD786371 RFZ786165:RFZ786371 RPV786165:RPV786371 RZR786165:RZR786371 SJN786165:SJN786371 STJ786165:STJ786371 TDF786165:TDF786371 TNB786165:TNB786371 TWX786165:TWX786371 UGT786165:UGT786371 UQP786165:UQP786371 VAL786165:VAL786371 VKH786165:VKH786371 VUD786165:VUD786371 WDZ786165:WDZ786371 WNV786165:WNV786371 WXR786165:WXR786371 BM851701:BM851907 LF851701:LF851907 VB851701:VB851907 AEX851701:AEX851907 AOT851701:AOT851907 AYP851701:AYP851907 BIL851701:BIL851907 BSH851701:BSH851907 CCD851701:CCD851907 CLZ851701:CLZ851907 CVV851701:CVV851907 DFR851701:DFR851907 DPN851701:DPN851907 DZJ851701:DZJ851907 EJF851701:EJF851907 ETB851701:ETB851907 FCX851701:FCX851907 FMT851701:FMT851907 FWP851701:FWP851907 GGL851701:GGL851907 GQH851701:GQH851907 HAD851701:HAD851907 HJZ851701:HJZ851907 HTV851701:HTV851907 IDR851701:IDR851907 INN851701:INN851907 IXJ851701:IXJ851907 JHF851701:JHF851907 JRB851701:JRB851907 KAX851701:KAX851907 KKT851701:KKT851907 KUP851701:KUP851907 LEL851701:LEL851907 LOH851701:LOH851907 LYD851701:LYD851907 MHZ851701:MHZ851907 MRV851701:MRV851907 NBR851701:NBR851907 NLN851701:NLN851907 NVJ851701:NVJ851907 OFF851701:OFF851907 OPB851701:OPB851907 OYX851701:OYX851907 PIT851701:PIT851907 PSP851701:PSP851907 QCL851701:QCL851907 QMH851701:QMH851907 QWD851701:QWD851907 RFZ851701:RFZ851907 RPV851701:RPV851907 RZR851701:RZR851907 SJN851701:SJN851907 STJ851701:STJ851907 TDF851701:TDF851907 TNB851701:TNB851907 TWX851701:TWX851907 UGT851701:UGT851907 UQP851701:UQP851907 VAL851701:VAL851907 VKH851701:VKH851907 VUD851701:VUD851907 WDZ851701:WDZ851907 WNV851701:WNV851907 WXR851701:WXR851907 BM917237:BM917443 LF917237:LF917443 VB917237:VB917443 AEX917237:AEX917443 AOT917237:AOT917443 AYP917237:AYP917443 BIL917237:BIL917443 BSH917237:BSH917443 CCD917237:CCD917443 CLZ917237:CLZ917443 CVV917237:CVV917443 DFR917237:DFR917443 DPN917237:DPN917443 DZJ917237:DZJ917443 EJF917237:EJF917443 ETB917237:ETB917443 FCX917237:FCX917443 FMT917237:FMT917443 FWP917237:FWP917443 GGL917237:GGL917443 GQH917237:GQH917443 HAD917237:HAD917443 HJZ917237:HJZ917443 HTV917237:HTV917443 IDR917237:IDR917443 INN917237:INN917443 IXJ917237:IXJ917443 JHF917237:JHF917443 JRB917237:JRB917443 KAX917237:KAX917443 KKT917237:KKT917443 KUP917237:KUP917443 LEL917237:LEL917443 LOH917237:LOH917443 LYD917237:LYD917443 MHZ917237:MHZ917443 MRV917237:MRV917443 NBR917237:NBR917443 NLN917237:NLN917443 NVJ917237:NVJ917443 OFF917237:OFF917443 OPB917237:OPB917443 OYX917237:OYX917443 PIT917237:PIT917443 PSP917237:PSP917443 QCL917237:QCL917443 QMH917237:QMH917443 QWD917237:QWD917443 RFZ917237:RFZ917443 RPV917237:RPV917443 RZR917237:RZR917443 SJN917237:SJN917443 STJ917237:STJ917443 TDF917237:TDF917443 TNB917237:TNB917443 TWX917237:TWX917443 UGT917237:UGT917443 UQP917237:UQP917443 VAL917237:VAL917443 VKH917237:VKH917443 VUD917237:VUD917443 WDZ917237:WDZ917443 WNV917237:WNV917443 WXR917237:WXR917443 BM982773:BM982979 LF982773:LF982979 VB982773:VB982979 AEX982773:AEX982979 AOT982773:AOT982979 AYP982773:AYP982979 BIL982773:BIL982979 BSH982773:BSH982979 CCD982773:CCD982979 CLZ982773:CLZ982979 CVV982773:CVV982979 DFR982773:DFR982979 DPN982773:DPN982979 DZJ982773:DZJ982979 EJF982773:EJF982979 ETB982773:ETB982979 FCX982773:FCX982979 FMT982773:FMT982979 FWP982773:FWP982979 GGL982773:GGL982979 GQH982773:GQH982979 HAD982773:HAD982979 HJZ982773:HJZ982979 HTV982773:HTV982979 IDR982773:IDR982979 INN982773:INN982979 IXJ982773:IXJ982979 JHF982773:JHF982979 JRB982773:JRB982979 KAX982773:KAX982979 KKT982773:KKT982979 KUP982773:KUP982979 LEL982773:LEL982979 LOH982773:LOH982979 LYD982773:LYD982979 MHZ982773:MHZ982979 MRV982773:MRV982979 NBR982773:NBR982979 NLN982773:NLN982979 NVJ982773:NVJ982979 OFF982773:OFF982979 OPB982773:OPB982979 OYX982773:OYX982979 PIT982773:PIT982979 PSP982773:PSP982979 QCL982773:QCL982979 QMH982773:QMH982979 QWD982773:QWD982979 RFZ982773:RFZ982979 RPV982773:RPV982979 RZR982773:RZR982979 SJN982773:SJN982979 STJ982773:STJ982979 TDF982773:TDF982979 TNB982773:TNB982979 TWX982773:TWX982979 UGT982773:UGT982979 UQP982773:UQP982979 VAL982773:VAL982979 VKH982773:VKH982979 VUD982773:VUD982979 WDZ982773:WDZ982979 WNV982773:WNV982979 WXR982773:WXR982979 WXR5:WXR11 LF5:LF11 VB5:VB11 AEX5:AEX11 AOT5:AOT11 AYP5:AYP11 BIL5:BIL11 BSH5:BSH11 CCD5:CCD11 CLZ5:CLZ11 CVV5:CVV11 DFR5:DFR11 DPN5:DPN11 DZJ5:DZJ11 EJF5:EJF11 ETB5:ETB11 FCX5:FCX11 FMT5:FMT11 FWP5:FWP11 GGL5:GGL11 GQH5:GQH11 HAD5:HAD11 HJZ5:HJZ11 HTV5:HTV11 IDR5:IDR11 INN5:INN11 IXJ5:IXJ11 JHF5:JHF11 JRB5:JRB11 KAX5:KAX11 KKT5:KKT11 KUP5:KUP11 LEL5:LEL11 LOH5:LOH11 LYD5:LYD11 MHZ5:MHZ11 MRV5:MRV11 NBR5:NBR11 NLN5:NLN11 NVJ5:NVJ11 OFF5:OFF11 OPB5:OPB11 OYX5:OYX11 PIT5:PIT11 PSP5:PSP11 QCL5:QCL11 QMH5:QMH11 QWD5:QWD11 RFZ5:RFZ11 RPV5:RPV11 RZR5:RZR11 SJN5:SJN11 STJ5:STJ11 TDF5:TDF11 TNB5:TNB11 TWX5:TWX11 UGT5:UGT11 UQP5:UQP11 VAL5:VAL11 VKH5:VKH11 VUD5:VUD11 WDZ5:WDZ11 WNV5:WNV11">
      <formula1>0</formula1>
      <formula2>100000000</formula2>
    </dataValidation>
    <dataValidation type="whole" allowBlank="1" showInputMessage="1" showErrorMessage="1" sqref="BR65269:BT65475 LN65269:LN65475 VJ65269:VJ65475 AFF65269:AFF65475 APB65269:APB65475 AYX65269:AYX65475 BIT65269:BIT65475 BSP65269:BSP65475 CCL65269:CCL65475 CMH65269:CMH65475 CWD65269:CWD65475 DFZ65269:DFZ65475 DPV65269:DPV65475 DZR65269:DZR65475 EJN65269:EJN65475 ETJ65269:ETJ65475 FDF65269:FDF65475 FNB65269:FNB65475 FWX65269:FWX65475 GGT65269:GGT65475 GQP65269:GQP65475 HAL65269:HAL65475 HKH65269:HKH65475 HUD65269:HUD65475 IDZ65269:IDZ65475 INV65269:INV65475 IXR65269:IXR65475 JHN65269:JHN65475 JRJ65269:JRJ65475 KBF65269:KBF65475 KLB65269:KLB65475 KUX65269:KUX65475 LET65269:LET65475 LOP65269:LOP65475 LYL65269:LYL65475 MIH65269:MIH65475 MSD65269:MSD65475 NBZ65269:NBZ65475 NLV65269:NLV65475 NVR65269:NVR65475 OFN65269:OFN65475 OPJ65269:OPJ65475 OZF65269:OZF65475 PJB65269:PJB65475 PSX65269:PSX65475 QCT65269:QCT65475 QMP65269:QMP65475 QWL65269:QWL65475 RGH65269:RGH65475 RQD65269:RQD65475 RZZ65269:RZZ65475 SJV65269:SJV65475 STR65269:STR65475 TDN65269:TDN65475 TNJ65269:TNJ65475 TXF65269:TXF65475 UHB65269:UHB65475 UQX65269:UQX65475 VAT65269:VAT65475 VKP65269:VKP65475 VUL65269:VUL65475 WEH65269:WEH65475 WOD65269:WOD65475 WXZ65269:WXZ65475 BR130805:BT131011 LN130805:LN131011 VJ130805:VJ131011 AFF130805:AFF131011 APB130805:APB131011 AYX130805:AYX131011 BIT130805:BIT131011 BSP130805:BSP131011 CCL130805:CCL131011 CMH130805:CMH131011 CWD130805:CWD131011 DFZ130805:DFZ131011 DPV130805:DPV131011 DZR130805:DZR131011 EJN130805:EJN131011 ETJ130805:ETJ131011 FDF130805:FDF131011 FNB130805:FNB131011 FWX130805:FWX131011 GGT130805:GGT131011 GQP130805:GQP131011 HAL130805:HAL131011 HKH130805:HKH131011 HUD130805:HUD131011 IDZ130805:IDZ131011 INV130805:INV131011 IXR130805:IXR131011 JHN130805:JHN131011 JRJ130805:JRJ131011 KBF130805:KBF131011 KLB130805:KLB131011 KUX130805:KUX131011 LET130805:LET131011 LOP130805:LOP131011 LYL130805:LYL131011 MIH130805:MIH131011 MSD130805:MSD131011 NBZ130805:NBZ131011 NLV130805:NLV131011 NVR130805:NVR131011 OFN130805:OFN131011 OPJ130805:OPJ131011 OZF130805:OZF131011 PJB130805:PJB131011 PSX130805:PSX131011 QCT130805:QCT131011 QMP130805:QMP131011 QWL130805:QWL131011 RGH130805:RGH131011 RQD130805:RQD131011 RZZ130805:RZZ131011 SJV130805:SJV131011 STR130805:STR131011 TDN130805:TDN131011 TNJ130805:TNJ131011 TXF130805:TXF131011 UHB130805:UHB131011 UQX130805:UQX131011 VAT130805:VAT131011 VKP130805:VKP131011 VUL130805:VUL131011 WEH130805:WEH131011 WOD130805:WOD131011 WXZ130805:WXZ131011 BR196341:BT196547 LN196341:LN196547 VJ196341:VJ196547 AFF196341:AFF196547 APB196341:APB196547 AYX196341:AYX196547 BIT196341:BIT196547 BSP196341:BSP196547 CCL196341:CCL196547 CMH196341:CMH196547 CWD196341:CWD196547 DFZ196341:DFZ196547 DPV196341:DPV196547 DZR196341:DZR196547 EJN196341:EJN196547 ETJ196341:ETJ196547 FDF196341:FDF196547 FNB196341:FNB196547 FWX196341:FWX196547 GGT196341:GGT196547 GQP196341:GQP196547 HAL196341:HAL196547 HKH196341:HKH196547 HUD196341:HUD196547 IDZ196341:IDZ196547 INV196341:INV196547 IXR196341:IXR196547 JHN196341:JHN196547 JRJ196341:JRJ196547 KBF196341:KBF196547 KLB196341:KLB196547 KUX196341:KUX196547 LET196341:LET196547 LOP196341:LOP196547 LYL196341:LYL196547 MIH196341:MIH196547 MSD196341:MSD196547 NBZ196341:NBZ196547 NLV196341:NLV196547 NVR196341:NVR196547 OFN196341:OFN196547 OPJ196341:OPJ196547 OZF196341:OZF196547 PJB196341:PJB196547 PSX196341:PSX196547 QCT196341:QCT196547 QMP196341:QMP196547 QWL196341:QWL196547 RGH196341:RGH196547 RQD196341:RQD196547 RZZ196341:RZZ196547 SJV196341:SJV196547 STR196341:STR196547 TDN196341:TDN196547 TNJ196341:TNJ196547 TXF196341:TXF196547 UHB196341:UHB196547 UQX196341:UQX196547 VAT196341:VAT196547 VKP196341:VKP196547 VUL196341:VUL196547 WEH196341:WEH196547 WOD196341:WOD196547 WXZ196341:WXZ196547 BR261877:BT262083 LN261877:LN262083 VJ261877:VJ262083 AFF261877:AFF262083 APB261877:APB262083 AYX261877:AYX262083 BIT261877:BIT262083 BSP261877:BSP262083 CCL261877:CCL262083 CMH261877:CMH262083 CWD261877:CWD262083 DFZ261877:DFZ262083 DPV261877:DPV262083 DZR261877:DZR262083 EJN261877:EJN262083 ETJ261877:ETJ262083 FDF261877:FDF262083 FNB261877:FNB262083 FWX261877:FWX262083 GGT261877:GGT262083 GQP261877:GQP262083 HAL261877:HAL262083 HKH261877:HKH262083 HUD261877:HUD262083 IDZ261877:IDZ262083 INV261877:INV262083 IXR261877:IXR262083 JHN261877:JHN262083 JRJ261877:JRJ262083 KBF261877:KBF262083 KLB261877:KLB262083 KUX261877:KUX262083 LET261877:LET262083 LOP261877:LOP262083 LYL261877:LYL262083 MIH261877:MIH262083 MSD261877:MSD262083 NBZ261877:NBZ262083 NLV261877:NLV262083 NVR261877:NVR262083 OFN261877:OFN262083 OPJ261877:OPJ262083 OZF261877:OZF262083 PJB261877:PJB262083 PSX261877:PSX262083 QCT261877:QCT262083 QMP261877:QMP262083 QWL261877:QWL262083 RGH261877:RGH262083 RQD261877:RQD262083 RZZ261877:RZZ262083 SJV261877:SJV262083 STR261877:STR262083 TDN261877:TDN262083 TNJ261877:TNJ262083 TXF261877:TXF262083 UHB261877:UHB262083 UQX261877:UQX262083 VAT261877:VAT262083 VKP261877:VKP262083 VUL261877:VUL262083 WEH261877:WEH262083 WOD261877:WOD262083 WXZ261877:WXZ262083 BR327413:BT327619 LN327413:LN327619 VJ327413:VJ327619 AFF327413:AFF327619 APB327413:APB327619 AYX327413:AYX327619 BIT327413:BIT327619 BSP327413:BSP327619 CCL327413:CCL327619 CMH327413:CMH327619 CWD327413:CWD327619 DFZ327413:DFZ327619 DPV327413:DPV327619 DZR327413:DZR327619 EJN327413:EJN327619 ETJ327413:ETJ327619 FDF327413:FDF327619 FNB327413:FNB327619 FWX327413:FWX327619 GGT327413:GGT327619 GQP327413:GQP327619 HAL327413:HAL327619 HKH327413:HKH327619 HUD327413:HUD327619 IDZ327413:IDZ327619 INV327413:INV327619 IXR327413:IXR327619 JHN327413:JHN327619 JRJ327413:JRJ327619 KBF327413:KBF327619 KLB327413:KLB327619 KUX327413:KUX327619 LET327413:LET327619 LOP327413:LOP327619 LYL327413:LYL327619 MIH327413:MIH327619 MSD327413:MSD327619 NBZ327413:NBZ327619 NLV327413:NLV327619 NVR327413:NVR327619 OFN327413:OFN327619 OPJ327413:OPJ327619 OZF327413:OZF327619 PJB327413:PJB327619 PSX327413:PSX327619 QCT327413:QCT327619 QMP327413:QMP327619 QWL327413:QWL327619 RGH327413:RGH327619 RQD327413:RQD327619 RZZ327413:RZZ327619 SJV327413:SJV327619 STR327413:STR327619 TDN327413:TDN327619 TNJ327413:TNJ327619 TXF327413:TXF327619 UHB327413:UHB327619 UQX327413:UQX327619 VAT327413:VAT327619 VKP327413:VKP327619 VUL327413:VUL327619 WEH327413:WEH327619 WOD327413:WOD327619 WXZ327413:WXZ327619 BR392949:BT393155 LN392949:LN393155 VJ392949:VJ393155 AFF392949:AFF393155 APB392949:APB393155 AYX392949:AYX393155 BIT392949:BIT393155 BSP392949:BSP393155 CCL392949:CCL393155 CMH392949:CMH393155 CWD392949:CWD393155 DFZ392949:DFZ393155 DPV392949:DPV393155 DZR392949:DZR393155 EJN392949:EJN393155 ETJ392949:ETJ393155 FDF392949:FDF393155 FNB392949:FNB393155 FWX392949:FWX393155 GGT392949:GGT393155 GQP392949:GQP393155 HAL392949:HAL393155 HKH392949:HKH393155 HUD392949:HUD393155 IDZ392949:IDZ393155 INV392949:INV393155 IXR392949:IXR393155 JHN392949:JHN393155 JRJ392949:JRJ393155 KBF392949:KBF393155 KLB392949:KLB393155 KUX392949:KUX393155 LET392949:LET393155 LOP392949:LOP393155 LYL392949:LYL393155 MIH392949:MIH393155 MSD392949:MSD393155 NBZ392949:NBZ393155 NLV392949:NLV393155 NVR392949:NVR393155 OFN392949:OFN393155 OPJ392949:OPJ393155 OZF392949:OZF393155 PJB392949:PJB393155 PSX392949:PSX393155 QCT392949:QCT393155 QMP392949:QMP393155 QWL392949:QWL393155 RGH392949:RGH393155 RQD392949:RQD393155 RZZ392949:RZZ393155 SJV392949:SJV393155 STR392949:STR393155 TDN392949:TDN393155 TNJ392949:TNJ393155 TXF392949:TXF393155 UHB392949:UHB393155 UQX392949:UQX393155 VAT392949:VAT393155 VKP392949:VKP393155 VUL392949:VUL393155 WEH392949:WEH393155 WOD392949:WOD393155 WXZ392949:WXZ393155 BR458485:BT458691 LN458485:LN458691 VJ458485:VJ458691 AFF458485:AFF458691 APB458485:APB458691 AYX458485:AYX458691 BIT458485:BIT458691 BSP458485:BSP458691 CCL458485:CCL458691 CMH458485:CMH458691 CWD458485:CWD458691 DFZ458485:DFZ458691 DPV458485:DPV458691 DZR458485:DZR458691 EJN458485:EJN458691 ETJ458485:ETJ458691 FDF458485:FDF458691 FNB458485:FNB458691 FWX458485:FWX458691 GGT458485:GGT458691 GQP458485:GQP458691 HAL458485:HAL458691 HKH458485:HKH458691 HUD458485:HUD458691 IDZ458485:IDZ458691 INV458485:INV458691 IXR458485:IXR458691 JHN458485:JHN458691 JRJ458485:JRJ458691 KBF458485:KBF458691 KLB458485:KLB458691 KUX458485:KUX458691 LET458485:LET458691 LOP458485:LOP458691 LYL458485:LYL458691 MIH458485:MIH458691 MSD458485:MSD458691 NBZ458485:NBZ458691 NLV458485:NLV458691 NVR458485:NVR458691 OFN458485:OFN458691 OPJ458485:OPJ458691 OZF458485:OZF458691 PJB458485:PJB458691 PSX458485:PSX458691 QCT458485:QCT458691 QMP458485:QMP458691 QWL458485:QWL458691 RGH458485:RGH458691 RQD458485:RQD458691 RZZ458485:RZZ458691 SJV458485:SJV458691 STR458485:STR458691 TDN458485:TDN458691 TNJ458485:TNJ458691 TXF458485:TXF458691 UHB458485:UHB458691 UQX458485:UQX458691 VAT458485:VAT458691 VKP458485:VKP458691 VUL458485:VUL458691 WEH458485:WEH458691 WOD458485:WOD458691 WXZ458485:WXZ458691 BR524021:BT524227 LN524021:LN524227 VJ524021:VJ524227 AFF524021:AFF524227 APB524021:APB524227 AYX524021:AYX524227 BIT524021:BIT524227 BSP524021:BSP524227 CCL524021:CCL524227 CMH524021:CMH524227 CWD524021:CWD524227 DFZ524021:DFZ524227 DPV524021:DPV524227 DZR524021:DZR524227 EJN524021:EJN524227 ETJ524021:ETJ524227 FDF524021:FDF524227 FNB524021:FNB524227 FWX524021:FWX524227 GGT524021:GGT524227 GQP524021:GQP524227 HAL524021:HAL524227 HKH524021:HKH524227 HUD524021:HUD524227 IDZ524021:IDZ524227 INV524021:INV524227 IXR524021:IXR524227 JHN524021:JHN524227 JRJ524021:JRJ524227 KBF524021:KBF524227 KLB524021:KLB524227 KUX524021:KUX524227 LET524021:LET524227 LOP524021:LOP524227 LYL524021:LYL524227 MIH524021:MIH524227 MSD524021:MSD524227 NBZ524021:NBZ524227 NLV524021:NLV524227 NVR524021:NVR524227 OFN524021:OFN524227 OPJ524021:OPJ524227 OZF524021:OZF524227 PJB524021:PJB524227 PSX524021:PSX524227 QCT524021:QCT524227 QMP524021:QMP524227 QWL524021:QWL524227 RGH524021:RGH524227 RQD524021:RQD524227 RZZ524021:RZZ524227 SJV524021:SJV524227 STR524021:STR524227 TDN524021:TDN524227 TNJ524021:TNJ524227 TXF524021:TXF524227 UHB524021:UHB524227 UQX524021:UQX524227 VAT524021:VAT524227 VKP524021:VKP524227 VUL524021:VUL524227 WEH524021:WEH524227 WOD524021:WOD524227 WXZ524021:WXZ524227 BR589557:BT589763 LN589557:LN589763 VJ589557:VJ589763 AFF589557:AFF589763 APB589557:APB589763 AYX589557:AYX589763 BIT589557:BIT589763 BSP589557:BSP589763 CCL589557:CCL589763 CMH589557:CMH589763 CWD589557:CWD589763 DFZ589557:DFZ589763 DPV589557:DPV589763 DZR589557:DZR589763 EJN589557:EJN589763 ETJ589557:ETJ589763 FDF589557:FDF589763 FNB589557:FNB589763 FWX589557:FWX589763 GGT589557:GGT589763 GQP589557:GQP589763 HAL589557:HAL589763 HKH589557:HKH589763 HUD589557:HUD589763 IDZ589557:IDZ589763 INV589557:INV589763 IXR589557:IXR589763 JHN589557:JHN589763 JRJ589557:JRJ589763 KBF589557:KBF589763 KLB589557:KLB589763 KUX589557:KUX589763 LET589557:LET589763 LOP589557:LOP589763 LYL589557:LYL589763 MIH589557:MIH589763 MSD589557:MSD589763 NBZ589557:NBZ589763 NLV589557:NLV589763 NVR589557:NVR589763 OFN589557:OFN589763 OPJ589557:OPJ589763 OZF589557:OZF589763 PJB589557:PJB589763 PSX589557:PSX589763 QCT589557:QCT589763 QMP589557:QMP589763 QWL589557:QWL589763 RGH589557:RGH589763 RQD589557:RQD589763 RZZ589557:RZZ589763 SJV589557:SJV589763 STR589557:STR589763 TDN589557:TDN589763 TNJ589557:TNJ589763 TXF589557:TXF589763 UHB589557:UHB589763 UQX589557:UQX589763 VAT589557:VAT589763 VKP589557:VKP589763 VUL589557:VUL589763 WEH589557:WEH589763 WOD589557:WOD589763 WXZ589557:WXZ589763 BR655093:BT655299 LN655093:LN655299 VJ655093:VJ655299 AFF655093:AFF655299 APB655093:APB655299 AYX655093:AYX655299 BIT655093:BIT655299 BSP655093:BSP655299 CCL655093:CCL655299 CMH655093:CMH655299 CWD655093:CWD655299 DFZ655093:DFZ655299 DPV655093:DPV655299 DZR655093:DZR655299 EJN655093:EJN655299 ETJ655093:ETJ655299 FDF655093:FDF655299 FNB655093:FNB655299 FWX655093:FWX655299 GGT655093:GGT655299 GQP655093:GQP655299 HAL655093:HAL655299 HKH655093:HKH655299 HUD655093:HUD655299 IDZ655093:IDZ655299 INV655093:INV655299 IXR655093:IXR655299 JHN655093:JHN655299 JRJ655093:JRJ655299 KBF655093:KBF655299 KLB655093:KLB655299 KUX655093:KUX655299 LET655093:LET655299 LOP655093:LOP655299 LYL655093:LYL655299 MIH655093:MIH655299 MSD655093:MSD655299 NBZ655093:NBZ655299 NLV655093:NLV655299 NVR655093:NVR655299 OFN655093:OFN655299 OPJ655093:OPJ655299 OZF655093:OZF655299 PJB655093:PJB655299 PSX655093:PSX655299 QCT655093:QCT655299 QMP655093:QMP655299 QWL655093:QWL655299 RGH655093:RGH655299 RQD655093:RQD655299 RZZ655093:RZZ655299 SJV655093:SJV655299 STR655093:STR655299 TDN655093:TDN655299 TNJ655093:TNJ655299 TXF655093:TXF655299 UHB655093:UHB655299 UQX655093:UQX655299 VAT655093:VAT655299 VKP655093:VKP655299 VUL655093:VUL655299 WEH655093:WEH655299 WOD655093:WOD655299 WXZ655093:WXZ655299 BR720629:BT720835 LN720629:LN720835 VJ720629:VJ720835 AFF720629:AFF720835 APB720629:APB720835 AYX720629:AYX720835 BIT720629:BIT720835 BSP720629:BSP720835 CCL720629:CCL720835 CMH720629:CMH720835 CWD720629:CWD720835 DFZ720629:DFZ720835 DPV720629:DPV720835 DZR720629:DZR720835 EJN720629:EJN720835 ETJ720629:ETJ720835 FDF720629:FDF720835 FNB720629:FNB720835 FWX720629:FWX720835 GGT720629:GGT720835 GQP720629:GQP720835 HAL720629:HAL720835 HKH720629:HKH720835 HUD720629:HUD720835 IDZ720629:IDZ720835 INV720629:INV720835 IXR720629:IXR720835 JHN720629:JHN720835 JRJ720629:JRJ720835 KBF720629:KBF720835 KLB720629:KLB720835 KUX720629:KUX720835 LET720629:LET720835 LOP720629:LOP720835 LYL720629:LYL720835 MIH720629:MIH720835 MSD720629:MSD720835 NBZ720629:NBZ720835 NLV720629:NLV720835 NVR720629:NVR720835 OFN720629:OFN720835 OPJ720629:OPJ720835 OZF720629:OZF720835 PJB720629:PJB720835 PSX720629:PSX720835 QCT720629:QCT720835 QMP720629:QMP720835 QWL720629:QWL720835 RGH720629:RGH720835 RQD720629:RQD720835 RZZ720629:RZZ720835 SJV720629:SJV720835 STR720629:STR720835 TDN720629:TDN720835 TNJ720629:TNJ720835 TXF720629:TXF720835 UHB720629:UHB720835 UQX720629:UQX720835 VAT720629:VAT720835 VKP720629:VKP720835 VUL720629:VUL720835 WEH720629:WEH720835 WOD720629:WOD720835 WXZ720629:WXZ720835 BR786165:BT786371 LN786165:LN786371 VJ786165:VJ786371 AFF786165:AFF786371 APB786165:APB786371 AYX786165:AYX786371 BIT786165:BIT786371 BSP786165:BSP786371 CCL786165:CCL786371 CMH786165:CMH786371 CWD786165:CWD786371 DFZ786165:DFZ786371 DPV786165:DPV786371 DZR786165:DZR786371 EJN786165:EJN786371 ETJ786165:ETJ786371 FDF786165:FDF786371 FNB786165:FNB786371 FWX786165:FWX786371 GGT786165:GGT786371 GQP786165:GQP786371 HAL786165:HAL786371 HKH786165:HKH786371 HUD786165:HUD786371 IDZ786165:IDZ786371 INV786165:INV786371 IXR786165:IXR786371 JHN786165:JHN786371 JRJ786165:JRJ786371 KBF786165:KBF786371 KLB786165:KLB786371 KUX786165:KUX786371 LET786165:LET786371 LOP786165:LOP786371 LYL786165:LYL786371 MIH786165:MIH786371 MSD786165:MSD786371 NBZ786165:NBZ786371 NLV786165:NLV786371 NVR786165:NVR786371 OFN786165:OFN786371 OPJ786165:OPJ786371 OZF786165:OZF786371 PJB786165:PJB786371 PSX786165:PSX786371 QCT786165:QCT786371 QMP786165:QMP786371 QWL786165:QWL786371 RGH786165:RGH786371 RQD786165:RQD786371 RZZ786165:RZZ786371 SJV786165:SJV786371 STR786165:STR786371 TDN786165:TDN786371 TNJ786165:TNJ786371 TXF786165:TXF786371 UHB786165:UHB786371 UQX786165:UQX786371 VAT786165:VAT786371 VKP786165:VKP786371 VUL786165:VUL786371 WEH786165:WEH786371 WOD786165:WOD786371 WXZ786165:WXZ786371 BR851701:BT851907 LN851701:LN851907 VJ851701:VJ851907 AFF851701:AFF851907 APB851701:APB851907 AYX851701:AYX851907 BIT851701:BIT851907 BSP851701:BSP851907 CCL851701:CCL851907 CMH851701:CMH851907 CWD851701:CWD851907 DFZ851701:DFZ851907 DPV851701:DPV851907 DZR851701:DZR851907 EJN851701:EJN851907 ETJ851701:ETJ851907 FDF851701:FDF851907 FNB851701:FNB851907 FWX851701:FWX851907 GGT851701:GGT851907 GQP851701:GQP851907 HAL851701:HAL851907 HKH851701:HKH851907 HUD851701:HUD851907 IDZ851701:IDZ851907 INV851701:INV851907 IXR851701:IXR851907 JHN851701:JHN851907 JRJ851701:JRJ851907 KBF851701:KBF851907 KLB851701:KLB851907 KUX851701:KUX851907 LET851701:LET851907 LOP851701:LOP851907 LYL851701:LYL851907 MIH851701:MIH851907 MSD851701:MSD851907 NBZ851701:NBZ851907 NLV851701:NLV851907 NVR851701:NVR851907 OFN851701:OFN851907 OPJ851701:OPJ851907 OZF851701:OZF851907 PJB851701:PJB851907 PSX851701:PSX851907 QCT851701:QCT851907 QMP851701:QMP851907 QWL851701:QWL851907 RGH851701:RGH851907 RQD851701:RQD851907 RZZ851701:RZZ851907 SJV851701:SJV851907 STR851701:STR851907 TDN851701:TDN851907 TNJ851701:TNJ851907 TXF851701:TXF851907 UHB851701:UHB851907 UQX851701:UQX851907 VAT851701:VAT851907 VKP851701:VKP851907 VUL851701:VUL851907 WEH851701:WEH851907 WOD851701:WOD851907 WXZ851701:WXZ851907 BR917237:BT917443 LN917237:LN917443 VJ917237:VJ917443 AFF917237:AFF917443 APB917237:APB917443 AYX917237:AYX917443 BIT917237:BIT917443 BSP917237:BSP917443 CCL917237:CCL917443 CMH917237:CMH917443 CWD917237:CWD917443 DFZ917237:DFZ917443 DPV917237:DPV917443 DZR917237:DZR917443 EJN917237:EJN917443 ETJ917237:ETJ917443 FDF917237:FDF917443 FNB917237:FNB917443 FWX917237:FWX917443 GGT917237:GGT917443 GQP917237:GQP917443 HAL917237:HAL917443 HKH917237:HKH917443 HUD917237:HUD917443 IDZ917237:IDZ917443 INV917237:INV917443 IXR917237:IXR917443 JHN917237:JHN917443 JRJ917237:JRJ917443 KBF917237:KBF917443 KLB917237:KLB917443 KUX917237:KUX917443 LET917237:LET917443 LOP917237:LOP917443 LYL917237:LYL917443 MIH917237:MIH917443 MSD917237:MSD917443 NBZ917237:NBZ917443 NLV917237:NLV917443 NVR917237:NVR917443 OFN917237:OFN917443 OPJ917237:OPJ917443 OZF917237:OZF917443 PJB917237:PJB917443 PSX917237:PSX917443 QCT917237:QCT917443 QMP917237:QMP917443 QWL917237:QWL917443 RGH917237:RGH917443 RQD917237:RQD917443 RZZ917237:RZZ917443 SJV917237:SJV917443 STR917237:STR917443 TDN917237:TDN917443 TNJ917237:TNJ917443 TXF917237:TXF917443 UHB917237:UHB917443 UQX917237:UQX917443 VAT917237:VAT917443 VKP917237:VKP917443 VUL917237:VUL917443 WEH917237:WEH917443 WOD917237:WOD917443 WXZ917237:WXZ917443 BR982773:BT982979 LN982773:LN982979 VJ982773:VJ982979 AFF982773:AFF982979 APB982773:APB982979 AYX982773:AYX982979 BIT982773:BIT982979 BSP982773:BSP982979 CCL982773:CCL982979 CMH982773:CMH982979 CWD982773:CWD982979 DFZ982773:DFZ982979 DPV982773:DPV982979 DZR982773:DZR982979 EJN982773:EJN982979 ETJ982773:ETJ982979 FDF982773:FDF982979 FNB982773:FNB982979 FWX982773:FWX982979 GGT982773:GGT982979 GQP982773:GQP982979 HAL982773:HAL982979 HKH982773:HKH982979 HUD982773:HUD982979 IDZ982773:IDZ982979 INV982773:INV982979 IXR982773:IXR982979 JHN982773:JHN982979 JRJ982773:JRJ982979 KBF982773:KBF982979 KLB982773:KLB982979 KUX982773:KUX982979 LET982773:LET982979 LOP982773:LOP982979 LYL982773:LYL982979 MIH982773:MIH982979 MSD982773:MSD982979 NBZ982773:NBZ982979 NLV982773:NLV982979 NVR982773:NVR982979 OFN982773:OFN982979 OPJ982773:OPJ982979 OZF982773:OZF982979 PJB982773:PJB982979 PSX982773:PSX982979 QCT982773:QCT982979 QMP982773:QMP982979 QWL982773:QWL982979 RGH982773:RGH982979 RQD982773:RQD982979 RZZ982773:RZZ982979 SJV982773:SJV982979 STR982773:STR982979 TDN982773:TDN982979 TNJ982773:TNJ982979 TXF982773:TXF982979 UHB982773:UHB982979 UQX982773:UQX982979 VAT982773:VAT982979 VKP982773:VKP982979 VUL982773:VUL982979 WEH982773:WEH982979 WOD982773:WOD982979 WXZ982773:WXZ982979 WOD5:WOD11 WXZ5:WXZ11 LN5:LN11 VJ5:VJ11 AFF5:AFF11 APB5:APB11 AYX5:AYX11 BIT5:BIT11 BSP5:BSP11 CCL5:CCL11 CMH5:CMH11 CWD5:CWD11 DFZ5:DFZ11 DPV5:DPV11 DZR5:DZR11 EJN5:EJN11 ETJ5:ETJ11 FDF5:FDF11 FNB5:FNB11 FWX5:FWX11 GGT5:GGT11 GQP5:GQP11 HAL5:HAL11 HKH5:HKH11 HUD5:HUD11 IDZ5:IDZ11 INV5:INV11 IXR5:IXR11 JHN5:JHN11 JRJ5:JRJ11 KBF5:KBF11 KLB5:KLB11 KUX5:KUX11 LET5:LET11 LOP5:LOP11 LYL5:LYL11 MIH5:MIH11 MSD5:MSD11 NBZ5:NBZ11 NLV5:NLV11 NVR5:NVR11 OFN5:OFN11 OPJ5:OPJ11 OZF5:OZF11 PJB5:PJB11 PSX5:PSX11 QCT5:QCT11 QMP5:QMP11 QWL5:QWL11 RGH5:RGH11 RQD5:RQD11 RZZ5:RZZ11 SJV5:SJV11 STR5:STR11 TDN5:TDN11 TNJ5:TNJ11 TXF5:TXF11 UHB5:UHB11 UQX5:UQX11 VAT5:VAT11 VKP5:VKP11 VUL5:VUL11 WEH5:WEH11">
      <formula1>0</formula1>
      <formula2>1000000000000000</formula2>
    </dataValidation>
    <dataValidation type="whole" allowBlank="1" showInputMessage="1" showErrorMessage="1" sqref="BU65269:BU65475 LO65269:LO65475 VK65269:VK65475 AFG65269:AFG65475 APC65269:APC65475 AYY65269:AYY65475 BIU65269:BIU65475 BSQ65269:BSQ65475 CCM65269:CCM65475 CMI65269:CMI65475 CWE65269:CWE65475 DGA65269:DGA65475 DPW65269:DPW65475 DZS65269:DZS65475 EJO65269:EJO65475 ETK65269:ETK65475 FDG65269:FDG65475 FNC65269:FNC65475 FWY65269:FWY65475 GGU65269:GGU65475 GQQ65269:GQQ65475 HAM65269:HAM65475 HKI65269:HKI65475 HUE65269:HUE65475 IEA65269:IEA65475 INW65269:INW65475 IXS65269:IXS65475 JHO65269:JHO65475 JRK65269:JRK65475 KBG65269:KBG65475 KLC65269:KLC65475 KUY65269:KUY65475 LEU65269:LEU65475 LOQ65269:LOQ65475 LYM65269:LYM65475 MII65269:MII65475 MSE65269:MSE65475 NCA65269:NCA65475 NLW65269:NLW65475 NVS65269:NVS65475 OFO65269:OFO65475 OPK65269:OPK65475 OZG65269:OZG65475 PJC65269:PJC65475 PSY65269:PSY65475 QCU65269:QCU65475 QMQ65269:QMQ65475 QWM65269:QWM65475 RGI65269:RGI65475 RQE65269:RQE65475 SAA65269:SAA65475 SJW65269:SJW65475 STS65269:STS65475 TDO65269:TDO65475 TNK65269:TNK65475 TXG65269:TXG65475 UHC65269:UHC65475 UQY65269:UQY65475 VAU65269:VAU65475 VKQ65269:VKQ65475 VUM65269:VUM65475 WEI65269:WEI65475 WOE65269:WOE65475 WYA65269:WYA65475 BU130805:BU131011 LO130805:LO131011 VK130805:VK131011 AFG130805:AFG131011 APC130805:APC131011 AYY130805:AYY131011 BIU130805:BIU131011 BSQ130805:BSQ131011 CCM130805:CCM131011 CMI130805:CMI131011 CWE130805:CWE131011 DGA130805:DGA131011 DPW130805:DPW131011 DZS130805:DZS131011 EJO130805:EJO131011 ETK130805:ETK131011 FDG130805:FDG131011 FNC130805:FNC131011 FWY130805:FWY131011 GGU130805:GGU131011 GQQ130805:GQQ131011 HAM130805:HAM131011 HKI130805:HKI131011 HUE130805:HUE131011 IEA130805:IEA131011 INW130805:INW131011 IXS130805:IXS131011 JHO130805:JHO131011 JRK130805:JRK131011 KBG130805:KBG131011 KLC130805:KLC131011 KUY130805:KUY131011 LEU130805:LEU131011 LOQ130805:LOQ131011 LYM130805:LYM131011 MII130805:MII131011 MSE130805:MSE131011 NCA130805:NCA131011 NLW130805:NLW131011 NVS130805:NVS131011 OFO130805:OFO131011 OPK130805:OPK131011 OZG130805:OZG131011 PJC130805:PJC131011 PSY130805:PSY131011 QCU130805:QCU131011 QMQ130805:QMQ131011 QWM130805:QWM131011 RGI130805:RGI131011 RQE130805:RQE131011 SAA130805:SAA131011 SJW130805:SJW131011 STS130805:STS131011 TDO130805:TDO131011 TNK130805:TNK131011 TXG130805:TXG131011 UHC130805:UHC131011 UQY130805:UQY131011 VAU130805:VAU131011 VKQ130805:VKQ131011 VUM130805:VUM131011 WEI130805:WEI131011 WOE130805:WOE131011 WYA130805:WYA131011 BU196341:BU196547 LO196341:LO196547 VK196341:VK196547 AFG196341:AFG196547 APC196341:APC196547 AYY196341:AYY196547 BIU196341:BIU196547 BSQ196341:BSQ196547 CCM196341:CCM196547 CMI196341:CMI196547 CWE196341:CWE196547 DGA196341:DGA196547 DPW196341:DPW196547 DZS196341:DZS196547 EJO196341:EJO196547 ETK196341:ETK196547 FDG196341:FDG196547 FNC196341:FNC196547 FWY196341:FWY196547 GGU196341:GGU196547 GQQ196341:GQQ196547 HAM196341:HAM196547 HKI196341:HKI196547 HUE196341:HUE196547 IEA196341:IEA196547 INW196341:INW196547 IXS196341:IXS196547 JHO196341:JHO196547 JRK196341:JRK196547 KBG196341:KBG196547 KLC196341:KLC196547 KUY196341:KUY196547 LEU196341:LEU196547 LOQ196341:LOQ196547 LYM196341:LYM196547 MII196341:MII196547 MSE196341:MSE196547 NCA196341:NCA196547 NLW196341:NLW196547 NVS196341:NVS196547 OFO196341:OFO196547 OPK196341:OPK196547 OZG196341:OZG196547 PJC196341:PJC196547 PSY196341:PSY196547 QCU196341:QCU196547 QMQ196341:QMQ196547 QWM196341:QWM196547 RGI196341:RGI196547 RQE196341:RQE196547 SAA196341:SAA196547 SJW196341:SJW196547 STS196341:STS196547 TDO196341:TDO196547 TNK196341:TNK196547 TXG196341:TXG196547 UHC196341:UHC196547 UQY196341:UQY196547 VAU196341:VAU196547 VKQ196341:VKQ196547 VUM196341:VUM196547 WEI196341:WEI196547 WOE196341:WOE196547 WYA196341:WYA196547 BU261877:BU262083 LO261877:LO262083 VK261877:VK262083 AFG261877:AFG262083 APC261877:APC262083 AYY261877:AYY262083 BIU261877:BIU262083 BSQ261877:BSQ262083 CCM261877:CCM262083 CMI261877:CMI262083 CWE261877:CWE262083 DGA261877:DGA262083 DPW261877:DPW262083 DZS261877:DZS262083 EJO261877:EJO262083 ETK261877:ETK262083 FDG261877:FDG262083 FNC261877:FNC262083 FWY261877:FWY262083 GGU261877:GGU262083 GQQ261877:GQQ262083 HAM261877:HAM262083 HKI261877:HKI262083 HUE261877:HUE262083 IEA261877:IEA262083 INW261877:INW262083 IXS261877:IXS262083 JHO261877:JHO262083 JRK261877:JRK262083 KBG261877:KBG262083 KLC261877:KLC262083 KUY261877:KUY262083 LEU261877:LEU262083 LOQ261877:LOQ262083 LYM261877:LYM262083 MII261877:MII262083 MSE261877:MSE262083 NCA261877:NCA262083 NLW261877:NLW262083 NVS261877:NVS262083 OFO261877:OFO262083 OPK261877:OPK262083 OZG261877:OZG262083 PJC261877:PJC262083 PSY261877:PSY262083 QCU261877:QCU262083 QMQ261877:QMQ262083 QWM261877:QWM262083 RGI261877:RGI262083 RQE261877:RQE262083 SAA261877:SAA262083 SJW261877:SJW262083 STS261877:STS262083 TDO261877:TDO262083 TNK261877:TNK262083 TXG261877:TXG262083 UHC261877:UHC262083 UQY261877:UQY262083 VAU261877:VAU262083 VKQ261877:VKQ262083 VUM261877:VUM262083 WEI261877:WEI262083 WOE261877:WOE262083 WYA261877:WYA262083 BU327413:BU327619 LO327413:LO327619 VK327413:VK327619 AFG327413:AFG327619 APC327413:APC327619 AYY327413:AYY327619 BIU327413:BIU327619 BSQ327413:BSQ327619 CCM327413:CCM327619 CMI327413:CMI327619 CWE327413:CWE327619 DGA327413:DGA327619 DPW327413:DPW327619 DZS327413:DZS327619 EJO327413:EJO327619 ETK327413:ETK327619 FDG327413:FDG327619 FNC327413:FNC327619 FWY327413:FWY327619 GGU327413:GGU327619 GQQ327413:GQQ327619 HAM327413:HAM327619 HKI327413:HKI327619 HUE327413:HUE327619 IEA327413:IEA327619 INW327413:INW327619 IXS327413:IXS327619 JHO327413:JHO327619 JRK327413:JRK327619 KBG327413:KBG327619 KLC327413:KLC327619 KUY327413:KUY327619 LEU327413:LEU327619 LOQ327413:LOQ327619 LYM327413:LYM327619 MII327413:MII327619 MSE327413:MSE327619 NCA327413:NCA327619 NLW327413:NLW327619 NVS327413:NVS327619 OFO327413:OFO327619 OPK327413:OPK327619 OZG327413:OZG327619 PJC327413:PJC327619 PSY327413:PSY327619 QCU327413:QCU327619 QMQ327413:QMQ327619 QWM327413:QWM327619 RGI327413:RGI327619 RQE327413:RQE327619 SAA327413:SAA327619 SJW327413:SJW327619 STS327413:STS327619 TDO327413:TDO327619 TNK327413:TNK327619 TXG327413:TXG327619 UHC327413:UHC327619 UQY327413:UQY327619 VAU327413:VAU327619 VKQ327413:VKQ327619 VUM327413:VUM327619 WEI327413:WEI327619 WOE327413:WOE327619 WYA327413:WYA327619 BU392949:BU393155 LO392949:LO393155 VK392949:VK393155 AFG392949:AFG393155 APC392949:APC393155 AYY392949:AYY393155 BIU392949:BIU393155 BSQ392949:BSQ393155 CCM392949:CCM393155 CMI392949:CMI393155 CWE392949:CWE393155 DGA392949:DGA393155 DPW392949:DPW393155 DZS392949:DZS393155 EJO392949:EJO393155 ETK392949:ETK393155 FDG392949:FDG393155 FNC392949:FNC393155 FWY392949:FWY393155 GGU392949:GGU393155 GQQ392949:GQQ393155 HAM392949:HAM393155 HKI392949:HKI393155 HUE392949:HUE393155 IEA392949:IEA393155 INW392949:INW393155 IXS392949:IXS393155 JHO392949:JHO393155 JRK392949:JRK393155 KBG392949:KBG393155 KLC392949:KLC393155 KUY392949:KUY393155 LEU392949:LEU393155 LOQ392949:LOQ393155 LYM392949:LYM393155 MII392949:MII393155 MSE392949:MSE393155 NCA392949:NCA393155 NLW392949:NLW393155 NVS392949:NVS393155 OFO392949:OFO393155 OPK392949:OPK393155 OZG392949:OZG393155 PJC392949:PJC393155 PSY392949:PSY393155 QCU392949:QCU393155 QMQ392949:QMQ393155 QWM392949:QWM393155 RGI392949:RGI393155 RQE392949:RQE393155 SAA392949:SAA393155 SJW392949:SJW393155 STS392949:STS393155 TDO392949:TDO393155 TNK392949:TNK393155 TXG392949:TXG393155 UHC392949:UHC393155 UQY392949:UQY393155 VAU392949:VAU393155 VKQ392949:VKQ393155 VUM392949:VUM393155 WEI392949:WEI393155 WOE392949:WOE393155 WYA392949:WYA393155 BU458485:BU458691 LO458485:LO458691 VK458485:VK458691 AFG458485:AFG458691 APC458485:APC458691 AYY458485:AYY458691 BIU458485:BIU458691 BSQ458485:BSQ458691 CCM458485:CCM458691 CMI458485:CMI458691 CWE458485:CWE458691 DGA458485:DGA458691 DPW458485:DPW458691 DZS458485:DZS458691 EJO458485:EJO458691 ETK458485:ETK458691 FDG458485:FDG458691 FNC458485:FNC458691 FWY458485:FWY458691 GGU458485:GGU458691 GQQ458485:GQQ458691 HAM458485:HAM458691 HKI458485:HKI458691 HUE458485:HUE458691 IEA458485:IEA458691 INW458485:INW458691 IXS458485:IXS458691 JHO458485:JHO458691 JRK458485:JRK458691 KBG458485:KBG458691 KLC458485:KLC458691 KUY458485:KUY458691 LEU458485:LEU458691 LOQ458485:LOQ458691 LYM458485:LYM458691 MII458485:MII458691 MSE458485:MSE458691 NCA458485:NCA458691 NLW458485:NLW458691 NVS458485:NVS458691 OFO458485:OFO458691 OPK458485:OPK458691 OZG458485:OZG458691 PJC458485:PJC458691 PSY458485:PSY458691 QCU458485:QCU458691 QMQ458485:QMQ458691 QWM458485:QWM458691 RGI458485:RGI458691 RQE458485:RQE458691 SAA458485:SAA458691 SJW458485:SJW458691 STS458485:STS458691 TDO458485:TDO458691 TNK458485:TNK458691 TXG458485:TXG458691 UHC458485:UHC458691 UQY458485:UQY458691 VAU458485:VAU458691 VKQ458485:VKQ458691 VUM458485:VUM458691 WEI458485:WEI458691 WOE458485:WOE458691 WYA458485:WYA458691 BU524021:BU524227 LO524021:LO524227 VK524021:VK524227 AFG524021:AFG524227 APC524021:APC524227 AYY524021:AYY524227 BIU524021:BIU524227 BSQ524021:BSQ524227 CCM524021:CCM524227 CMI524021:CMI524227 CWE524021:CWE524227 DGA524021:DGA524227 DPW524021:DPW524227 DZS524021:DZS524227 EJO524021:EJO524227 ETK524021:ETK524227 FDG524021:FDG524227 FNC524021:FNC524227 FWY524021:FWY524227 GGU524021:GGU524227 GQQ524021:GQQ524227 HAM524021:HAM524227 HKI524021:HKI524227 HUE524021:HUE524227 IEA524021:IEA524227 INW524021:INW524227 IXS524021:IXS524227 JHO524021:JHO524227 JRK524021:JRK524227 KBG524021:KBG524227 KLC524021:KLC524227 KUY524021:KUY524227 LEU524021:LEU524227 LOQ524021:LOQ524227 LYM524021:LYM524227 MII524021:MII524227 MSE524021:MSE524227 NCA524021:NCA524227 NLW524021:NLW524227 NVS524021:NVS524227 OFO524021:OFO524227 OPK524021:OPK524227 OZG524021:OZG524227 PJC524021:PJC524227 PSY524021:PSY524227 QCU524021:QCU524227 QMQ524021:QMQ524227 QWM524021:QWM524227 RGI524021:RGI524227 RQE524021:RQE524227 SAA524021:SAA524227 SJW524021:SJW524227 STS524021:STS524227 TDO524021:TDO524227 TNK524021:TNK524227 TXG524021:TXG524227 UHC524021:UHC524227 UQY524021:UQY524227 VAU524021:VAU524227 VKQ524021:VKQ524227 VUM524021:VUM524227 WEI524021:WEI524227 WOE524021:WOE524227 WYA524021:WYA524227 BU589557:BU589763 LO589557:LO589763 VK589557:VK589763 AFG589557:AFG589763 APC589557:APC589763 AYY589557:AYY589763 BIU589557:BIU589763 BSQ589557:BSQ589763 CCM589557:CCM589763 CMI589557:CMI589763 CWE589557:CWE589763 DGA589557:DGA589763 DPW589557:DPW589763 DZS589557:DZS589763 EJO589557:EJO589763 ETK589557:ETK589763 FDG589557:FDG589763 FNC589557:FNC589763 FWY589557:FWY589763 GGU589557:GGU589763 GQQ589557:GQQ589763 HAM589557:HAM589763 HKI589557:HKI589763 HUE589557:HUE589763 IEA589557:IEA589763 INW589557:INW589763 IXS589557:IXS589763 JHO589557:JHO589763 JRK589557:JRK589763 KBG589557:KBG589763 KLC589557:KLC589763 KUY589557:KUY589763 LEU589557:LEU589763 LOQ589557:LOQ589763 LYM589557:LYM589763 MII589557:MII589763 MSE589557:MSE589763 NCA589557:NCA589763 NLW589557:NLW589763 NVS589557:NVS589763 OFO589557:OFO589763 OPK589557:OPK589763 OZG589557:OZG589763 PJC589557:PJC589763 PSY589557:PSY589763 QCU589557:QCU589763 QMQ589557:QMQ589763 QWM589557:QWM589763 RGI589557:RGI589763 RQE589557:RQE589763 SAA589557:SAA589763 SJW589557:SJW589763 STS589557:STS589763 TDO589557:TDO589763 TNK589557:TNK589763 TXG589557:TXG589763 UHC589557:UHC589763 UQY589557:UQY589763 VAU589557:VAU589763 VKQ589557:VKQ589763 VUM589557:VUM589763 WEI589557:WEI589763 WOE589557:WOE589763 WYA589557:WYA589763 BU655093:BU655299 LO655093:LO655299 VK655093:VK655299 AFG655093:AFG655299 APC655093:APC655299 AYY655093:AYY655299 BIU655093:BIU655299 BSQ655093:BSQ655299 CCM655093:CCM655299 CMI655093:CMI655299 CWE655093:CWE655299 DGA655093:DGA655299 DPW655093:DPW655299 DZS655093:DZS655299 EJO655093:EJO655299 ETK655093:ETK655299 FDG655093:FDG655299 FNC655093:FNC655299 FWY655093:FWY655299 GGU655093:GGU655299 GQQ655093:GQQ655299 HAM655093:HAM655299 HKI655093:HKI655299 HUE655093:HUE655299 IEA655093:IEA655299 INW655093:INW655299 IXS655093:IXS655299 JHO655093:JHO655299 JRK655093:JRK655299 KBG655093:KBG655299 KLC655093:KLC655299 KUY655093:KUY655299 LEU655093:LEU655299 LOQ655093:LOQ655299 LYM655093:LYM655299 MII655093:MII655299 MSE655093:MSE655299 NCA655093:NCA655299 NLW655093:NLW655299 NVS655093:NVS655299 OFO655093:OFO655299 OPK655093:OPK655299 OZG655093:OZG655299 PJC655093:PJC655299 PSY655093:PSY655299 QCU655093:QCU655299 QMQ655093:QMQ655299 QWM655093:QWM655299 RGI655093:RGI655299 RQE655093:RQE655299 SAA655093:SAA655299 SJW655093:SJW655299 STS655093:STS655299 TDO655093:TDO655299 TNK655093:TNK655299 TXG655093:TXG655299 UHC655093:UHC655299 UQY655093:UQY655299 VAU655093:VAU655299 VKQ655093:VKQ655299 VUM655093:VUM655299 WEI655093:WEI655299 WOE655093:WOE655299 WYA655093:WYA655299 BU720629:BU720835 LO720629:LO720835 VK720629:VK720835 AFG720629:AFG720835 APC720629:APC720835 AYY720629:AYY720835 BIU720629:BIU720835 BSQ720629:BSQ720835 CCM720629:CCM720835 CMI720629:CMI720835 CWE720629:CWE720835 DGA720629:DGA720835 DPW720629:DPW720835 DZS720629:DZS720835 EJO720629:EJO720835 ETK720629:ETK720835 FDG720629:FDG720835 FNC720629:FNC720835 FWY720629:FWY720835 GGU720629:GGU720835 GQQ720629:GQQ720835 HAM720629:HAM720835 HKI720629:HKI720835 HUE720629:HUE720835 IEA720629:IEA720835 INW720629:INW720835 IXS720629:IXS720835 JHO720629:JHO720835 JRK720629:JRK720835 KBG720629:KBG720835 KLC720629:KLC720835 KUY720629:KUY720835 LEU720629:LEU720835 LOQ720629:LOQ720835 LYM720629:LYM720835 MII720629:MII720835 MSE720629:MSE720835 NCA720629:NCA720835 NLW720629:NLW720835 NVS720629:NVS720835 OFO720629:OFO720835 OPK720629:OPK720835 OZG720629:OZG720835 PJC720629:PJC720835 PSY720629:PSY720835 QCU720629:QCU720835 QMQ720629:QMQ720835 QWM720629:QWM720835 RGI720629:RGI720835 RQE720629:RQE720835 SAA720629:SAA720835 SJW720629:SJW720835 STS720629:STS720835 TDO720629:TDO720835 TNK720629:TNK720835 TXG720629:TXG720835 UHC720629:UHC720835 UQY720629:UQY720835 VAU720629:VAU720835 VKQ720629:VKQ720835 VUM720629:VUM720835 WEI720629:WEI720835 WOE720629:WOE720835 WYA720629:WYA720835 BU786165:BU786371 LO786165:LO786371 VK786165:VK786371 AFG786165:AFG786371 APC786165:APC786371 AYY786165:AYY786371 BIU786165:BIU786371 BSQ786165:BSQ786371 CCM786165:CCM786371 CMI786165:CMI786371 CWE786165:CWE786371 DGA786165:DGA786371 DPW786165:DPW786371 DZS786165:DZS786371 EJO786165:EJO786371 ETK786165:ETK786371 FDG786165:FDG786371 FNC786165:FNC786371 FWY786165:FWY786371 GGU786165:GGU786371 GQQ786165:GQQ786371 HAM786165:HAM786371 HKI786165:HKI786371 HUE786165:HUE786371 IEA786165:IEA786371 INW786165:INW786371 IXS786165:IXS786371 JHO786165:JHO786371 JRK786165:JRK786371 KBG786165:KBG786371 KLC786165:KLC786371 KUY786165:KUY786371 LEU786165:LEU786371 LOQ786165:LOQ786371 LYM786165:LYM786371 MII786165:MII786371 MSE786165:MSE786371 NCA786165:NCA786371 NLW786165:NLW786371 NVS786165:NVS786371 OFO786165:OFO786371 OPK786165:OPK786371 OZG786165:OZG786371 PJC786165:PJC786371 PSY786165:PSY786371 QCU786165:QCU786371 QMQ786165:QMQ786371 QWM786165:QWM786371 RGI786165:RGI786371 RQE786165:RQE786371 SAA786165:SAA786371 SJW786165:SJW786371 STS786165:STS786371 TDO786165:TDO786371 TNK786165:TNK786371 TXG786165:TXG786371 UHC786165:UHC786371 UQY786165:UQY786371 VAU786165:VAU786371 VKQ786165:VKQ786371 VUM786165:VUM786371 WEI786165:WEI786371 WOE786165:WOE786371 WYA786165:WYA786371 BU851701:BU851907 LO851701:LO851907 VK851701:VK851907 AFG851701:AFG851907 APC851701:APC851907 AYY851701:AYY851907 BIU851701:BIU851907 BSQ851701:BSQ851907 CCM851701:CCM851907 CMI851701:CMI851907 CWE851701:CWE851907 DGA851701:DGA851907 DPW851701:DPW851907 DZS851701:DZS851907 EJO851701:EJO851907 ETK851701:ETK851907 FDG851701:FDG851907 FNC851701:FNC851907 FWY851701:FWY851907 GGU851701:GGU851907 GQQ851701:GQQ851907 HAM851701:HAM851907 HKI851701:HKI851907 HUE851701:HUE851907 IEA851701:IEA851907 INW851701:INW851907 IXS851701:IXS851907 JHO851701:JHO851907 JRK851701:JRK851907 KBG851701:KBG851907 KLC851701:KLC851907 KUY851701:KUY851907 LEU851701:LEU851907 LOQ851701:LOQ851907 LYM851701:LYM851907 MII851701:MII851907 MSE851701:MSE851907 NCA851701:NCA851907 NLW851701:NLW851907 NVS851701:NVS851907 OFO851701:OFO851907 OPK851701:OPK851907 OZG851701:OZG851907 PJC851701:PJC851907 PSY851701:PSY851907 QCU851701:QCU851907 QMQ851701:QMQ851907 QWM851701:QWM851907 RGI851701:RGI851907 RQE851701:RQE851907 SAA851701:SAA851907 SJW851701:SJW851907 STS851701:STS851907 TDO851701:TDO851907 TNK851701:TNK851907 TXG851701:TXG851907 UHC851701:UHC851907 UQY851701:UQY851907 VAU851701:VAU851907 VKQ851701:VKQ851907 VUM851701:VUM851907 WEI851701:WEI851907 WOE851701:WOE851907 WYA851701:WYA851907 BU917237:BU917443 LO917237:LO917443 VK917237:VK917443 AFG917237:AFG917443 APC917237:APC917443 AYY917237:AYY917443 BIU917237:BIU917443 BSQ917237:BSQ917443 CCM917237:CCM917443 CMI917237:CMI917443 CWE917237:CWE917443 DGA917237:DGA917443 DPW917237:DPW917443 DZS917237:DZS917443 EJO917237:EJO917443 ETK917237:ETK917443 FDG917237:FDG917443 FNC917237:FNC917443 FWY917237:FWY917443 GGU917237:GGU917443 GQQ917237:GQQ917443 HAM917237:HAM917443 HKI917237:HKI917443 HUE917237:HUE917443 IEA917237:IEA917443 INW917237:INW917443 IXS917237:IXS917443 JHO917237:JHO917443 JRK917237:JRK917443 KBG917237:KBG917443 KLC917237:KLC917443 KUY917237:KUY917443 LEU917237:LEU917443 LOQ917237:LOQ917443 LYM917237:LYM917443 MII917237:MII917443 MSE917237:MSE917443 NCA917237:NCA917443 NLW917237:NLW917443 NVS917237:NVS917443 OFO917237:OFO917443 OPK917237:OPK917443 OZG917237:OZG917443 PJC917237:PJC917443 PSY917237:PSY917443 QCU917237:QCU917443 QMQ917237:QMQ917443 QWM917237:QWM917443 RGI917237:RGI917443 RQE917237:RQE917443 SAA917237:SAA917443 SJW917237:SJW917443 STS917237:STS917443 TDO917237:TDO917443 TNK917237:TNK917443 TXG917237:TXG917443 UHC917237:UHC917443 UQY917237:UQY917443 VAU917237:VAU917443 VKQ917237:VKQ917443 VUM917237:VUM917443 WEI917237:WEI917443 WOE917237:WOE917443 WYA917237:WYA917443 BU982773:BU982979 LO982773:LO982979 VK982773:VK982979 AFG982773:AFG982979 APC982773:APC982979 AYY982773:AYY982979 BIU982773:BIU982979 BSQ982773:BSQ982979 CCM982773:CCM982979 CMI982773:CMI982979 CWE982773:CWE982979 DGA982773:DGA982979 DPW982773:DPW982979 DZS982773:DZS982979 EJO982773:EJO982979 ETK982773:ETK982979 FDG982773:FDG982979 FNC982773:FNC982979 FWY982773:FWY982979 GGU982773:GGU982979 GQQ982773:GQQ982979 HAM982773:HAM982979 HKI982773:HKI982979 HUE982773:HUE982979 IEA982773:IEA982979 INW982773:INW982979 IXS982773:IXS982979 JHO982773:JHO982979 JRK982773:JRK982979 KBG982773:KBG982979 KLC982773:KLC982979 KUY982773:KUY982979 LEU982773:LEU982979 LOQ982773:LOQ982979 LYM982773:LYM982979 MII982773:MII982979 MSE982773:MSE982979 NCA982773:NCA982979 NLW982773:NLW982979 NVS982773:NVS982979 OFO982773:OFO982979 OPK982773:OPK982979 OZG982773:OZG982979 PJC982773:PJC982979 PSY982773:PSY982979 QCU982773:QCU982979 QMQ982773:QMQ982979 QWM982773:QWM982979 RGI982773:RGI982979 RQE982773:RQE982979 SAA982773:SAA982979 SJW982773:SJW982979 STS982773:STS982979 TDO982773:TDO982979 TNK982773:TNK982979 TXG982773:TXG982979 UHC982773:UHC982979 UQY982773:UQY982979 VAU982773:VAU982979 VKQ982773:VKQ982979 VUM982773:VUM982979 WEI982773:WEI982979 WOE982773:WOE982979 WYA982773:WYA982979 WYA5:WYA11 LO5:LO11 VK5:VK11 AFG5:AFG11 APC5:APC11 AYY5:AYY11 BIU5:BIU11 BSQ5:BSQ11 CCM5:CCM11 CMI5:CMI11 CWE5:CWE11 DGA5:DGA11 DPW5:DPW11 DZS5:DZS11 EJO5:EJO11 ETK5:ETK11 FDG5:FDG11 FNC5:FNC11 FWY5:FWY11 GGU5:GGU11 GQQ5:GQQ11 HAM5:HAM11 HKI5:HKI11 HUE5:HUE11 IEA5:IEA11 INW5:INW11 IXS5:IXS11 JHO5:JHO11 JRK5:JRK11 KBG5:KBG11 KLC5:KLC11 KUY5:KUY11 LEU5:LEU11 LOQ5:LOQ11 LYM5:LYM11 MII5:MII11 MSE5:MSE11 NCA5:NCA11 NLW5:NLW11 NVS5:NVS11 OFO5:OFO11 OPK5:OPK11 OZG5:OZG11 PJC5:PJC11 PSY5:PSY11 QCU5:QCU11 QMQ5:QMQ11 QWM5:QWM11 RGI5:RGI11 RQE5:RQE11 SAA5:SAA11 SJW5:SJW11 STS5:STS11 TDO5:TDO11 TNK5:TNK11 TXG5:TXG11 UHC5:UHC11 UQY5:UQY11 VAU5:VAU11 VKQ5:VKQ11 VUM5:VUM11 WEI5:WEI11 WOE5:WOE11">
      <formula1>1</formula1>
      <formula2>12</formula2>
    </dataValidation>
    <dataValidation type="list" allowBlank="1" showInputMessage="1" showErrorMessage="1" sqref="CF65269:CF65471 WYH982773:WYJ982975 LV5:LX11 VR5:VT11 AFN5:AFP11 APJ5:APL11 AZF5:AZH11 BJB5:BJD11 BSX5:BSZ11 CCT5:CCV11 CMP5:CMR11 CWL5:CWN11 DGH5:DGJ11 DQD5:DQF11 DZZ5:EAB11 EJV5:EJX11 ETR5:ETT11 FDN5:FDP11 FNJ5:FNL11 FXF5:FXH11 GHB5:GHD11 GQX5:GQZ11 HAT5:HAV11 HKP5:HKR11 HUL5:HUN11 IEH5:IEJ11 IOD5:IOF11 IXZ5:IYB11 JHV5:JHX11 JRR5:JRT11 KBN5:KBP11 KLJ5:KLL11 KVF5:KVH11 LFB5:LFD11 LOX5:LOZ11 LYT5:LYV11 MIP5:MIR11 MSL5:MSN11 NCH5:NCJ11 NMD5:NMF11 NVZ5:NWB11 OFV5:OFX11 OPR5:OPT11 OZN5:OZP11 PJJ5:PJL11 PTF5:PTH11 QDB5:QDD11 QMX5:QMZ11 QWT5:QWV11 RGP5:RGR11 RQL5:RQN11 SAH5:SAJ11 SKD5:SKF11 STZ5:SUB11 TDV5:TDX11 TNR5:TNT11 TXN5:TXP11 UHJ5:UHL11 URF5:URH11 VBB5:VBD11 VKX5:VKZ11 VUT5:VUV11 WEP5:WER11 WOL5:WON11 WYH5:WYJ11 LV65269:LX65471 VR65269:VT65471 AFN65269:AFP65471 APJ65269:APL65471 AZF65269:AZH65471 BJB65269:BJD65471 BSX65269:BSZ65471 CCT65269:CCV65471 CMP65269:CMR65471 CWL65269:CWN65471 DGH65269:DGJ65471 DQD65269:DQF65471 DZZ65269:EAB65471 EJV65269:EJX65471 ETR65269:ETT65471 FDN65269:FDP65471 FNJ65269:FNL65471 FXF65269:FXH65471 GHB65269:GHD65471 GQX65269:GQZ65471 HAT65269:HAV65471 HKP65269:HKR65471 HUL65269:HUN65471 IEH65269:IEJ65471 IOD65269:IOF65471 IXZ65269:IYB65471 JHV65269:JHX65471 JRR65269:JRT65471 KBN65269:KBP65471 KLJ65269:KLL65471 KVF65269:KVH65471 LFB65269:LFD65471 LOX65269:LOZ65471 LYT65269:LYV65471 MIP65269:MIR65471 MSL65269:MSN65471 NCH65269:NCJ65471 NMD65269:NMF65471 NVZ65269:NWB65471 OFV65269:OFX65471 OPR65269:OPT65471 OZN65269:OZP65471 PJJ65269:PJL65471 PTF65269:PTH65471 QDB65269:QDD65471 QMX65269:QMZ65471 QWT65269:QWV65471 RGP65269:RGR65471 RQL65269:RQN65471 SAH65269:SAJ65471 SKD65269:SKF65471 STZ65269:SUB65471 TDV65269:TDX65471 TNR65269:TNT65471 TXN65269:TXP65471 UHJ65269:UHL65471 URF65269:URH65471 VBB65269:VBD65471 VKX65269:VKZ65471 VUT65269:VUV65471 WEP65269:WER65471 WOL65269:WON65471 WYH65269:WYJ65471 CF130805:CF131007 LV130805:LX131007 VR130805:VT131007 AFN130805:AFP131007 APJ130805:APL131007 AZF130805:AZH131007 BJB130805:BJD131007 BSX130805:BSZ131007 CCT130805:CCV131007 CMP130805:CMR131007 CWL130805:CWN131007 DGH130805:DGJ131007 DQD130805:DQF131007 DZZ130805:EAB131007 EJV130805:EJX131007 ETR130805:ETT131007 FDN130805:FDP131007 FNJ130805:FNL131007 FXF130805:FXH131007 GHB130805:GHD131007 GQX130805:GQZ131007 HAT130805:HAV131007 HKP130805:HKR131007 HUL130805:HUN131007 IEH130805:IEJ131007 IOD130805:IOF131007 IXZ130805:IYB131007 JHV130805:JHX131007 JRR130805:JRT131007 KBN130805:KBP131007 KLJ130805:KLL131007 KVF130805:KVH131007 LFB130805:LFD131007 LOX130805:LOZ131007 LYT130805:LYV131007 MIP130805:MIR131007 MSL130805:MSN131007 NCH130805:NCJ131007 NMD130805:NMF131007 NVZ130805:NWB131007 OFV130805:OFX131007 OPR130805:OPT131007 OZN130805:OZP131007 PJJ130805:PJL131007 PTF130805:PTH131007 QDB130805:QDD131007 QMX130805:QMZ131007 QWT130805:QWV131007 RGP130805:RGR131007 RQL130805:RQN131007 SAH130805:SAJ131007 SKD130805:SKF131007 STZ130805:SUB131007 TDV130805:TDX131007 TNR130805:TNT131007 TXN130805:TXP131007 UHJ130805:UHL131007 URF130805:URH131007 VBB130805:VBD131007 VKX130805:VKZ131007 VUT130805:VUV131007 WEP130805:WER131007 WOL130805:WON131007 WYH130805:WYJ131007 CF196341:CF196543 LV196341:LX196543 VR196341:VT196543 AFN196341:AFP196543 APJ196341:APL196543 AZF196341:AZH196543 BJB196341:BJD196543 BSX196341:BSZ196543 CCT196341:CCV196543 CMP196341:CMR196543 CWL196341:CWN196543 DGH196341:DGJ196543 DQD196341:DQF196543 DZZ196341:EAB196543 EJV196341:EJX196543 ETR196341:ETT196543 FDN196341:FDP196543 FNJ196341:FNL196543 FXF196341:FXH196543 GHB196341:GHD196543 GQX196341:GQZ196543 HAT196341:HAV196543 HKP196341:HKR196543 HUL196341:HUN196543 IEH196341:IEJ196543 IOD196341:IOF196543 IXZ196341:IYB196543 JHV196341:JHX196543 JRR196341:JRT196543 KBN196341:KBP196543 KLJ196341:KLL196543 KVF196341:KVH196543 LFB196341:LFD196543 LOX196341:LOZ196543 LYT196341:LYV196543 MIP196341:MIR196543 MSL196341:MSN196543 NCH196341:NCJ196543 NMD196341:NMF196543 NVZ196341:NWB196543 OFV196341:OFX196543 OPR196341:OPT196543 OZN196341:OZP196543 PJJ196341:PJL196543 PTF196341:PTH196543 QDB196341:QDD196543 QMX196341:QMZ196543 QWT196341:QWV196543 RGP196341:RGR196543 RQL196341:RQN196543 SAH196341:SAJ196543 SKD196341:SKF196543 STZ196341:SUB196543 TDV196341:TDX196543 TNR196341:TNT196543 TXN196341:TXP196543 UHJ196341:UHL196543 URF196341:URH196543 VBB196341:VBD196543 VKX196341:VKZ196543 VUT196341:VUV196543 WEP196341:WER196543 WOL196341:WON196543 WYH196341:WYJ196543 CF261877:CF262079 LV261877:LX262079 VR261877:VT262079 AFN261877:AFP262079 APJ261877:APL262079 AZF261877:AZH262079 BJB261877:BJD262079 BSX261877:BSZ262079 CCT261877:CCV262079 CMP261877:CMR262079 CWL261877:CWN262079 DGH261877:DGJ262079 DQD261877:DQF262079 DZZ261877:EAB262079 EJV261877:EJX262079 ETR261877:ETT262079 FDN261877:FDP262079 FNJ261877:FNL262079 FXF261877:FXH262079 GHB261877:GHD262079 GQX261877:GQZ262079 HAT261877:HAV262079 HKP261877:HKR262079 HUL261877:HUN262079 IEH261877:IEJ262079 IOD261877:IOF262079 IXZ261877:IYB262079 JHV261877:JHX262079 JRR261877:JRT262079 KBN261877:KBP262079 KLJ261877:KLL262079 KVF261877:KVH262079 LFB261877:LFD262079 LOX261877:LOZ262079 LYT261877:LYV262079 MIP261877:MIR262079 MSL261877:MSN262079 NCH261877:NCJ262079 NMD261877:NMF262079 NVZ261877:NWB262079 OFV261877:OFX262079 OPR261877:OPT262079 OZN261877:OZP262079 PJJ261877:PJL262079 PTF261877:PTH262079 QDB261877:QDD262079 QMX261877:QMZ262079 QWT261877:QWV262079 RGP261877:RGR262079 RQL261877:RQN262079 SAH261877:SAJ262079 SKD261877:SKF262079 STZ261877:SUB262079 TDV261877:TDX262079 TNR261877:TNT262079 TXN261877:TXP262079 UHJ261877:UHL262079 URF261877:URH262079 VBB261877:VBD262079 VKX261877:VKZ262079 VUT261877:VUV262079 WEP261877:WER262079 WOL261877:WON262079 WYH261877:WYJ262079 CF327413:CF327615 LV327413:LX327615 VR327413:VT327615 AFN327413:AFP327615 APJ327413:APL327615 AZF327413:AZH327615 BJB327413:BJD327615 BSX327413:BSZ327615 CCT327413:CCV327615 CMP327413:CMR327615 CWL327413:CWN327615 DGH327413:DGJ327615 DQD327413:DQF327615 DZZ327413:EAB327615 EJV327413:EJX327615 ETR327413:ETT327615 FDN327413:FDP327615 FNJ327413:FNL327615 FXF327413:FXH327615 GHB327413:GHD327615 GQX327413:GQZ327615 HAT327413:HAV327615 HKP327413:HKR327615 HUL327413:HUN327615 IEH327413:IEJ327615 IOD327413:IOF327615 IXZ327413:IYB327615 JHV327413:JHX327615 JRR327413:JRT327615 KBN327413:KBP327615 KLJ327413:KLL327615 KVF327413:KVH327615 LFB327413:LFD327615 LOX327413:LOZ327615 LYT327413:LYV327615 MIP327413:MIR327615 MSL327413:MSN327615 NCH327413:NCJ327615 NMD327413:NMF327615 NVZ327413:NWB327615 OFV327413:OFX327615 OPR327413:OPT327615 OZN327413:OZP327615 PJJ327413:PJL327615 PTF327413:PTH327615 QDB327413:QDD327615 QMX327413:QMZ327615 QWT327413:QWV327615 RGP327413:RGR327615 RQL327413:RQN327615 SAH327413:SAJ327615 SKD327413:SKF327615 STZ327413:SUB327615 TDV327413:TDX327615 TNR327413:TNT327615 TXN327413:TXP327615 UHJ327413:UHL327615 URF327413:URH327615 VBB327413:VBD327615 VKX327413:VKZ327615 VUT327413:VUV327615 WEP327413:WER327615 WOL327413:WON327615 WYH327413:WYJ327615 CF392949:CF393151 LV392949:LX393151 VR392949:VT393151 AFN392949:AFP393151 APJ392949:APL393151 AZF392949:AZH393151 BJB392949:BJD393151 BSX392949:BSZ393151 CCT392949:CCV393151 CMP392949:CMR393151 CWL392949:CWN393151 DGH392949:DGJ393151 DQD392949:DQF393151 DZZ392949:EAB393151 EJV392949:EJX393151 ETR392949:ETT393151 FDN392949:FDP393151 FNJ392949:FNL393151 FXF392949:FXH393151 GHB392949:GHD393151 GQX392949:GQZ393151 HAT392949:HAV393151 HKP392949:HKR393151 HUL392949:HUN393151 IEH392949:IEJ393151 IOD392949:IOF393151 IXZ392949:IYB393151 JHV392949:JHX393151 JRR392949:JRT393151 KBN392949:KBP393151 KLJ392949:KLL393151 KVF392949:KVH393151 LFB392949:LFD393151 LOX392949:LOZ393151 LYT392949:LYV393151 MIP392949:MIR393151 MSL392949:MSN393151 NCH392949:NCJ393151 NMD392949:NMF393151 NVZ392949:NWB393151 OFV392949:OFX393151 OPR392949:OPT393151 OZN392949:OZP393151 PJJ392949:PJL393151 PTF392949:PTH393151 QDB392949:QDD393151 QMX392949:QMZ393151 QWT392949:QWV393151 RGP392949:RGR393151 RQL392949:RQN393151 SAH392949:SAJ393151 SKD392949:SKF393151 STZ392949:SUB393151 TDV392949:TDX393151 TNR392949:TNT393151 TXN392949:TXP393151 UHJ392949:UHL393151 URF392949:URH393151 VBB392949:VBD393151 VKX392949:VKZ393151 VUT392949:VUV393151 WEP392949:WER393151 WOL392949:WON393151 WYH392949:WYJ393151 CF458485:CF458687 LV458485:LX458687 VR458485:VT458687 AFN458485:AFP458687 APJ458485:APL458687 AZF458485:AZH458687 BJB458485:BJD458687 BSX458485:BSZ458687 CCT458485:CCV458687 CMP458485:CMR458687 CWL458485:CWN458687 DGH458485:DGJ458687 DQD458485:DQF458687 DZZ458485:EAB458687 EJV458485:EJX458687 ETR458485:ETT458687 FDN458485:FDP458687 FNJ458485:FNL458687 FXF458485:FXH458687 GHB458485:GHD458687 GQX458485:GQZ458687 HAT458485:HAV458687 HKP458485:HKR458687 HUL458485:HUN458687 IEH458485:IEJ458687 IOD458485:IOF458687 IXZ458485:IYB458687 JHV458485:JHX458687 JRR458485:JRT458687 KBN458485:KBP458687 KLJ458485:KLL458687 KVF458485:KVH458687 LFB458485:LFD458687 LOX458485:LOZ458687 LYT458485:LYV458687 MIP458485:MIR458687 MSL458485:MSN458687 NCH458485:NCJ458687 NMD458485:NMF458687 NVZ458485:NWB458687 OFV458485:OFX458687 OPR458485:OPT458687 OZN458485:OZP458687 PJJ458485:PJL458687 PTF458485:PTH458687 QDB458485:QDD458687 QMX458485:QMZ458687 QWT458485:QWV458687 RGP458485:RGR458687 RQL458485:RQN458687 SAH458485:SAJ458687 SKD458485:SKF458687 STZ458485:SUB458687 TDV458485:TDX458687 TNR458485:TNT458687 TXN458485:TXP458687 UHJ458485:UHL458687 URF458485:URH458687 VBB458485:VBD458687 VKX458485:VKZ458687 VUT458485:VUV458687 WEP458485:WER458687 WOL458485:WON458687 WYH458485:WYJ458687 CF524021:CF524223 LV524021:LX524223 VR524021:VT524223 AFN524021:AFP524223 APJ524021:APL524223 AZF524021:AZH524223 BJB524021:BJD524223 BSX524021:BSZ524223 CCT524021:CCV524223 CMP524021:CMR524223 CWL524021:CWN524223 DGH524021:DGJ524223 DQD524021:DQF524223 DZZ524021:EAB524223 EJV524021:EJX524223 ETR524021:ETT524223 FDN524021:FDP524223 FNJ524021:FNL524223 FXF524021:FXH524223 GHB524021:GHD524223 GQX524021:GQZ524223 HAT524021:HAV524223 HKP524021:HKR524223 HUL524021:HUN524223 IEH524021:IEJ524223 IOD524021:IOF524223 IXZ524021:IYB524223 JHV524021:JHX524223 JRR524021:JRT524223 KBN524021:KBP524223 KLJ524021:KLL524223 KVF524021:KVH524223 LFB524021:LFD524223 LOX524021:LOZ524223 LYT524021:LYV524223 MIP524021:MIR524223 MSL524021:MSN524223 NCH524021:NCJ524223 NMD524021:NMF524223 NVZ524021:NWB524223 OFV524021:OFX524223 OPR524021:OPT524223 OZN524021:OZP524223 PJJ524021:PJL524223 PTF524021:PTH524223 QDB524021:QDD524223 QMX524021:QMZ524223 QWT524021:QWV524223 RGP524021:RGR524223 RQL524021:RQN524223 SAH524021:SAJ524223 SKD524021:SKF524223 STZ524021:SUB524223 TDV524021:TDX524223 TNR524021:TNT524223 TXN524021:TXP524223 UHJ524021:UHL524223 URF524021:URH524223 VBB524021:VBD524223 VKX524021:VKZ524223 VUT524021:VUV524223 WEP524021:WER524223 WOL524021:WON524223 WYH524021:WYJ524223 CF589557:CF589759 LV589557:LX589759 VR589557:VT589759 AFN589557:AFP589759 APJ589557:APL589759 AZF589557:AZH589759 BJB589557:BJD589759 BSX589557:BSZ589759 CCT589557:CCV589759 CMP589557:CMR589759 CWL589557:CWN589759 DGH589557:DGJ589759 DQD589557:DQF589759 DZZ589557:EAB589759 EJV589557:EJX589759 ETR589557:ETT589759 FDN589557:FDP589759 FNJ589557:FNL589759 FXF589557:FXH589759 GHB589557:GHD589759 GQX589557:GQZ589759 HAT589557:HAV589759 HKP589557:HKR589759 HUL589557:HUN589759 IEH589557:IEJ589759 IOD589557:IOF589759 IXZ589557:IYB589759 JHV589557:JHX589759 JRR589557:JRT589759 KBN589557:KBP589759 KLJ589557:KLL589759 KVF589557:KVH589759 LFB589557:LFD589759 LOX589557:LOZ589759 LYT589557:LYV589759 MIP589557:MIR589759 MSL589557:MSN589759 NCH589557:NCJ589759 NMD589557:NMF589759 NVZ589557:NWB589759 OFV589557:OFX589759 OPR589557:OPT589759 OZN589557:OZP589759 PJJ589557:PJL589759 PTF589557:PTH589759 QDB589557:QDD589759 QMX589557:QMZ589759 QWT589557:QWV589759 RGP589557:RGR589759 RQL589557:RQN589759 SAH589557:SAJ589759 SKD589557:SKF589759 STZ589557:SUB589759 TDV589557:TDX589759 TNR589557:TNT589759 TXN589557:TXP589759 UHJ589557:UHL589759 URF589557:URH589759 VBB589557:VBD589759 VKX589557:VKZ589759 VUT589557:VUV589759 WEP589557:WER589759 WOL589557:WON589759 WYH589557:WYJ589759 CF655093:CF655295 LV655093:LX655295 VR655093:VT655295 AFN655093:AFP655295 APJ655093:APL655295 AZF655093:AZH655295 BJB655093:BJD655295 BSX655093:BSZ655295 CCT655093:CCV655295 CMP655093:CMR655295 CWL655093:CWN655295 DGH655093:DGJ655295 DQD655093:DQF655295 DZZ655093:EAB655295 EJV655093:EJX655295 ETR655093:ETT655295 FDN655093:FDP655295 FNJ655093:FNL655295 FXF655093:FXH655295 GHB655093:GHD655295 GQX655093:GQZ655295 HAT655093:HAV655295 HKP655093:HKR655295 HUL655093:HUN655295 IEH655093:IEJ655295 IOD655093:IOF655295 IXZ655093:IYB655295 JHV655093:JHX655295 JRR655093:JRT655295 KBN655093:KBP655295 KLJ655093:KLL655295 KVF655093:KVH655295 LFB655093:LFD655295 LOX655093:LOZ655295 LYT655093:LYV655295 MIP655093:MIR655295 MSL655093:MSN655295 NCH655093:NCJ655295 NMD655093:NMF655295 NVZ655093:NWB655295 OFV655093:OFX655295 OPR655093:OPT655295 OZN655093:OZP655295 PJJ655093:PJL655295 PTF655093:PTH655295 QDB655093:QDD655295 QMX655093:QMZ655295 QWT655093:QWV655295 RGP655093:RGR655295 RQL655093:RQN655295 SAH655093:SAJ655295 SKD655093:SKF655295 STZ655093:SUB655295 TDV655093:TDX655295 TNR655093:TNT655295 TXN655093:TXP655295 UHJ655093:UHL655295 URF655093:URH655295 VBB655093:VBD655295 VKX655093:VKZ655295 VUT655093:VUV655295 WEP655093:WER655295 WOL655093:WON655295 WYH655093:WYJ655295 CF720629:CF720831 LV720629:LX720831 VR720629:VT720831 AFN720629:AFP720831 APJ720629:APL720831 AZF720629:AZH720831 BJB720629:BJD720831 BSX720629:BSZ720831 CCT720629:CCV720831 CMP720629:CMR720831 CWL720629:CWN720831 DGH720629:DGJ720831 DQD720629:DQF720831 DZZ720629:EAB720831 EJV720629:EJX720831 ETR720629:ETT720831 FDN720629:FDP720831 FNJ720629:FNL720831 FXF720629:FXH720831 GHB720629:GHD720831 GQX720629:GQZ720831 HAT720629:HAV720831 HKP720629:HKR720831 HUL720629:HUN720831 IEH720629:IEJ720831 IOD720629:IOF720831 IXZ720629:IYB720831 JHV720629:JHX720831 JRR720629:JRT720831 KBN720629:KBP720831 KLJ720629:KLL720831 KVF720629:KVH720831 LFB720629:LFD720831 LOX720629:LOZ720831 LYT720629:LYV720831 MIP720629:MIR720831 MSL720629:MSN720831 NCH720629:NCJ720831 NMD720629:NMF720831 NVZ720629:NWB720831 OFV720629:OFX720831 OPR720629:OPT720831 OZN720629:OZP720831 PJJ720629:PJL720831 PTF720629:PTH720831 QDB720629:QDD720831 QMX720629:QMZ720831 QWT720629:QWV720831 RGP720629:RGR720831 RQL720629:RQN720831 SAH720629:SAJ720831 SKD720629:SKF720831 STZ720629:SUB720831 TDV720629:TDX720831 TNR720629:TNT720831 TXN720629:TXP720831 UHJ720629:UHL720831 URF720629:URH720831 VBB720629:VBD720831 VKX720629:VKZ720831 VUT720629:VUV720831 WEP720629:WER720831 WOL720629:WON720831 WYH720629:WYJ720831 CF786165:CF786367 LV786165:LX786367 VR786165:VT786367 AFN786165:AFP786367 APJ786165:APL786367 AZF786165:AZH786367 BJB786165:BJD786367 BSX786165:BSZ786367 CCT786165:CCV786367 CMP786165:CMR786367 CWL786165:CWN786367 DGH786165:DGJ786367 DQD786165:DQF786367 DZZ786165:EAB786367 EJV786165:EJX786367 ETR786165:ETT786367 FDN786165:FDP786367 FNJ786165:FNL786367 FXF786165:FXH786367 GHB786165:GHD786367 GQX786165:GQZ786367 HAT786165:HAV786367 HKP786165:HKR786367 HUL786165:HUN786367 IEH786165:IEJ786367 IOD786165:IOF786367 IXZ786165:IYB786367 JHV786165:JHX786367 JRR786165:JRT786367 KBN786165:KBP786367 KLJ786165:KLL786367 KVF786165:KVH786367 LFB786165:LFD786367 LOX786165:LOZ786367 LYT786165:LYV786367 MIP786165:MIR786367 MSL786165:MSN786367 NCH786165:NCJ786367 NMD786165:NMF786367 NVZ786165:NWB786367 OFV786165:OFX786367 OPR786165:OPT786367 OZN786165:OZP786367 PJJ786165:PJL786367 PTF786165:PTH786367 QDB786165:QDD786367 QMX786165:QMZ786367 QWT786165:QWV786367 RGP786165:RGR786367 RQL786165:RQN786367 SAH786165:SAJ786367 SKD786165:SKF786367 STZ786165:SUB786367 TDV786165:TDX786367 TNR786165:TNT786367 TXN786165:TXP786367 UHJ786165:UHL786367 URF786165:URH786367 VBB786165:VBD786367 VKX786165:VKZ786367 VUT786165:VUV786367 WEP786165:WER786367 WOL786165:WON786367 WYH786165:WYJ786367 CF851701:CF851903 LV851701:LX851903 VR851701:VT851903 AFN851701:AFP851903 APJ851701:APL851903 AZF851701:AZH851903 BJB851701:BJD851903 BSX851701:BSZ851903 CCT851701:CCV851903 CMP851701:CMR851903 CWL851701:CWN851903 DGH851701:DGJ851903 DQD851701:DQF851903 DZZ851701:EAB851903 EJV851701:EJX851903 ETR851701:ETT851903 FDN851701:FDP851903 FNJ851701:FNL851903 FXF851701:FXH851903 GHB851701:GHD851903 GQX851701:GQZ851903 HAT851701:HAV851903 HKP851701:HKR851903 HUL851701:HUN851903 IEH851701:IEJ851903 IOD851701:IOF851903 IXZ851701:IYB851903 JHV851701:JHX851903 JRR851701:JRT851903 KBN851701:KBP851903 KLJ851701:KLL851903 KVF851701:KVH851903 LFB851701:LFD851903 LOX851701:LOZ851903 LYT851701:LYV851903 MIP851701:MIR851903 MSL851701:MSN851903 NCH851701:NCJ851903 NMD851701:NMF851903 NVZ851701:NWB851903 OFV851701:OFX851903 OPR851701:OPT851903 OZN851701:OZP851903 PJJ851701:PJL851903 PTF851701:PTH851903 QDB851701:QDD851903 QMX851701:QMZ851903 QWT851701:QWV851903 RGP851701:RGR851903 RQL851701:RQN851903 SAH851701:SAJ851903 SKD851701:SKF851903 STZ851701:SUB851903 TDV851701:TDX851903 TNR851701:TNT851903 TXN851701:TXP851903 UHJ851701:UHL851903 URF851701:URH851903 VBB851701:VBD851903 VKX851701:VKZ851903 VUT851701:VUV851903 WEP851701:WER851903 WOL851701:WON851903 WYH851701:WYJ851903 CF917237:CF917439 LV917237:LX917439 VR917237:VT917439 AFN917237:AFP917439 APJ917237:APL917439 AZF917237:AZH917439 BJB917237:BJD917439 BSX917237:BSZ917439 CCT917237:CCV917439 CMP917237:CMR917439 CWL917237:CWN917439 DGH917237:DGJ917439 DQD917237:DQF917439 DZZ917237:EAB917439 EJV917237:EJX917439 ETR917237:ETT917439 FDN917237:FDP917439 FNJ917237:FNL917439 FXF917237:FXH917439 GHB917237:GHD917439 GQX917237:GQZ917439 HAT917237:HAV917439 HKP917237:HKR917439 HUL917237:HUN917439 IEH917237:IEJ917439 IOD917237:IOF917439 IXZ917237:IYB917439 JHV917237:JHX917439 JRR917237:JRT917439 KBN917237:KBP917439 KLJ917237:KLL917439 KVF917237:KVH917439 LFB917237:LFD917439 LOX917237:LOZ917439 LYT917237:LYV917439 MIP917237:MIR917439 MSL917237:MSN917439 NCH917237:NCJ917439 NMD917237:NMF917439 NVZ917237:NWB917439 OFV917237:OFX917439 OPR917237:OPT917439 OZN917237:OZP917439 PJJ917237:PJL917439 PTF917237:PTH917439 QDB917237:QDD917439 QMX917237:QMZ917439 QWT917237:QWV917439 RGP917237:RGR917439 RQL917237:RQN917439 SAH917237:SAJ917439 SKD917237:SKF917439 STZ917237:SUB917439 TDV917237:TDX917439 TNR917237:TNT917439 TXN917237:TXP917439 UHJ917237:UHL917439 URF917237:URH917439 VBB917237:VBD917439 VKX917237:VKZ917439 VUT917237:VUV917439 WEP917237:WER917439 WOL917237:WON917439 WYH917237:WYJ917439 CF982773:CF982975 LV982773:LX982975 VR982773:VT982975 AFN982773:AFP982975 APJ982773:APL982975 AZF982773:AZH982975 BJB982773:BJD982975 BSX982773:BSZ982975 CCT982773:CCV982975 CMP982773:CMR982975 CWL982773:CWN982975 DGH982773:DGJ982975 DQD982773:DQF982975 DZZ982773:EAB982975 EJV982773:EJX982975 ETR982773:ETT982975 FDN982773:FDP982975 FNJ982773:FNL982975 FXF982773:FXH982975 GHB982773:GHD982975 GQX982773:GQZ982975 HAT982773:HAV982975 HKP982773:HKR982975 HUL982773:HUN982975 IEH982773:IEJ982975 IOD982773:IOF982975 IXZ982773:IYB982975 JHV982773:JHX982975 JRR982773:JRT982975 KBN982773:KBP982975 KLJ982773:KLL982975 KVF982773:KVH982975 LFB982773:LFD982975 LOX982773:LOZ982975 LYT982773:LYV982975 MIP982773:MIR982975 MSL982773:MSN982975 NCH982773:NCJ982975 NMD982773:NMF982975 NVZ982773:NWB982975 OFV982773:OFX982975 OPR982773:OPT982975 OZN982773:OZP982975 PJJ982773:PJL982975 PTF982773:PTH982975 QDB982773:QDD982975 QMX982773:QMZ982975 QWT982773:QWV982975 RGP982773:RGR982975 RQL982773:RQN982975 SAH982773:SAJ982975 SKD982773:SKF982975 STZ982773:SUB982975 TDV982773:TDX982975 TNR982773:TNT982975 TXN982773:TXP982975 UHJ982773:UHL982975 URF982773:URH982975 VBB982773:VBD982975 VKX982773:VKZ982975 VUT982773:VUV982975 WEP982773:WER982975 WOL982773:WON982975">
      <formula1>$G$12:$G$12</formula1>
    </dataValidation>
    <dataValidation type="list" allowBlank="1" showInputMessage="1" showErrorMessage="1" sqref="WWO982976:WWO982979 WMS982976:WMS982979 WCW982976:WCW982979 VTA982976:VTA982979 VJE982976:VJE982979 UZI982976:UZI982979 UPM982976:UPM982979 UFQ982976:UFQ982979 TVU982976:TVU982979 TLY982976:TLY982979 TCC982976:TCC982979 SSG982976:SSG982979 SIK982976:SIK982979 RYO982976:RYO982979 ROS982976:ROS982979 REW982976:REW982979 QVA982976:QVA982979 QLE982976:QLE982979 QBI982976:QBI982979 PRM982976:PRM982979 PHQ982976:PHQ982979 OXU982976:OXU982979 ONY982976:ONY982979 OEC982976:OEC982979 NUG982976:NUG982979 NKK982976:NKK982979 NAO982976:NAO982979 MQS982976:MQS982979 MGW982976:MGW982979 LXA982976:LXA982979 LNE982976:LNE982979 LDI982976:LDI982979 KTM982976:KTM982979 KJQ982976:KJQ982979 JZU982976:JZU982979 JPY982976:JPY982979 JGC982976:JGC982979 IWG982976:IWG982979 IMK982976:IMK982979 ICO982976:ICO982979 HSS982976:HSS982979 HIW982976:HIW982979 GZA982976:GZA982979 GPE982976:GPE982979 GFI982976:GFI982979 FVM982976:FVM982979 FLQ982976:FLQ982979 FBU982976:FBU982979 ERY982976:ERY982979 EIC982976:EIC982979 DYG982976:DYG982979 DOK982976:DOK982979 DEO982976:DEO982979 CUS982976:CUS982979 CKW982976:CKW982979 CBA982976:CBA982979 BRE982976:BRE982979 BHI982976:BHI982979 AXM982976:AXM982979 ANQ982976:ANQ982979 ADU982976:ADU982979 TY982976:TY982979 KC982976:KC982979 W982976:W982979 WWO917440:WWO917443 WMS917440:WMS917443 WCW917440:WCW917443 VTA917440:VTA917443 VJE917440:VJE917443 UZI917440:UZI917443 UPM917440:UPM917443 UFQ917440:UFQ917443 TVU917440:TVU917443 TLY917440:TLY917443 TCC917440:TCC917443 SSG917440:SSG917443 SIK917440:SIK917443 RYO917440:RYO917443 ROS917440:ROS917443 REW917440:REW917443 QVA917440:QVA917443 QLE917440:QLE917443 QBI917440:QBI917443 PRM917440:PRM917443 PHQ917440:PHQ917443 OXU917440:OXU917443 ONY917440:ONY917443 OEC917440:OEC917443 NUG917440:NUG917443 NKK917440:NKK917443 NAO917440:NAO917443 MQS917440:MQS917443 MGW917440:MGW917443 LXA917440:LXA917443 LNE917440:LNE917443 LDI917440:LDI917443 KTM917440:KTM917443 KJQ917440:KJQ917443 JZU917440:JZU917443 JPY917440:JPY917443 JGC917440:JGC917443 IWG917440:IWG917443 IMK917440:IMK917443 ICO917440:ICO917443 HSS917440:HSS917443 HIW917440:HIW917443 GZA917440:GZA917443 GPE917440:GPE917443 GFI917440:GFI917443 FVM917440:FVM917443 FLQ917440:FLQ917443 FBU917440:FBU917443 ERY917440:ERY917443 EIC917440:EIC917443 DYG917440:DYG917443 DOK917440:DOK917443 DEO917440:DEO917443 CUS917440:CUS917443 CKW917440:CKW917443 CBA917440:CBA917443 BRE917440:BRE917443 BHI917440:BHI917443 AXM917440:AXM917443 ANQ917440:ANQ917443 ADU917440:ADU917443 TY917440:TY917443 KC917440:KC917443 W917440:W917443 WWO851904:WWO851907 WMS851904:WMS851907 WCW851904:WCW851907 VTA851904:VTA851907 VJE851904:VJE851907 UZI851904:UZI851907 UPM851904:UPM851907 UFQ851904:UFQ851907 TVU851904:TVU851907 TLY851904:TLY851907 TCC851904:TCC851907 SSG851904:SSG851907 SIK851904:SIK851907 RYO851904:RYO851907 ROS851904:ROS851907 REW851904:REW851907 QVA851904:QVA851907 QLE851904:QLE851907 QBI851904:QBI851907 PRM851904:PRM851907 PHQ851904:PHQ851907 OXU851904:OXU851907 ONY851904:ONY851907 OEC851904:OEC851907 NUG851904:NUG851907 NKK851904:NKK851907 NAO851904:NAO851907 MQS851904:MQS851907 MGW851904:MGW851907 LXA851904:LXA851907 LNE851904:LNE851907 LDI851904:LDI851907 KTM851904:KTM851907 KJQ851904:KJQ851907 JZU851904:JZU851907 JPY851904:JPY851907 JGC851904:JGC851907 IWG851904:IWG851907 IMK851904:IMK851907 ICO851904:ICO851907 HSS851904:HSS851907 HIW851904:HIW851907 GZA851904:GZA851907 GPE851904:GPE851907 GFI851904:GFI851907 FVM851904:FVM851907 FLQ851904:FLQ851907 FBU851904:FBU851907 ERY851904:ERY851907 EIC851904:EIC851907 DYG851904:DYG851907 DOK851904:DOK851907 DEO851904:DEO851907 CUS851904:CUS851907 CKW851904:CKW851907 CBA851904:CBA851907 BRE851904:BRE851907 BHI851904:BHI851907 AXM851904:AXM851907 ANQ851904:ANQ851907 ADU851904:ADU851907 TY851904:TY851907 KC851904:KC851907 W851904:W851907 WWO786368:WWO786371 WMS786368:WMS786371 WCW786368:WCW786371 VTA786368:VTA786371 VJE786368:VJE786371 UZI786368:UZI786371 UPM786368:UPM786371 UFQ786368:UFQ786371 TVU786368:TVU786371 TLY786368:TLY786371 TCC786368:TCC786371 SSG786368:SSG786371 SIK786368:SIK786371 RYO786368:RYO786371 ROS786368:ROS786371 REW786368:REW786371 QVA786368:QVA786371 QLE786368:QLE786371 QBI786368:QBI786371 PRM786368:PRM786371 PHQ786368:PHQ786371 OXU786368:OXU786371 ONY786368:ONY786371 OEC786368:OEC786371 NUG786368:NUG786371 NKK786368:NKK786371 NAO786368:NAO786371 MQS786368:MQS786371 MGW786368:MGW786371 LXA786368:LXA786371 LNE786368:LNE786371 LDI786368:LDI786371 KTM786368:KTM786371 KJQ786368:KJQ786371 JZU786368:JZU786371 JPY786368:JPY786371 JGC786368:JGC786371 IWG786368:IWG786371 IMK786368:IMK786371 ICO786368:ICO786371 HSS786368:HSS786371 HIW786368:HIW786371 GZA786368:GZA786371 GPE786368:GPE786371 GFI786368:GFI786371 FVM786368:FVM786371 FLQ786368:FLQ786371 FBU786368:FBU786371 ERY786368:ERY786371 EIC786368:EIC786371 DYG786368:DYG786371 DOK786368:DOK786371 DEO786368:DEO786371 CUS786368:CUS786371 CKW786368:CKW786371 CBA786368:CBA786371 BRE786368:BRE786371 BHI786368:BHI786371 AXM786368:AXM786371 ANQ786368:ANQ786371 ADU786368:ADU786371 TY786368:TY786371 KC786368:KC786371 W786368:W786371 WWO720832:WWO720835 WMS720832:WMS720835 WCW720832:WCW720835 VTA720832:VTA720835 VJE720832:VJE720835 UZI720832:UZI720835 UPM720832:UPM720835 UFQ720832:UFQ720835 TVU720832:TVU720835 TLY720832:TLY720835 TCC720832:TCC720835 SSG720832:SSG720835 SIK720832:SIK720835 RYO720832:RYO720835 ROS720832:ROS720835 REW720832:REW720835 QVA720832:QVA720835 QLE720832:QLE720835 QBI720832:QBI720835 PRM720832:PRM720835 PHQ720832:PHQ720835 OXU720832:OXU720835 ONY720832:ONY720835 OEC720832:OEC720835 NUG720832:NUG720835 NKK720832:NKK720835 NAO720832:NAO720835 MQS720832:MQS720835 MGW720832:MGW720835 LXA720832:LXA720835 LNE720832:LNE720835 LDI720832:LDI720835 KTM720832:KTM720835 KJQ720832:KJQ720835 JZU720832:JZU720835 JPY720832:JPY720835 JGC720832:JGC720835 IWG720832:IWG720835 IMK720832:IMK720835 ICO720832:ICO720835 HSS720832:HSS720835 HIW720832:HIW720835 GZA720832:GZA720835 GPE720832:GPE720835 GFI720832:GFI720835 FVM720832:FVM720835 FLQ720832:FLQ720835 FBU720832:FBU720835 ERY720832:ERY720835 EIC720832:EIC720835 DYG720832:DYG720835 DOK720832:DOK720835 DEO720832:DEO720835 CUS720832:CUS720835 CKW720832:CKW720835 CBA720832:CBA720835 BRE720832:BRE720835 BHI720832:BHI720835 AXM720832:AXM720835 ANQ720832:ANQ720835 ADU720832:ADU720835 TY720832:TY720835 KC720832:KC720835 W720832:W720835 WWO655296:WWO655299 WMS655296:WMS655299 WCW655296:WCW655299 VTA655296:VTA655299 VJE655296:VJE655299 UZI655296:UZI655299 UPM655296:UPM655299 UFQ655296:UFQ655299 TVU655296:TVU655299 TLY655296:TLY655299 TCC655296:TCC655299 SSG655296:SSG655299 SIK655296:SIK655299 RYO655296:RYO655299 ROS655296:ROS655299 REW655296:REW655299 QVA655296:QVA655299 QLE655296:QLE655299 QBI655296:QBI655299 PRM655296:PRM655299 PHQ655296:PHQ655299 OXU655296:OXU655299 ONY655296:ONY655299 OEC655296:OEC655299 NUG655296:NUG655299 NKK655296:NKK655299 NAO655296:NAO655299 MQS655296:MQS655299 MGW655296:MGW655299 LXA655296:LXA655299 LNE655296:LNE655299 LDI655296:LDI655299 KTM655296:KTM655299 KJQ655296:KJQ655299 JZU655296:JZU655299 JPY655296:JPY655299 JGC655296:JGC655299 IWG655296:IWG655299 IMK655296:IMK655299 ICO655296:ICO655299 HSS655296:HSS655299 HIW655296:HIW655299 GZA655296:GZA655299 GPE655296:GPE655299 GFI655296:GFI655299 FVM655296:FVM655299 FLQ655296:FLQ655299 FBU655296:FBU655299 ERY655296:ERY655299 EIC655296:EIC655299 DYG655296:DYG655299 DOK655296:DOK655299 DEO655296:DEO655299 CUS655296:CUS655299 CKW655296:CKW655299 CBA655296:CBA655299 BRE655296:BRE655299 BHI655296:BHI655299 AXM655296:AXM655299 ANQ655296:ANQ655299 ADU655296:ADU655299 TY655296:TY655299 KC655296:KC655299 W655296:W655299 WWO589760:WWO589763 WMS589760:WMS589763 WCW589760:WCW589763 VTA589760:VTA589763 VJE589760:VJE589763 UZI589760:UZI589763 UPM589760:UPM589763 UFQ589760:UFQ589763 TVU589760:TVU589763 TLY589760:TLY589763 TCC589760:TCC589763 SSG589760:SSG589763 SIK589760:SIK589763 RYO589760:RYO589763 ROS589760:ROS589763 REW589760:REW589763 QVA589760:QVA589763 QLE589760:QLE589763 QBI589760:QBI589763 PRM589760:PRM589763 PHQ589760:PHQ589763 OXU589760:OXU589763 ONY589760:ONY589763 OEC589760:OEC589763 NUG589760:NUG589763 NKK589760:NKK589763 NAO589760:NAO589763 MQS589760:MQS589763 MGW589760:MGW589763 LXA589760:LXA589763 LNE589760:LNE589763 LDI589760:LDI589763 KTM589760:KTM589763 KJQ589760:KJQ589763 JZU589760:JZU589763 JPY589760:JPY589763 JGC589760:JGC589763 IWG589760:IWG589763 IMK589760:IMK589763 ICO589760:ICO589763 HSS589760:HSS589763 HIW589760:HIW589763 GZA589760:GZA589763 GPE589760:GPE589763 GFI589760:GFI589763 FVM589760:FVM589763 FLQ589760:FLQ589763 FBU589760:FBU589763 ERY589760:ERY589763 EIC589760:EIC589763 DYG589760:DYG589763 DOK589760:DOK589763 DEO589760:DEO589763 CUS589760:CUS589763 CKW589760:CKW589763 CBA589760:CBA589763 BRE589760:BRE589763 BHI589760:BHI589763 AXM589760:AXM589763 ANQ589760:ANQ589763 ADU589760:ADU589763 TY589760:TY589763 KC589760:KC589763 W589760:W589763 WWO524224:WWO524227 WMS524224:WMS524227 WCW524224:WCW524227 VTA524224:VTA524227 VJE524224:VJE524227 UZI524224:UZI524227 UPM524224:UPM524227 UFQ524224:UFQ524227 TVU524224:TVU524227 TLY524224:TLY524227 TCC524224:TCC524227 SSG524224:SSG524227 SIK524224:SIK524227 RYO524224:RYO524227 ROS524224:ROS524227 REW524224:REW524227 QVA524224:QVA524227 QLE524224:QLE524227 QBI524224:QBI524227 PRM524224:PRM524227 PHQ524224:PHQ524227 OXU524224:OXU524227 ONY524224:ONY524227 OEC524224:OEC524227 NUG524224:NUG524227 NKK524224:NKK524227 NAO524224:NAO524227 MQS524224:MQS524227 MGW524224:MGW524227 LXA524224:LXA524227 LNE524224:LNE524227 LDI524224:LDI524227 KTM524224:KTM524227 KJQ524224:KJQ524227 JZU524224:JZU524227 JPY524224:JPY524227 JGC524224:JGC524227 IWG524224:IWG524227 IMK524224:IMK524227 ICO524224:ICO524227 HSS524224:HSS524227 HIW524224:HIW524227 GZA524224:GZA524227 GPE524224:GPE524227 GFI524224:GFI524227 FVM524224:FVM524227 FLQ524224:FLQ524227 FBU524224:FBU524227 ERY524224:ERY524227 EIC524224:EIC524227 DYG524224:DYG524227 DOK524224:DOK524227 DEO524224:DEO524227 CUS524224:CUS524227 CKW524224:CKW524227 CBA524224:CBA524227 BRE524224:BRE524227 BHI524224:BHI524227 AXM524224:AXM524227 ANQ524224:ANQ524227 ADU524224:ADU524227 TY524224:TY524227 KC524224:KC524227 W524224:W524227 WWO458688:WWO458691 WMS458688:WMS458691 WCW458688:WCW458691 VTA458688:VTA458691 VJE458688:VJE458691 UZI458688:UZI458691 UPM458688:UPM458691 UFQ458688:UFQ458691 TVU458688:TVU458691 TLY458688:TLY458691 TCC458688:TCC458691 SSG458688:SSG458691 SIK458688:SIK458691 RYO458688:RYO458691 ROS458688:ROS458691 REW458688:REW458691 QVA458688:QVA458691 QLE458688:QLE458691 QBI458688:QBI458691 PRM458688:PRM458691 PHQ458688:PHQ458691 OXU458688:OXU458691 ONY458688:ONY458691 OEC458688:OEC458691 NUG458688:NUG458691 NKK458688:NKK458691 NAO458688:NAO458691 MQS458688:MQS458691 MGW458688:MGW458691 LXA458688:LXA458691 LNE458688:LNE458691 LDI458688:LDI458691 KTM458688:KTM458691 KJQ458688:KJQ458691 JZU458688:JZU458691 JPY458688:JPY458691 JGC458688:JGC458691 IWG458688:IWG458691 IMK458688:IMK458691 ICO458688:ICO458691 HSS458688:HSS458691 HIW458688:HIW458691 GZA458688:GZA458691 GPE458688:GPE458691 GFI458688:GFI458691 FVM458688:FVM458691 FLQ458688:FLQ458691 FBU458688:FBU458691 ERY458688:ERY458691 EIC458688:EIC458691 DYG458688:DYG458691 DOK458688:DOK458691 DEO458688:DEO458691 CUS458688:CUS458691 CKW458688:CKW458691 CBA458688:CBA458691 BRE458688:BRE458691 BHI458688:BHI458691 AXM458688:AXM458691 ANQ458688:ANQ458691 ADU458688:ADU458691 TY458688:TY458691 KC458688:KC458691 W458688:W458691 WWO393152:WWO393155 WMS393152:WMS393155 WCW393152:WCW393155 VTA393152:VTA393155 VJE393152:VJE393155 UZI393152:UZI393155 UPM393152:UPM393155 UFQ393152:UFQ393155 TVU393152:TVU393155 TLY393152:TLY393155 TCC393152:TCC393155 SSG393152:SSG393155 SIK393152:SIK393155 RYO393152:RYO393155 ROS393152:ROS393155 REW393152:REW393155 QVA393152:QVA393155 QLE393152:QLE393155 QBI393152:QBI393155 PRM393152:PRM393155 PHQ393152:PHQ393155 OXU393152:OXU393155 ONY393152:ONY393155 OEC393152:OEC393155 NUG393152:NUG393155 NKK393152:NKK393155 NAO393152:NAO393155 MQS393152:MQS393155 MGW393152:MGW393155 LXA393152:LXA393155 LNE393152:LNE393155 LDI393152:LDI393155 KTM393152:KTM393155 KJQ393152:KJQ393155 JZU393152:JZU393155 JPY393152:JPY393155 JGC393152:JGC393155 IWG393152:IWG393155 IMK393152:IMK393155 ICO393152:ICO393155 HSS393152:HSS393155 HIW393152:HIW393155 GZA393152:GZA393155 GPE393152:GPE393155 GFI393152:GFI393155 FVM393152:FVM393155 FLQ393152:FLQ393155 FBU393152:FBU393155 ERY393152:ERY393155 EIC393152:EIC393155 DYG393152:DYG393155 DOK393152:DOK393155 DEO393152:DEO393155 CUS393152:CUS393155 CKW393152:CKW393155 CBA393152:CBA393155 BRE393152:BRE393155 BHI393152:BHI393155 AXM393152:AXM393155 ANQ393152:ANQ393155 ADU393152:ADU393155 TY393152:TY393155 KC393152:KC393155 W393152:W393155 WWO327616:WWO327619 WMS327616:WMS327619 WCW327616:WCW327619 VTA327616:VTA327619 VJE327616:VJE327619 UZI327616:UZI327619 UPM327616:UPM327619 UFQ327616:UFQ327619 TVU327616:TVU327619 TLY327616:TLY327619 TCC327616:TCC327619 SSG327616:SSG327619 SIK327616:SIK327619 RYO327616:RYO327619 ROS327616:ROS327619 REW327616:REW327619 QVA327616:QVA327619 QLE327616:QLE327619 QBI327616:QBI327619 PRM327616:PRM327619 PHQ327616:PHQ327619 OXU327616:OXU327619 ONY327616:ONY327619 OEC327616:OEC327619 NUG327616:NUG327619 NKK327616:NKK327619 NAO327616:NAO327619 MQS327616:MQS327619 MGW327616:MGW327619 LXA327616:LXA327619 LNE327616:LNE327619 LDI327616:LDI327619 KTM327616:KTM327619 KJQ327616:KJQ327619 JZU327616:JZU327619 JPY327616:JPY327619 JGC327616:JGC327619 IWG327616:IWG327619 IMK327616:IMK327619 ICO327616:ICO327619 HSS327616:HSS327619 HIW327616:HIW327619 GZA327616:GZA327619 GPE327616:GPE327619 GFI327616:GFI327619 FVM327616:FVM327619 FLQ327616:FLQ327619 FBU327616:FBU327619 ERY327616:ERY327619 EIC327616:EIC327619 DYG327616:DYG327619 DOK327616:DOK327619 DEO327616:DEO327619 CUS327616:CUS327619 CKW327616:CKW327619 CBA327616:CBA327619 BRE327616:BRE327619 BHI327616:BHI327619 AXM327616:AXM327619 ANQ327616:ANQ327619 ADU327616:ADU327619 TY327616:TY327619 KC327616:KC327619 W327616:W327619 WWO262080:WWO262083 WMS262080:WMS262083 WCW262080:WCW262083 VTA262080:VTA262083 VJE262080:VJE262083 UZI262080:UZI262083 UPM262080:UPM262083 UFQ262080:UFQ262083 TVU262080:TVU262083 TLY262080:TLY262083 TCC262080:TCC262083 SSG262080:SSG262083 SIK262080:SIK262083 RYO262080:RYO262083 ROS262080:ROS262083 REW262080:REW262083 QVA262080:QVA262083 QLE262080:QLE262083 QBI262080:QBI262083 PRM262080:PRM262083 PHQ262080:PHQ262083 OXU262080:OXU262083 ONY262080:ONY262083 OEC262080:OEC262083 NUG262080:NUG262083 NKK262080:NKK262083 NAO262080:NAO262083 MQS262080:MQS262083 MGW262080:MGW262083 LXA262080:LXA262083 LNE262080:LNE262083 LDI262080:LDI262083 KTM262080:KTM262083 KJQ262080:KJQ262083 JZU262080:JZU262083 JPY262080:JPY262083 JGC262080:JGC262083 IWG262080:IWG262083 IMK262080:IMK262083 ICO262080:ICO262083 HSS262080:HSS262083 HIW262080:HIW262083 GZA262080:GZA262083 GPE262080:GPE262083 GFI262080:GFI262083 FVM262080:FVM262083 FLQ262080:FLQ262083 FBU262080:FBU262083 ERY262080:ERY262083 EIC262080:EIC262083 DYG262080:DYG262083 DOK262080:DOK262083 DEO262080:DEO262083 CUS262080:CUS262083 CKW262080:CKW262083 CBA262080:CBA262083 BRE262080:BRE262083 BHI262080:BHI262083 AXM262080:AXM262083 ANQ262080:ANQ262083 ADU262080:ADU262083 TY262080:TY262083 KC262080:KC262083 W262080:W262083 WWO196544:WWO196547 WMS196544:WMS196547 WCW196544:WCW196547 VTA196544:VTA196547 VJE196544:VJE196547 UZI196544:UZI196547 UPM196544:UPM196547 UFQ196544:UFQ196547 TVU196544:TVU196547 TLY196544:TLY196547 TCC196544:TCC196547 SSG196544:SSG196547 SIK196544:SIK196547 RYO196544:RYO196547 ROS196544:ROS196547 REW196544:REW196547 QVA196544:QVA196547 QLE196544:QLE196547 QBI196544:QBI196547 PRM196544:PRM196547 PHQ196544:PHQ196547 OXU196544:OXU196547 ONY196544:ONY196547 OEC196544:OEC196547 NUG196544:NUG196547 NKK196544:NKK196547 NAO196544:NAO196547 MQS196544:MQS196547 MGW196544:MGW196547 LXA196544:LXA196547 LNE196544:LNE196547 LDI196544:LDI196547 KTM196544:KTM196547 KJQ196544:KJQ196547 JZU196544:JZU196547 JPY196544:JPY196547 JGC196544:JGC196547 IWG196544:IWG196547 IMK196544:IMK196547 ICO196544:ICO196547 HSS196544:HSS196547 HIW196544:HIW196547 GZA196544:GZA196547 GPE196544:GPE196547 GFI196544:GFI196547 FVM196544:FVM196547 FLQ196544:FLQ196547 FBU196544:FBU196547 ERY196544:ERY196547 EIC196544:EIC196547 DYG196544:DYG196547 DOK196544:DOK196547 DEO196544:DEO196547 CUS196544:CUS196547 CKW196544:CKW196547 CBA196544:CBA196547 BRE196544:BRE196547 BHI196544:BHI196547 AXM196544:AXM196547 ANQ196544:ANQ196547 ADU196544:ADU196547 TY196544:TY196547 KC196544:KC196547 W196544:W196547 WWO131008:WWO131011 WMS131008:WMS131011 WCW131008:WCW131011 VTA131008:VTA131011 VJE131008:VJE131011 UZI131008:UZI131011 UPM131008:UPM131011 UFQ131008:UFQ131011 TVU131008:TVU131011 TLY131008:TLY131011 TCC131008:TCC131011 SSG131008:SSG131011 SIK131008:SIK131011 RYO131008:RYO131011 ROS131008:ROS131011 REW131008:REW131011 QVA131008:QVA131011 QLE131008:QLE131011 QBI131008:QBI131011 PRM131008:PRM131011 PHQ131008:PHQ131011 OXU131008:OXU131011 ONY131008:ONY131011 OEC131008:OEC131011 NUG131008:NUG131011 NKK131008:NKK131011 NAO131008:NAO131011 MQS131008:MQS131011 MGW131008:MGW131011 LXA131008:LXA131011 LNE131008:LNE131011 LDI131008:LDI131011 KTM131008:KTM131011 KJQ131008:KJQ131011 JZU131008:JZU131011 JPY131008:JPY131011 JGC131008:JGC131011 IWG131008:IWG131011 IMK131008:IMK131011 ICO131008:ICO131011 HSS131008:HSS131011 HIW131008:HIW131011 GZA131008:GZA131011 GPE131008:GPE131011 GFI131008:GFI131011 FVM131008:FVM131011 FLQ131008:FLQ131011 FBU131008:FBU131011 ERY131008:ERY131011 EIC131008:EIC131011 DYG131008:DYG131011 DOK131008:DOK131011 DEO131008:DEO131011 CUS131008:CUS131011 CKW131008:CKW131011 CBA131008:CBA131011 BRE131008:BRE131011 BHI131008:BHI131011 AXM131008:AXM131011 ANQ131008:ANQ131011 ADU131008:ADU131011 TY131008:TY131011 KC131008:KC131011 W131008:W131011 WWO65472:WWO65475 WMS65472:WMS65475 WCW65472:WCW65475 VTA65472:VTA65475 VJE65472:VJE65475 UZI65472:UZI65475 UPM65472:UPM65475 UFQ65472:UFQ65475 TVU65472:TVU65475 TLY65472:TLY65475 TCC65472:TCC65475 SSG65472:SSG65475 SIK65472:SIK65475 RYO65472:RYO65475 ROS65472:ROS65475 REW65472:REW65475 QVA65472:QVA65475 QLE65472:QLE65475 QBI65472:QBI65475 PRM65472:PRM65475 PHQ65472:PHQ65475 OXU65472:OXU65475 ONY65472:ONY65475 OEC65472:OEC65475 NUG65472:NUG65475 NKK65472:NKK65475 NAO65472:NAO65475 MQS65472:MQS65475 MGW65472:MGW65475 LXA65472:LXA65475 LNE65472:LNE65475 LDI65472:LDI65475 KTM65472:KTM65475 KJQ65472:KJQ65475 JZU65472:JZU65475 JPY65472:JPY65475 JGC65472:JGC65475 IWG65472:IWG65475 IMK65472:IMK65475 ICO65472:ICO65475 HSS65472:HSS65475 HIW65472:HIW65475 GZA65472:GZA65475 GPE65472:GPE65475 GFI65472:GFI65475 FVM65472:FVM65475 FLQ65472:FLQ65475 FBU65472:FBU65475 ERY65472:ERY65475 EIC65472:EIC65475 DYG65472:DYG65475 DOK65472:DOK65475 DEO65472:DEO65475 CUS65472:CUS65475 CKW65472:CKW65475 CBA65472:CBA65475 BRE65472:BRE65475 BHI65472:BHI65475 AXM65472:AXM65475 ANQ65472:ANQ65475 ADU65472:ADU65475 TY65472:TY65475 KC65472:KC65475 W65472:W65475">
      <formula1>$B$58:$B$61</formula1>
    </dataValidation>
    <dataValidation type="list" allowBlank="1" showInputMessage="1" showErrorMessage="1" sqref="WXO982976:WXO982979 WNS982976:WNS982979 WDW982976:WDW982979 VUA982976:VUA982979 VKE982976:VKE982979 VAI982976:VAI982979 UQM982976:UQM982979 UGQ982976:UGQ982979 TWU982976:TWU982979 TMY982976:TMY982979 TDC982976:TDC982979 STG982976:STG982979 SJK982976:SJK982979 RZO982976:RZO982979 RPS982976:RPS982979 RFW982976:RFW982979 QWA982976:QWA982979 QME982976:QME982979 QCI982976:QCI982979 PSM982976:PSM982979 PIQ982976:PIQ982979 OYU982976:OYU982979 OOY982976:OOY982979 OFC982976:OFC982979 NVG982976:NVG982979 NLK982976:NLK982979 NBO982976:NBO982979 MRS982976:MRS982979 MHW982976:MHW982979 LYA982976:LYA982979 LOE982976:LOE982979 LEI982976:LEI982979 KUM982976:KUM982979 KKQ982976:KKQ982979 KAU982976:KAU982979 JQY982976:JQY982979 JHC982976:JHC982979 IXG982976:IXG982979 INK982976:INK982979 IDO982976:IDO982979 HTS982976:HTS982979 HJW982976:HJW982979 HAA982976:HAA982979 GQE982976:GQE982979 GGI982976:GGI982979 FWM982976:FWM982979 FMQ982976:FMQ982979 FCU982976:FCU982979 ESY982976:ESY982979 EJC982976:EJC982979 DZG982976:DZG982979 DPK982976:DPK982979 DFO982976:DFO982979 CVS982976:CVS982979 CLW982976:CLW982979 CCA982976:CCA982979 BSE982976:BSE982979 BII982976:BII982979 AYM982976:AYM982979 AOQ982976:AOQ982979 AEU982976:AEU982979 UY982976:UY982979 LC982976:LC982979 BG982976:BG982979 WXO917440:WXO917443 WNS917440:WNS917443 WDW917440:WDW917443 VUA917440:VUA917443 VKE917440:VKE917443 VAI917440:VAI917443 UQM917440:UQM917443 UGQ917440:UGQ917443 TWU917440:TWU917443 TMY917440:TMY917443 TDC917440:TDC917443 STG917440:STG917443 SJK917440:SJK917443 RZO917440:RZO917443 RPS917440:RPS917443 RFW917440:RFW917443 QWA917440:QWA917443 QME917440:QME917443 QCI917440:QCI917443 PSM917440:PSM917443 PIQ917440:PIQ917443 OYU917440:OYU917443 OOY917440:OOY917443 OFC917440:OFC917443 NVG917440:NVG917443 NLK917440:NLK917443 NBO917440:NBO917443 MRS917440:MRS917443 MHW917440:MHW917443 LYA917440:LYA917443 LOE917440:LOE917443 LEI917440:LEI917443 KUM917440:KUM917443 KKQ917440:KKQ917443 KAU917440:KAU917443 JQY917440:JQY917443 JHC917440:JHC917443 IXG917440:IXG917443 INK917440:INK917443 IDO917440:IDO917443 HTS917440:HTS917443 HJW917440:HJW917443 HAA917440:HAA917443 GQE917440:GQE917443 GGI917440:GGI917443 FWM917440:FWM917443 FMQ917440:FMQ917443 FCU917440:FCU917443 ESY917440:ESY917443 EJC917440:EJC917443 DZG917440:DZG917443 DPK917440:DPK917443 DFO917440:DFO917443 CVS917440:CVS917443 CLW917440:CLW917443 CCA917440:CCA917443 BSE917440:BSE917443 BII917440:BII917443 AYM917440:AYM917443 AOQ917440:AOQ917443 AEU917440:AEU917443 UY917440:UY917443 LC917440:LC917443 BG917440:BG917443 WXO851904:WXO851907 WNS851904:WNS851907 WDW851904:WDW851907 VUA851904:VUA851907 VKE851904:VKE851907 VAI851904:VAI851907 UQM851904:UQM851907 UGQ851904:UGQ851907 TWU851904:TWU851907 TMY851904:TMY851907 TDC851904:TDC851907 STG851904:STG851907 SJK851904:SJK851907 RZO851904:RZO851907 RPS851904:RPS851907 RFW851904:RFW851907 QWA851904:QWA851907 QME851904:QME851907 QCI851904:QCI851907 PSM851904:PSM851907 PIQ851904:PIQ851907 OYU851904:OYU851907 OOY851904:OOY851907 OFC851904:OFC851907 NVG851904:NVG851907 NLK851904:NLK851907 NBO851904:NBO851907 MRS851904:MRS851907 MHW851904:MHW851907 LYA851904:LYA851907 LOE851904:LOE851907 LEI851904:LEI851907 KUM851904:KUM851907 KKQ851904:KKQ851907 KAU851904:KAU851907 JQY851904:JQY851907 JHC851904:JHC851907 IXG851904:IXG851907 INK851904:INK851907 IDO851904:IDO851907 HTS851904:HTS851907 HJW851904:HJW851907 HAA851904:HAA851907 GQE851904:GQE851907 GGI851904:GGI851907 FWM851904:FWM851907 FMQ851904:FMQ851907 FCU851904:FCU851907 ESY851904:ESY851907 EJC851904:EJC851907 DZG851904:DZG851907 DPK851904:DPK851907 DFO851904:DFO851907 CVS851904:CVS851907 CLW851904:CLW851907 CCA851904:CCA851907 BSE851904:BSE851907 BII851904:BII851907 AYM851904:AYM851907 AOQ851904:AOQ851907 AEU851904:AEU851907 UY851904:UY851907 LC851904:LC851907 BG851904:BG851907 WXO786368:WXO786371 WNS786368:WNS786371 WDW786368:WDW786371 VUA786368:VUA786371 VKE786368:VKE786371 VAI786368:VAI786371 UQM786368:UQM786371 UGQ786368:UGQ786371 TWU786368:TWU786371 TMY786368:TMY786371 TDC786368:TDC786371 STG786368:STG786371 SJK786368:SJK786371 RZO786368:RZO786371 RPS786368:RPS786371 RFW786368:RFW786371 QWA786368:QWA786371 QME786368:QME786371 QCI786368:QCI786371 PSM786368:PSM786371 PIQ786368:PIQ786371 OYU786368:OYU786371 OOY786368:OOY786371 OFC786368:OFC786371 NVG786368:NVG786371 NLK786368:NLK786371 NBO786368:NBO786371 MRS786368:MRS786371 MHW786368:MHW786371 LYA786368:LYA786371 LOE786368:LOE786371 LEI786368:LEI786371 KUM786368:KUM786371 KKQ786368:KKQ786371 KAU786368:KAU786371 JQY786368:JQY786371 JHC786368:JHC786371 IXG786368:IXG786371 INK786368:INK786371 IDO786368:IDO786371 HTS786368:HTS786371 HJW786368:HJW786371 HAA786368:HAA786371 GQE786368:GQE786371 GGI786368:GGI786371 FWM786368:FWM786371 FMQ786368:FMQ786371 FCU786368:FCU786371 ESY786368:ESY786371 EJC786368:EJC786371 DZG786368:DZG786371 DPK786368:DPK786371 DFO786368:DFO786371 CVS786368:CVS786371 CLW786368:CLW786371 CCA786368:CCA786371 BSE786368:BSE786371 BII786368:BII786371 AYM786368:AYM786371 AOQ786368:AOQ786371 AEU786368:AEU786371 UY786368:UY786371 LC786368:LC786371 BG786368:BG786371 WXO720832:WXO720835 WNS720832:WNS720835 WDW720832:WDW720835 VUA720832:VUA720835 VKE720832:VKE720835 VAI720832:VAI720835 UQM720832:UQM720835 UGQ720832:UGQ720835 TWU720832:TWU720835 TMY720832:TMY720835 TDC720832:TDC720835 STG720832:STG720835 SJK720832:SJK720835 RZO720832:RZO720835 RPS720832:RPS720835 RFW720832:RFW720835 QWA720832:QWA720835 QME720832:QME720835 QCI720832:QCI720835 PSM720832:PSM720835 PIQ720832:PIQ720835 OYU720832:OYU720835 OOY720832:OOY720835 OFC720832:OFC720835 NVG720832:NVG720835 NLK720832:NLK720835 NBO720832:NBO720835 MRS720832:MRS720835 MHW720832:MHW720835 LYA720832:LYA720835 LOE720832:LOE720835 LEI720832:LEI720835 KUM720832:KUM720835 KKQ720832:KKQ720835 KAU720832:KAU720835 JQY720832:JQY720835 JHC720832:JHC720835 IXG720832:IXG720835 INK720832:INK720835 IDO720832:IDO720835 HTS720832:HTS720835 HJW720832:HJW720835 HAA720832:HAA720835 GQE720832:GQE720835 GGI720832:GGI720835 FWM720832:FWM720835 FMQ720832:FMQ720835 FCU720832:FCU720835 ESY720832:ESY720835 EJC720832:EJC720835 DZG720832:DZG720835 DPK720832:DPK720835 DFO720832:DFO720835 CVS720832:CVS720835 CLW720832:CLW720835 CCA720832:CCA720835 BSE720832:BSE720835 BII720832:BII720835 AYM720832:AYM720835 AOQ720832:AOQ720835 AEU720832:AEU720835 UY720832:UY720835 LC720832:LC720835 BG720832:BG720835 WXO655296:WXO655299 WNS655296:WNS655299 WDW655296:WDW655299 VUA655296:VUA655299 VKE655296:VKE655299 VAI655296:VAI655299 UQM655296:UQM655299 UGQ655296:UGQ655299 TWU655296:TWU655299 TMY655296:TMY655299 TDC655296:TDC655299 STG655296:STG655299 SJK655296:SJK655299 RZO655296:RZO655299 RPS655296:RPS655299 RFW655296:RFW655299 QWA655296:QWA655299 QME655296:QME655299 QCI655296:QCI655299 PSM655296:PSM655299 PIQ655296:PIQ655299 OYU655296:OYU655299 OOY655296:OOY655299 OFC655296:OFC655299 NVG655296:NVG655299 NLK655296:NLK655299 NBO655296:NBO655299 MRS655296:MRS655299 MHW655296:MHW655299 LYA655296:LYA655299 LOE655296:LOE655299 LEI655296:LEI655299 KUM655296:KUM655299 KKQ655296:KKQ655299 KAU655296:KAU655299 JQY655296:JQY655299 JHC655296:JHC655299 IXG655296:IXG655299 INK655296:INK655299 IDO655296:IDO655299 HTS655296:HTS655299 HJW655296:HJW655299 HAA655296:HAA655299 GQE655296:GQE655299 GGI655296:GGI655299 FWM655296:FWM655299 FMQ655296:FMQ655299 FCU655296:FCU655299 ESY655296:ESY655299 EJC655296:EJC655299 DZG655296:DZG655299 DPK655296:DPK655299 DFO655296:DFO655299 CVS655296:CVS655299 CLW655296:CLW655299 CCA655296:CCA655299 BSE655296:BSE655299 BII655296:BII655299 AYM655296:AYM655299 AOQ655296:AOQ655299 AEU655296:AEU655299 UY655296:UY655299 LC655296:LC655299 BG655296:BG655299 WXO589760:WXO589763 WNS589760:WNS589763 WDW589760:WDW589763 VUA589760:VUA589763 VKE589760:VKE589763 VAI589760:VAI589763 UQM589760:UQM589763 UGQ589760:UGQ589763 TWU589760:TWU589763 TMY589760:TMY589763 TDC589760:TDC589763 STG589760:STG589763 SJK589760:SJK589763 RZO589760:RZO589763 RPS589760:RPS589763 RFW589760:RFW589763 QWA589760:QWA589763 QME589760:QME589763 QCI589760:QCI589763 PSM589760:PSM589763 PIQ589760:PIQ589763 OYU589760:OYU589763 OOY589760:OOY589763 OFC589760:OFC589763 NVG589760:NVG589763 NLK589760:NLK589763 NBO589760:NBO589763 MRS589760:MRS589763 MHW589760:MHW589763 LYA589760:LYA589763 LOE589760:LOE589763 LEI589760:LEI589763 KUM589760:KUM589763 KKQ589760:KKQ589763 KAU589760:KAU589763 JQY589760:JQY589763 JHC589760:JHC589763 IXG589760:IXG589763 INK589760:INK589763 IDO589760:IDO589763 HTS589760:HTS589763 HJW589760:HJW589763 HAA589760:HAA589763 GQE589760:GQE589763 GGI589760:GGI589763 FWM589760:FWM589763 FMQ589760:FMQ589763 FCU589760:FCU589763 ESY589760:ESY589763 EJC589760:EJC589763 DZG589760:DZG589763 DPK589760:DPK589763 DFO589760:DFO589763 CVS589760:CVS589763 CLW589760:CLW589763 CCA589760:CCA589763 BSE589760:BSE589763 BII589760:BII589763 AYM589760:AYM589763 AOQ589760:AOQ589763 AEU589760:AEU589763 UY589760:UY589763 LC589760:LC589763 BG589760:BG589763 WXO524224:WXO524227 WNS524224:WNS524227 WDW524224:WDW524227 VUA524224:VUA524227 VKE524224:VKE524227 VAI524224:VAI524227 UQM524224:UQM524227 UGQ524224:UGQ524227 TWU524224:TWU524227 TMY524224:TMY524227 TDC524224:TDC524227 STG524224:STG524227 SJK524224:SJK524227 RZO524224:RZO524227 RPS524224:RPS524227 RFW524224:RFW524227 QWA524224:QWA524227 QME524224:QME524227 QCI524224:QCI524227 PSM524224:PSM524227 PIQ524224:PIQ524227 OYU524224:OYU524227 OOY524224:OOY524227 OFC524224:OFC524227 NVG524224:NVG524227 NLK524224:NLK524227 NBO524224:NBO524227 MRS524224:MRS524227 MHW524224:MHW524227 LYA524224:LYA524227 LOE524224:LOE524227 LEI524224:LEI524227 KUM524224:KUM524227 KKQ524224:KKQ524227 KAU524224:KAU524227 JQY524224:JQY524227 JHC524224:JHC524227 IXG524224:IXG524227 INK524224:INK524227 IDO524224:IDO524227 HTS524224:HTS524227 HJW524224:HJW524227 HAA524224:HAA524227 GQE524224:GQE524227 GGI524224:GGI524227 FWM524224:FWM524227 FMQ524224:FMQ524227 FCU524224:FCU524227 ESY524224:ESY524227 EJC524224:EJC524227 DZG524224:DZG524227 DPK524224:DPK524227 DFO524224:DFO524227 CVS524224:CVS524227 CLW524224:CLW524227 CCA524224:CCA524227 BSE524224:BSE524227 BII524224:BII524227 AYM524224:AYM524227 AOQ524224:AOQ524227 AEU524224:AEU524227 UY524224:UY524227 LC524224:LC524227 BG524224:BG524227 WXO458688:WXO458691 WNS458688:WNS458691 WDW458688:WDW458691 VUA458688:VUA458691 VKE458688:VKE458691 VAI458688:VAI458691 UQM458688:UQM458691 UGQ458688:UGQ458691 TWU458688:TWU458691 TMY458688:TMY458691 TDC458688:TDC458691 STG458688:STG458691 SJK458688:SJK458691 RZO458688:RZO458691 RPS458688:RPS458691 RFW458688:RFW458691 QWA458688:QWA458691 QME458688:QME458691 QCI458688:QCI458691 PSM458688:PSM458691 PIQ458688:PIQ458691 OYU458688:OYU458691 OOY458688:OOY458691 OFC458688:OFC458691 NVG458688:NVG458691 NLK458688:NLK458691 NBO458688:NBO458691 MRS458688:MRS458691 MHW458688:MHW458691 LYA458688:LYA458691 LOE458688:LOE458691 LEI458688:LEI458691 KUM458688:KUM458691 KKQ458688:KKQ458691 KAU458688:KAU458691 JQY458688:JQY458691 JHC458688:JHC458691 IXG458688:IXG458691 INK458688:INK458691 IDO458688:IDO458691 HTS458688:HTS458691 HJW458688:HJW458691 HAA458688:HAA458691 GQE458688:GQE458691 GGI458688:GGI458691 FWM458688:FWM458691 FMQ458688:FMQ458691 FCU458688:FCU458691 ESY458688:ESY458691 EJC458688:EJC458691 DZG458688:DZG458691 DPK458688:DPK458691 DFO458688:DFO458691 CVS458688:CVS458691 CLW458688:CLW458691 CCA458688:CCA458691 BSE458688:BSE458691 BII458688:BII458691 AYM458688:AYM458691 AOQ458688:AOQ458691 AEU458688:AEU458691 UY458688:UY458691 LC458688:LC458691 BG458688:BG458691 WXO393152:WXO393155 WNS393152:WNS393155 WDW393152:WDW393155 VUA393152:VUA393155 VKE393152:VKE393155 VAI393152:VAI393155 UQM393152:UQM393155 UGQ393152:UGQ393155 TWU393152:TWU393155 TMY393152:TMY393155 TDC393152:TDC393155 STG393152:STG393155 SJK393152:SJK393155 RZO393152:RZO393155 RPS393152:RPS393155 RFW393152:RFW393155 QWA393152:QWA393155 QME393152:QME393155 QCI393152:QCI393155 PSM393152:PSM393155 PIQ393152:PIQ393155 OYU393152:OYU393155 OOY393152:OOY393155 OFC393152:OFC393155 NVG393152:NVG393155 NLK393152:NLK393155 NBO393152:NBO393155 MRS393152:MRS393155 MHW393152:MHW393155 LYA393152:LYA393155 LOE393152:LOE393155 LEI393152:LEI393155 KUM393152:KUM393155 KKQ393152:KKQ393155 KAU393152:KAU393155 JQY393152:JQY393155 JHC393152:JHC393155 IXG393152:IXG393155 INK393152:INK393155 IDO393152:IDO393155 HTS393152:HTS393155 HJW393152:HJW393155 HAA393152:HAA393155 GQE393152:GQE393155 GGI393152:GGI393155 FWM393152:FWM393155 FMQ393152:FMQ393155 FCU393152:FCU393155 ESY393152:ESY393155 EJC393152:EJC393155 DZG393152:DZG393155 DPK393152:DPK393155 DFO393152:DFO393155 CVS393152:CVS393155 CLW393152:CLW393155 CCA393152:CCA393155 BSE393152:BSE393155 BII393152:BII393155 AYM393152:AYM393155 AOQ393152:AOQ393155 AEU393152:AEU393155 UY393152:UY393155 LC393152:LC393155 BG393152:BG393155 WXO327616:WXO327619 WNS327616:WNS327619 WDW327616:WDW327619 VUA327616:VUA327619 VKE327616:VKE327619 VAI327616:VAI327619 UQM327616:UQM327619 UGQ327616:UGQ327619 TWU327616:TWU327619 TMY327616:TMY327619 TDC327616:TDC327619 STG327616:STG327619 SJK327616:SJK327619 RZO327616:RZO327619 RPS327616:RPS327619 RFW327616:RFW327619 QWA327616:QWA327619 QME327616:QME327619 QCI327616:QCI327619 PSM327616:PSM327619 PIQ327616:PIQ327619 OYU327616:OYU327619 OOY327616:OOY327619 OFC327616:OFC327619 NVG327616:NVG327619 NLK327616:NLK327619 NBO327616:NBO327619 MRS327616:MRS327619 MHW327616:MHW327619 LYA327616:LYA327619 LOE327616:LOE327619 LEI327616:LEI327619 KUM327616:KUM327619 KKQ327616:KKQ327619 KAU327616:KAU327619 JQY327616:JQY327619 JHC327616:JHC327619 IXG327616:IXG327619 INK327616:INK327619 IDO327616:IDO327619 HTS327616:HTS327619 HJW327616:HJW327619 HAA327616:HAA327619 GQE327616:GQE327619 GGI327616:GGI327619 FWM327616:FWM327619 FMQ327616:FMQ327619 FCU327616:FCU327619 ESY327616:ESY327619 EJC327616:EJC327619 DZG327616:DZG327619 DPK327616:DPK327619 DFO327616:DFO327619 CVS327616:CVS327619 CLW327616:CLW327619 CCA327616:CCA327619 BSE327616:BSE327619 BII327616:BII327619 AYM327616:AYM327619 AOQ327616:AOQ327619 AEU327616:AEU327619 UY327616:UY327619 LC327616:LC327619 BG327616:BG327619 WXO262080:WXO262083 WNS262080:WNS262083 WDW262080:WDW262083 VUA262080:VUA262083 VKE262080:VKE262083 VAI262080:VAI262083 UQM262080:UQM262083 UGQ262080:UGQ262083 TWU262080:TWU262083 TMY262080:TMY262083 TDC262080:TDC262083 STG262080:STG262083 SJK262080:SJK262083 RZO262080:RZO262083 RPS262080:RPS262083 RFW262080:RFW262083 QWA262080:QWA262083 QME262080:QME262083 QCI262080:QCI262083 PSM262080:PSM262083 PIQ262080:PIQ262083 OYU262080:OYU262083 OOY262080:OOY262083 OFC262080:OFC262083 NVG262080:NVG262083 NLK262080:NLK262083 NBO262080:NBO262083 MRS262080:MRS262083 MHW262080:MHW262083 LYA262080:LYA262083 LOE262080:LOE262083 LEI262080:LEI262083 KUM262080:KUM262083 KKQ262080:KKQ262083 KAU262080:KAU262083 JQY262080:JQY262083 JHC262080:JHC262083 IXG262080:IXG262083 INK262080:INK262083 IDO262080:IDO262083 HTS262080:HTS262083 HJW262080:HJW262083 HAA262080:HAA262083 GQE262080:GQE262083 GGI262080:GGI262083 FWM262080:FWM262083 FMQ262080:FMQ262083 FCU262080:FCU262083 ESY262080:ESY262083 EJC262080:EJC262083 DZG262080:DZG262083 DPK262080:DPK262083 DFO262080:DFO262083 CVS262080:CVS262083 CLW262080:CLW262083 CCA262080:CCA262083 BSE262080:BSE262083 BII262080:BII262083 AYM262080:AYM262083 AOQ262080:AOQ262083 AEU262080:AEU262083 UY262080:UY262083 LC262080:LC262083 BG262080:BG262083 WXO196544:WXO196547 WNS196544:WNS196547 WDW196544:WDW196547 VUA196544:VUA196547 VKE196544:VKE196547 VAI196544:VAI196547 UQM196544:UQM196547 UGQ196544:UGQ196547 TWU196544:TWU196547 TMY196544:TMY196547 TDC196544:TDC196547 STG196544:STG196547 SJK196544:SJK196547 RZO196544:RZO196547 RPS196544:RPS196547 RFW196544:RFW196547 QWA196544:QWA196547 QME196544:QME196547 QCI196544:QCI196547 PSM196544:PSM196547 PIQ196544:PIQ196547 OYU196544:OYU196547 OOY196544:OOY196547 OFC196544:OFC196547 NVG196544:NVG196547 NLK196544:NLK196547 NBO196544:NBO196547 MRS196544:MRS196547 MHW196544:MHW196547 LYA196544:LYA196547 LOE196544:LOE196547 LEI196544:LEI196547 KUM196544:KUM196547 KKQ196544:KKQ196547 KAU196544:KAU196547 JQY196544:JQY196547 JHC196544:JHC196547 IXG196544:IXG196547 INK196544:INK196547 IDO196544:IDO196547 HTS196544:HTS196547 HJW196544:HJW196547 HAA196544:HAA196547 GQE196544:GQE196547 GGI196544:GGI196547 FWM196544:FWM196547 FMQ196544:FMQ196547 FCU196544:FCU196547 ESY196544:ESY196547 EJC196544:EJC196547 DZG196544:DZG196547 DPK196544:DPK196547 DFO196544:DFO196547 CVS196544:CVS196547 CLW196544:CLW196547 CCA196544:CCA196547 BSE196544:BSE196547 BII196544:BII196547 AYM196544:AYM196547 AOQ196544:AOQ196547 AEU196544:AEU196547 UY196544:UY196547 LC196544:LC196547 BG196544:BG196547 WXO131008:WXO131011 WNS131008:WNS131011 WDW131008:WDW131011 VUA131008:VUA131011 VKE131008:VKE131011 VAI131008:VAI131011 UQM131008:UQM131011 UGQ131008:UGQ131011 TWU131008:TWU131011 TMY131008:TMY131011 TDC131008:TDC131011 STG131008:STG131011 SJK131008:SJK131011 RZO131008:RZO131011 RPS131008:RPS131011 RFW131008:RFW131011 QWA131008:QWA131011 QME131008:QME131011 QCI131008:QCI131011 PSM131008:PSM131011 PIQ131008:PIQ131011 OYU131008:OYU131011 OOY131008:OOY131011 OFC131008:OFC131011 NVG131008:NVG131011 NLK131008:NLK131011 NBO131008:NBO131011 MRS131008:MRS131011 MHW131008:MHW131011 LYA131008:LYA131011 LOE131008:LOE131011 LEI131008:LEI131011 KUM131008:KUM131011 KKQ131008:KKQ131011 KAU131008:KAU131011 JQY131008:JQY131011 JHC131008:JHC131011 IXG131008:IXG131011 INK131008:INK131011 IDO131008:IDO131011 HTS131008:HTS131011 HJW131008:HJW131011 HAA131008:HAA131011 GQE131008:GQE131011 GGI131008:GGI131011 FWM131008:FWM131011 FMQ131008:FMQ131011 FCU131008:FCU131011 ESY131008:ESY131011 EJC131008:EJC131011 DZG131008:DZG131011 DPK131008:DPK131011 DFO131008:DFO131011 CVS131008:CVS131011 CLW131008:CLW131011 CCA131008:CCA131011 BSE131008:BSE131011 BII131008:BII131011 AYM131008:AYM131011 AOQ131008:AOQ131011 AEU131008:AEU131011 UY131008:UY131011 LC131008:LC131011 BG131008:BG131011 WXO65472:WXO65475 WNS65472:WNS65475 WDW65472:WDW65475 VUA65472:VUA65475 VKE65472:VKE65475 VAI65472:VAI65475 UQM65472:UQM65475 UGQ65472:UGQ65475 TWU65472:TWU65475 TMY65472:TMY65475 TDC65472:TDC65475 STG65472:STG65475 SJK65472:SJK65475 RZO65472:RZO65475 RPS65472:RPS65475 RFW65472:RFW65475 QWA65472:QWA65475 QME65472:QME65475 QCI65472:QCI65475 PSM65472:PSM65475 PIQ65472:PIQ65475 OYU65472:OYU65475 OOY65472:OOY65475 OFC65472:OFC65475 NVG65472:NVG65475 NLK65472:NLK65475 NBO65472:NBO65475 MRS65472:MRS65475 MHW65472:MHW65475 LYA65472:LYA65475 LOE65472:LOE65475 LEI65472:LEI65475 KUM65472:KUM65475 KKQ65472:KKQ65475 KAU65472:KAU65475 JQY65472:JQY65475 JHC65472:JHC65475 IXG65472:IXG65475 INK65472:INK65475 IDO65472:IDO65475 HTS65472:HTS65475 HJW65472:HJW65475 HAA65472:HAA65475 GQE65472:GQE65475 GGI65472:GGI65475 FWM65472:FWM65475 FMQ65472:FMQ65475 FCU65472:FCU65475 ESY65472:ESY65475 EJC65472:EJC65475 DZG65472:DZG65475 DPK65472:DPK65475 DFO65472:DFO65475 CVS65472:CVS65475 CLW65472:CLW65475 CCA65472:CCA65475 BSE65472:BSE65475 BII65472:BII65475 AYM65472:AYM65475 AOQ65472:AOQ65475 AEU65472:AEU65475 UY65472:UY65475 LC65472:LC65475 BG65472:BG65475 WXH982976:WXH982979 WNL982976:WNL982979 WDP982976:WDP982979 VTT982976:VTT982979 VJX982976:VJX982979 VAB982976:VAB982979 UQF982976:UQF982979 UGJ982976:UGJ982979 TWN982976:TWN982979 TMR982976:TMR982979 TCV982976:TCV982979 SSZ982976:SSZ982979 SJD982976:SJD982979 RZH982976:RZH982979 RPL982976:RPL982979 RFP982976:RFP982979 QVT982976:QVT982979 QLX982976:QLX982979 QCB982976:QCB982979 PSF982976:PSF982979 PIJ982976:PIJ982979 OYN982976:OYN982979 OOR982976:OOR982979 OEV982976:OEV982979 NUZ982976:NUZ982979 NLD982976:NLD982979 NBH982976:NBH982979 MRL982976:MRL982979 MHP982976:MHP982979 LXT982976:LXT982979 LNX982976:LNX982979 LEB982976:LEB982979 KUF982976:KUF982979 KKJ982976:KKJ982979 KAN982976:KAN982979 JQR982976:JQR982979 JGV982976:JGV982979 IWZ982976:IWZ982979 IND982976:IND982979 IDH982976:IDH982979 HTL982976:HTL982979 HJP982976:HJP982979 GZT982976:GZT982979 GPX982976:GPX982979 GGB982976:GGB982979 FWF982976:FWF982979 FMJ982976:FMJ982979 FCN982976:FCN982979 ESR982976:ESR982979 EIV982976:EIV982979 DYZ982976:DYZ982979 DPD982976:DPD982979 DFH982976:DFH982979 CVL982976:CVL982979 CLP982976:CLP982979 CBT982976:CBT982979 BRX982976:BRX982979 BIB982976:BIB982979 AYF982976:AYF982979 AOJ982976:AOJ982979 AEN982976:AEN982979 UR982976:UR982979 KV982976:KV982979 AU982976:AU982979 WXH917440:WXH917443 WNL917440:WNL917443 WDP917440:WDP917443 VTT917440:VTT917443 VJX917440:VJX917443 VAB917440:VAB917443 UQF917440:UQF917443 UGJ917440:UGJ917443 TWN917440:TWN917443 TMR917440:TMR917443 TCV917440:TCV917443 SSZ917440:SSZ917443 SJD917440:SJD917443 RZH917440:RZH917443 RPL917440:RPL917443 RFP917440:RFP917443 QVT917440:QVT917443 QLX917440:QLX917443 QCB917440:QCB917443 PSF917440:PSF917443 PIJ917440:PIJ917443 OYN917440:OYN917443 OOR917440:OOR917443 OEV917440:OEV917443 NUZ917440:NUZ917443 NLD917440:NLD917443 NBH917440:NBH917443 MRL917440:MRL917443 MHP917440:MHP917443 LXT917440:LXT917443 LNX917440:LNX917443 LEB917440:LEB917443 KUF917440:KUF917443 KKJ917440:KKJ917443 KAN917440:KAN917443 JQR917440:JQR917443 JGV917440:JGV917443 IWZ917440:IWZ917443 IND917440:IND917443 IDH917440:IDH917443 HTL917440:HTL917443 HJP917440:HJP917443 GZT917440:GZT917443 GPX917440:GPX917443 GGB917440:GGB917443 FWF917440:FWF917443 FMJ917440:FMJ917443 FCN917440:FCN917443 ESR917440:ESR917443 EIV917440:EIV917443 DYZ917440:DYZ917443 DPD917440:DPD917443 DFH917440:DFH917443 CVL917440:CVL917443 CLP917440:CLP917443 CBT917440:CBT917443 BRX917440:BRX917443 BIB917440:BIB917443 AYF917440:AYF917443 AOJ917440:AOJ917443 AEN917440:AEN917443 UR917440:UR917443 KV917440:KV917443 AU917440:AU917443 WXH851904:WXH851907 WNL851904:WNL851907 WDP851904:WDP851907 VTT851904:VTT851907 VJX851904:VJX851907 VAB851904:VAB851907 UQF851904:UQF851907 UGJ851904:UGJ851907 TWN851904:TWN851907 TMR851904:TMR851907 TCV851904:TCV851907 SSZ851904:SSZ851907 SJD851904:SJD851907 RZH851904:RZH851907 RPL851904:RPL851907 RFP851904:RFP851907 QVT851904:QVT851907 QLX851904:QLX851907 QCB851904:QCB851907 PSF851904:PSF851907 PIJ851904:PIJ851907 OYN851904:OYN851907 OOR851904:OOR851907 OEV851904:OEV851907 NUZ851904:NUZ851907 NLD851904:NLD851907 NBH851904:NBH851907 MRL851904:MRL851907 MHP851904:MHP851907 LXT851904:LXT851907 LNX851904:LNX851907 LEB851904:LEB851907 KUF851904:KUF851907 KKJ851904:KKJ851907 KAN851904:KAN851907 JQR851904:JQR851907 JGV851904:JGV851907 IWZ851904:IWZ851907 IND851904:IND851907 IDH851904:IDH851907 HTL851904:HTL851907 HJP851904:HJP851907 GZT851904:GZT851907 GPX851904:GPX851907 GGB851904:GGB851907 FWF851904:FWF851907 FMJ851904:FMJ851907 FCN851904:FCN851907 ESR851904:ESR851907 EIV851904:EIV851907 DYZ851904:DYZ851907 DPD851904:DPD851907 DFH851904:DFH851907 CVL851904:CVL851907 CLP851904:CLP851907 CBT851904:CBT851907 BRX851904:BRX851907 BIB851904:BIB851907 AYF851904:AYF851907 AOJ851904:AOJ851907 AEN851904:AEN851907 UR851904:UR851907 KV851904:KV851907 AU851904:AU851907 WXH786368:WXH786371 WNL786368:WNL786371 WDP786368:WDP786371 VTT786368:VTT786371 VJX786368:VJX786371 VAB786368:VAB786371 UQF786368:UQF786371 UGJ786368:UGJ786371 TWN786368:TWN786371 TMR786368:TMR786371 TCV786368:TCV786371 SSZ786368:SSZ786371 SJD786368:SJD786371 RZH786368:RZH786371 RPL786368:RPL786371 RFP786368:RFP786371 QVT786368:QVT786371 QLX786368:QLX786371 QCB786368:QCB786371 PSF786368:PSF786371 PIJ786368:PIJ786371 OYN786368:OYN786371 OOR786368:OOR786371 OEV786368:OEV786371 NUZ786368:NUZ786371 NLD786368:NLD786371 NBH786368:NBH786371 MRL786368:MRL786371 MHP786368:MHP786371 LXT786368:LXT786371 LNX786368:LNX786371 LEB786368:LEB786371 KUF786368:KUF786371 KKJ786368:KKJ786371 KAN786368:KAN786371 JQR786368:JQR786371 JGV786368:JGV786371 IWZ786368:IWZ786371 IND786368:IND786371 IDH786368:IDH786371 HTL786368:HTL786371 HJP786368:HJP786371 GZT786368:GZT786371 GPX786368:GPX786371 GGB786368:GGB786371 FWF786368:FWF786371 FMJ786368:FMJ786371 FCN786368:FCN786371 ESR786368:ESR786371 EIV786368:EIV786371 DYZ786368:DYZ786371 DPD786368:DPD786371 DFH786368:DFH786371 CVL786368:CVL786371 CLP786368:CLP786371 CBT786368:CBT786371 BRX786368:BRX786371 BIB786368:BIB786371 AYF786368:AYF786371 AOJ786368:AOJ786371 AEN786368:AEN786371 UR786368:UR786371 KV786368:KV786371 AU786368:AU786371 WXH720832:WXH720835 WNL720832:WNL720835 WDP720832:WDP720835 VTT720832:VTT720835 VJX720832:VJX720835 VAB720832:VAB720835 UQF720832:UQF720835 UGJ720832:UGJ720835 TWN720832:TWN720835 TMR720832:TMR720835 TCV720832:TCV720835 SSZ720832:SSZ720835 SJD720832:SJD720835 RZH720832:RZH720835 RPL720832:RPL720835 RFP720832:RFP720835 QVT720832:QVT720835 QLX720832:QLX720835 QCB720832:QCB720835 PSF720832:PSF720835 PIJ720832:PIJ720835 OYN720832:OYN720835 OOR720832:OOR720835 OEV720832:OEV720835 NUZ720832:NUZ720835 NLD720832:NLD720835 NBH720832:NBH720835 MRL720832:MRL720835 MHP720832:MHP720835 LXT720832:LXT720835 LNX720832:LNX720835 LEB720832:LEB720835 KUF720832:KUF720835 KKJ720832:KKJ720835 KAN720832:KAN720835 JQR720832:JQR720835 JGV720832:JGV720835 IWZ720832:IWZ720835 IND720832:IND720835 IDH720832:IDH720835 HTL720832:HTL720835 HJP720832:HJP720835 GZT720832:GZT720835 GPX720832:GPX720835 GGB720832:GGB720835 FWF720832:FWF720835 FMJ720832:FMJ720835 FCN720832:FCN720835 ESR720832:ESR720835 EIV720832:EIV720835 DYZ720832:DYZ720835 DPD720832:DPD720835 DFH720832:DFH720835 CVL720832:CVL720835 CLP720832:CLP720835 CBT720832:CBT720835 BRX720832:BRX720835 BIB720832:BIB720835 AYF720832:AYF720835 AOJ720832:AOJ720835 AEN720832:AEN720835 UR720832:UR720835 KV720832:KV720835 AU720832:AU720835 WXH655296:WXH655299 WNL655296:WNL655299 WDP655296:WDP655299 VTT655296:VTT655299 VJX655296:VJX655299 VAB655296:VAB655299 UQF655296:UQF655299 UGJ655296:UGJ655299 TWN655296:TWN655299 TMR655296:TMR655299 TCV655296:TCV655299 SSZ655296:SSZ655299 SJD655296:SJD655299 RZH655296:RZH655299 RPL655296:RPL655299 RFP655296:RFP655299 QVT655296:QVT655299 QLX655296:QLX655299 QCB655296:QCB655299 PSF655296:PSF655299 PIJ655296:PIJ655299 OYN655296:OYN655299 OOR655296:OOR655299 OEV655296:OEV655299 NUZ655296:NUZ655299 NLD655296:NLD655299 NBH655296:NBH655299 MRL655296:MRL655299 MHP655296:MHP655299 LXT655296:LXT655299 LNX655296:LNX655299 LEB655296:LEB655299 KUF655296:KUF655299 KKJ655296:KKJ655299 KAN655296:KAN655299 JQR655296:JQR655299 JGV655296:JGV655299 IWZ655296:IWZ655299 IND655296:IND655299 IDH655296:IDH655299 HTL655296:HTL655299 HJP655296:HJP655299 GZT655296:GZT655299 GPX655296:GPX655299 GGB655296:GGB655299 FWF655296:FWF655299 FMJ655296:FMJ655299 FCN655296:FCN655299 ESR655296:ESR655299 EIV655296:EIV655299 DYZ655296:DYZ655299 DPD655296:DPD655299 DFH655296:DFH655299 CVL655296:CVL655299 CLP655296:CLP655299 CBT655296:CBT655299 BRX655296:BRX655299 BIB655296:BIB655299 AYF655296:AYF655299 AOJ655296:AOJ655299 AEN655296:AEN655299 UR655296:UR655299 KV655296:KV655299 AU655296:AU655299 WXH589760:WXH589763 WNL589760:WNL589763 WDP589760:WDP589763 VTT589760:VTT589763 VJX589760:VJX589763 VAB589760:VAB589763 UQF589760:UQF589763 UGJ589760:UGJ589763 TWN589760:TWN589763 TMR589760:TMR589763 TCV589760:TCV589763 SSZ589760:SSZ589763 SJD589760:SJD589763 RZH589760:RZH589763 RPL589760:RPL589763 RFP589760:RFP589763 QVT589760:QVT589763 QLX589760:QLX589763 QCB589760:QCB589763 PSF589760:PSF589763 PIJ589760:PIJ589763 OYN589760:OYN589763 OOR589760:OOR589763 OEV589760:OEV589763 NUZ589760:NUZ589763 NLD589760:NLD589763 NBH589760:NBH589763 MRL589760:MRL589763 MHP589760:MHP589763 LXT589760:LXT589763 LNX589760:LNX589763 LEB589760:LEB589763 KUF589760:KUF589763 KKJ589760:KKJ589763 KAN589760:KAN589763 JQR589760:JQR589763 JGV589760:JGV589763 IWZ589760:IWZ589763 IND589760:IND589763 IDH589760:IDH589763 HTL589760:HTL589763 HJP589760:HJP589763 GZT589760:GZT589763 GPX589760:GPX589763 GGB589760:GGB589763 FWF589760:FWF589763 FMJ589760:FMJ589763 FCN589760:FCN589763 ESR589760:ESR589763 EIV589760:EIV589763 DYZ589760:DYZ589763 DPD589760:DPD589763 DFH589760:DFH589763 CVL589760:CVL589763 CLP589760:CLP589763 CBT589760:CBT589763 BRX589760:BRX589763 BIB589760:BIB589763 AYF589760:AYF589763 AOJ589760:AOJ589763 AEN589760:AEN589763 UR589760:UR589763 KV589760:KV589763 AU589760:AU589763 WXH524224:WXH524227 WNL524224:WNL524227 WDP524224:WDP524227 VTT524224:VTT524227 VJX524224:VJX524227 VAB524224:VAB524227 UQF524224:UQF524227 UGJ524224:UGJ524227 TWN524224:TWN524227 TMR524224:TMR524227 TCV524224:TCV524227 SSZ524224:SSZ524227 SJD524224:SJD524227 RZH524224:RZH524227 RPL524224:RPL524227 RFP524224:RFP524227 QVT524224:QVT524227 QLX524224:QLX524227 QCB524224:QCB524227 PSF524224:PSF524227 PIJ524224:PIJ524227 OYN524224:OYN524227 OOR524224:OOR524227 OEV524224:OEV524227 NUZ524224:NUZ524227 NLD524224:NLD524227 NBH524224:NBH524227 MRL524224:MRL524227 MHP524224:MHP524227 LXT524224:LXT524227 LNX524224:LNX524227 LEB524224:LEB524227 KUF524224:KUF524227 KKJ524224:KKJ524227 KAN524224:KAN524227 JQR524224:JQR524227 JGV524224:JGV524227 IWZ524224:IWZ524227 IND524224:IND524227 IDH524224:IDH524227 HTL524224:HTL524227 HJP524224:HJP524227 GZT524224:GZT524227 GPX524224:GPX524227 GGB524224:GGB524227 FWF524224:FWF524227 FMJ524224:FMJ524227 FCN524224:FCN524227 ESR524224:ESR524227 EIV524224:EIV524227 DYZ524224:DYZ524227 DPD524224:DPD524227 DFH524224:DFH524227 CVL524224:CVL524227 CLP524224:CLP524227 CBT524224:CBT524227 BRX524224:BRX524227 BIB524224:BIB524227 AYF524224:AYF524227 AOJ524224:AOJ524227 AEN524224:AEN524227 UR524224:UR524227 KV524224:KV524227 AU524224:AU524227 WXH458688:WXH458691 WNL458688:WNL458691 WDP458688:WDP458691 VTT458688:VTT458691 VJX458688:VJX458691 VAB458688:VAB458691 UQF458688:UQF458691 UGJ458688:UGJ458691 TWN458688:TWN458691 TMR458688:TMR458691 TCV458688:TCV458691 SSZ458688:SSZ458691 SJD458688:SJD458691 RZH458688:RZH458691 RPL458688:RPL458691 RFP458688:RFP458691 QVT458688:QVT458691 QLX458688:QLX458691 QCB458688:QCB458691 PSF458688:PSF458691 PIJ458688:PIJ458691 OYN458688:OYN458691 OOR458688:OOR458691 OEV458688:OEV458691 NUZ458688:NUZ458691 NLD458688:NLD458691 NBH458688:NBH458691 MRL458688:MRL458691 MHP458688:MHP458691 LXT458688:LXT458691 LNX458688:LNX458691 LEB458688:LEB458691 KUF458688:KUF458691 KKJ458688:KKJ458691 KAN458688:KAN458691 JQR458688:JQR458691 JGV458688:JGV458691 IWZ458688:IWZ458691 IND458688:IND458691 IDH458688:IDH458691 HTL458688:HTL458691 HJP458688:HJP458691 GZT458688:GZT458691 GPX458688:GPX458691 GGB458688:GGB458691 FWF458688:FWF458691 FMJ458688:FMJ458691 FCN458688:FCN458691 ESR458688:ESR458691 EIV458688:EIV458691 DYZ458688:DYZ458691 DPD458688:DPD458691 DFH458688:DFH458691 CVL458688:CVL458691 CLP458688:CLP458691 CBT458688:CBT458691 BRX458688:BRX458691 BIB458688:BIB458691 AYF458688:AYF458691 AOJ458688:AOJ458691 AEN458688:AEN458691 UR458688:UR458691 KV458688:KV458691 AU458688:AU458691 WXH393152:WXH393155 WNL393152:WNL393155 WDP393152:WDP393155 VTT393152:VTT393155 VJX393152:VJX393155 VAB393152:VAB393155 UQF393152:UQF393155 UGJ393152:UGJ393155 TWN393152:TWN393155 TMR393152:TMR393155 TCV393152:TCV393155 SSZ393152:SSZ393155 SJD393152:SJD393155 RZH393152:RZH393155 RPL393152:RPL393155 RFP393152:RFP393155 QVT393152:QVT393155 QLX393152:QLX393155 QCB393152:QCB393155 PSF393152:PSF393155 PIJ393152:PIJ393155 OYN393152:OYN393155 OOR393152:OOR393155 OEV393152:OEV393155 NUZ393152:NUZ393155 NLD393152:NLD393155 NBH393152:NBH393155 MRL393152:MRL393155 MHP393152:MHP393155 LXT393152:LXT393155 LNX393152:LNX393155 LEB393152:LEB393155 KUF393152:KUF393155 KKJ393152:KKJ393155 KAN393152:KAN393155 JQR393152:JQR393155 JGV393152:JGV393155 IWZ393152:IWZ393155 IND393152:IND393155 IDH393152:IDH393155 HTL393152:HTL393155 HJP393152:HJP393155 GZT393152:GZT393155 GPX393152:GPX393155 GGB393152:GGB393155 FWF393152:FWF393155 FMJ393152:FMJ393155 FCN393152:FCN393155 ESR393152:ESR393155 EIV393152:EIV393155 DYZ393152:DYZ393155 DPD393152:DPD393155 DFH393152:DFH393155 CVL393152:CVL393155 CLP393152:CLP393155 CBT393152:CBT393155 BRX393152:BRX393155 BIB393152:BIB393155 AYF393152:AYF393155 AOJ393152:AOJ393155 AEN393152:AEN393155 UR393152:UR393155 KV393152:KV393155 AU393152:AU393155 WXH327616:WXH327619 WNL327616:WNL327619 WDP327616:WDP327619 VTT327616:VTT327619 VJX327616:VJX327619 VAB327616:VAB327619 UQF327616:UQF327619 UGJ327616:UGJ327619 TWN327616:TWN327619 TMR327616:TMR327619 TCV327616:TCV327619 SSZ327616:SSZ327619 SJD327616:SJD327619 RZH327616:RZH327619 RPL327616:RPL327619 RFP327616:RFP327619 QVT327616:QVT327619 QLX327616:QLX327619 QCB327616:QCB327619 PSF327616:PSF327619 PIJ327616:PIJ327619 OYN327616:OYN327619 OOR327616:OOR327619 OEV327616:OEV327619 NUZ327616:NUZ327619 NLD327616:NLD327619 NBH327616:NBH327619 MRL327616:MRL327619 MHP327616:MHP327619 LXT327616:LXT327619 LNX327616:LNX327619 LEB327616:LEB327619 KUF327616:KUF327619 KKJ327616:KKJ327619 KAN327616:KAN327619 JQR327616:JQR327619 JGV327616:JGV327619 IWZ327616:IWZ327619 IND327616:IND327619 IDH327616:IDH327619 HTL327616:HTL327619 HJP327616:HJP327619 GZT327616:GZT327619 GPX327616:GPX327619 GGB327616:GGB327619 FWF327616:FWF327619 FMJ327616:FMJ327619 FCN327616:FCN327619 ESR327616:ESR327619 EIV327616:EIV327619 DYZ327616:DYZ327619 DPD327616:DPD327619 DFH327616:DFH327619 CVL327616:CVL327619 CLP327616:CLP327619 CBT327616:CBT327619 BRX327616:BRX327619 BIB327616:BIB327619 AYF327616:AYF327619 AOJ327616:AOJ327619 AEN327616:AEN327619 UR327616:UR327619 KV327616:KV327619 AU327616:AU327619 WXH262080:WXH262083 WNL262080:WNL262083 WDP262080:WDP262083 VTT262080:VTT262083 VJX262080:VJX262083 VAB262080:VAB262083 UQF262080:UQF262083 UGJ262080:UGJ262083 TWN262080:TWN262083 TMR262080:TMR262083 TCV262080:TCV262083 SSZ262080:SSZ262083 SJD262080:SJD262083 RZH262080:RZH262083 RPL262080:RPL262083 RFP262080:RFP262083 QVT262080:QVT262083 QLX262080:QLX262083 QCB262080:QCB262083 PSF262080:PSF262083 PIJ262080:PIJ262083 OYN262080:OYN262083 OOR262080:OOR262083 OEV262080:OEV262083 NUZ262080:NUZ262083 NLD262080:NLD262083 NBH262080:NBH262083 MRL262080:MRL262083 MHP262080:MHP262083 LXT262080:LXT262083 LNX262080:LNX262083 LEB262080:LEB262083 KUF262080:KUF262083 KKJ262080:KKJ262083 KAN262080:KAN262083 JQR262080:JQR262083 JGV262080:JGV262083 IWZ262080:IWZ262083 IND262080:IND262083 IDH262080:IDH262083 HTL262080:HTL262083 HJP262080:HJP262083 GZT262080:GZT262083 GPX262080:GPX262083 GGB262080:GGB262083 FWF262080:FWF262083 FMJ262080:FMJ262083 FCN262080:FCN262083 ESR262080:ESR262083 EIV262080:EIV262083 DYZ262080:DYZ262083 DPD262080:DPD262083 DFH262080:DFH262083 CVL262080:CVL262083 CLP262080:CLP262083 CBT262080:CBT262083 BRX262080:BRX262083 BIB262080:BIB262083 AYF262080:AYF262083 AOJ262080:AOJ262083 AEN262080:AEN262083 UR262080:UR262083 KV262080:KV262083 AU262080:AU262083 WXH196544:WXH196547 WNL196544:WNL196547 WDP196544:WDP196547 VTT196544:VTT196547 VJX196544:VJX196547 VAB196544:VAB196547 UQF196544:UQF196547 UGJ196544:UGJ196547 TWN196544:TWN196547 TMR196544:TMR196547 TCV196544:TCV196547 SSZ196544:SSZ196547 SJD196544:SJD196547 RZH196544:RZH196547 RPL196544:RPL196547 RFP196544:RFP196547 QVT196544:QVT196547 QLX196544:QLX196547 QCB196544:QCB196547 PSF196544:PSF196547 PIJ196544:PIJ196547 OYN196544:OYN196547 OOR196544:OOR196547 OEV196544:OEV196547 NUZ196544:NUZ196547 NLD196544:NLD196547 NBH196544:NBH196547 MRL196544:MRL196547 MHP196544:MHP196547 LXT196544:LXT196547 LNX196544:LNX196547 LEB196544:LEB196547 KUF196544:KUF196547 KKJ196544:KKJ196547 KAN196544:KAN196547 JQR196544:JQR196547 JGV196544:JGV196547 IWZ196544:IWZ196547 IND196544:IND196547 IDH196544:IDH196547 HTL196544:HTL196547 HJP196544:HJP196547 GZT196544:GZT196547 GPX196544:GPX196547 GGB196544:GGB196547 FWF196544:FWF196547 FMJ196544:FMJ196547 FCN196544:FCN196547 ESR196544:ESR196547 EIV196544:EIV196547 DYZ196544:DYZ196547 DPD196544:DPD196547 DFH196544:DFH196547 CVL196544:CVL196547 CLP196544:CLP196547 CBT196544:CBT196547 BRX196544:BRX196547 BIB196544:BIB196547 AYF196544:AYF196547 AOJ196544:AOJ196547 AEN196544:AEN196547 UR196544:UR196547 KV196544:KV196547 AU196544:AU196547 WXH131008:WXH131011 WNL131008:WNL131011 WDP131008:WDP131011 VTT131008:VTT131011 VJX131008:VJX131011 VAB131008:VAB131011 UQF131008:UQF131011 UGJ131008:UGJ131011 TWN131008:TWN131011 TMR131008:TMR131011 TCV131008:TCV131011 SSZ131008:SSZ131011 SJD131008:SJD131011 RZH131008:RZH131011 RPL131008:RPL131011 RFP131008:RFP131011 QVT131008:QVT131011 QLX131008:QLX131011 QCB131008:QCB131011 PSF131008:PSF131011 PIJ131008:PIJ131011 OYN131008:OYN131011 OOR131008:OOR131011 OEV131008:OEV131011 NUZ131008:NUZ131011 NLD131008:NLD131011 NBH131008:NBH131011 MRL131008:MRL131011 MHP131008:MHP131011 LXT131008:LXT131011 LNX131008:LNX131011 LEB131008:LEB131011 KUF131008:KUF131011 KKJ131008:KKJ131011 KAN131008:KAN131011 JQR131008:JQR131011 JGV131008:JGV131011 IWZ131008:IWZ131011 IND131008:IND131011 IDH131008:IDH131011 HTL131008:HTL131011 HJP131008:HJP131011 GZT131008:GZT131011 GPX131008:GPX131011 GGB131008:GGB131011 FWF131008:FWF131011 FMJ131008:FMJ131011 FCN131008:FCN131011 ESR131008:ESR131011 EIV131008:EIV131011 DYZ131008:DYZ131011 DPD131008:DPD131011 DFH131008:DFH131011 CVL131008:CVL131011 CLP131008:CLP131011 CBT131008:CBT131011 BRX131008:BRX131011 BIB131008:BIB131011 AYF131008:AYF131011 AOJ131008:AOJ131011 AEN131008:AEN131011 UR131008:UR131011 KV131008:KV131011 AU131008:AU131011 WXH65472:WXH65475 WNL65472:WNL65475 WDP65472:WDP65475 VTT65472:VTT65475 VJX65472:VJX65475 VAB65472:VAB65475 UQF65472:UQF65475 UGJ65472:UGJ65475 TWN65472:TWN65475 TMR65472:TMR65475 TCV65472:TCV65475 SSZ65472:SSZ65475 SJD65472:SJD65475 RZH65472:RZH65475 RPL65472:RPL65475 RFP65472:RFP65475 QVT65472:QVT65475 QLX65472:QLX65475 QCB65472:QCB65475 PSF65472:PSF65475 PIJ65472:PIJ65475 OYN65472:OYN65475 OOR65472:OOR65475 OEV65472:OEV65475 NUZ65472:NUZ65475 NLD65472:NLD65475 NBH65472:NBH65475 MRL65472:MRL65475 MHP65472:MHP65475 LXT65472:LXT65475 LNX65472:LNX65475 LEB65472:LEB65475 KUF65472:KUF65475 KKJ65472:KKJ65475 KAN65472:KAN65475 JQR65472:JQR65475 JGV65472:JGV65475 IWZ65472:IWZ65475 IND65472:IND65475 IDH65472:IDH65475 HTL65472:HTL65475 HJP65472:HJP65475 GZT65472:GZT65475 GPX65472:GPX65475 GGB65472:GGB65475 FWF65472:FWF65475 FMJ65472:FMJ65475 FCN65472:FCN65475 ESR65472:ESR65475 EIV65472:EIV65475 DYZ65472:DYZ65475 DPD65472:DPD65475 DFH65472:DFH65475 CVL65472:CVL65475 CLP65472:CLP65475 CBT65472:CBT65475 BRX65472:BRX65475 BIB65472:BIB65475 AYF65472:AYF65475 AOJ65472:AOJ65475 AEN65472:AEN65475 UR65472:UR65475 KV65472:KV65475 AU65472:AU65475">
      <formula1>$E$58:$E$61</formula1>
    </dataValidation>
    <dataValidation type="list" allowBlank="1" showInputMessage="1" showErrorMessage="1" sqref="WYH982976:WYJ982979 WOL982976:WON982979 WEP982976:WER982979 VUT982976:VUV982979 VKX982976:VKZ982979 VBB982976:VBD982979 URF982976:URH982979 UHJ982976:UHL982979 TXN982976:TXP982979 TNR982976:TNT982979 TDV982976:TDX982979 STZ982976:SUB982979 SKD982976:SKF982979 SAH982976:SAJ982979 RQL982976:RQN982979 RGP982976:RGR982979 QWT982976:QWV982979 QMX982976:QMZ982979 QDB982976:QDD982979 PTF982976:PTH982979 PJJ982976:PJL982979 OZN982976:OZP982979 OPR982976:OPT982979 OFV982976:OFX982979 NVZ982976:NWB982979 NMD982976:NMF982979 NCH982976:NCJ982979 MSL982976:MSN982979 MIP982976:MIR982979 LYT982976:LYV982979 LOX982976:LOZ982979 LFB982976:LFD982979 KVF982976:KVH982979 KLJ982976:KLL982979 KBN982976:KBP982979 JRR982976:JRT982979 JHV982976:JHX982979 IXZ982976:IYB982979 IOD982976:IOF982979 IEH982976:IEJ982979 HUL982976:HUN982979 HKP982976:HKR982979 HAT982976:HAV982979 GQX982976:GQZ982979 GHB982976:GHD982979 FXF982976:FXH982979 FNJ982976:FNL982979 FDN982976:FDP982979 ETR982976:ETT982979 EJV982976:EJX982979 DZZ982976:EAB982979 DQD982976:DQF982979 DGH982976:DGJ982979 CWL982976:CWN982979 CMP982976:CMR982979 CCT982976:CCV982979 BSX982976:BSZ982979 BJB982976:BJD982979 AZF982976:AZH982979 APJ982976:APL982979 AFN982976:AFP982979 VR982976:VT982979 LV982976:LX982979 CF982976:CF982979 WYH917440:WYJ917443 WOL917440:WON917443 WEP917440:WER917443 VUT917440:VUV917443 VKX917440:VKZ917443 VBB917440:VBD917443 URF917440:URH917443 UHJ917440:UHL917443 TXN917440:TXP917443 TNR917440:TNT917443 TDV917440:TDX917443 STZ917440:SUB917443 SKD917440:SKF917443 SAH917440:SAJ917443 RQL917440:RQN917443 RGP917440:RGR917443 QWT917440:QWV917443 QMX917440:QMZ917443 QDB917440:QDD917443 PTF917440:PTH917443 PJJ917440:PJL917443 OZN917440:OZP917443 OPR917440:OPT917443 OFV917440:OFX917443 NVZ917440:NWB917443 NMD917440:NMF917443 NCH917440:NCJ917443 MSL917440:MSN917443 MIP917440:MIR917443 LYT917440:LYV917443 LOX917440:LOZ917443 LFB917440:LFD917443 KVF917440:KVH917443 KLJ917440:KLL917443 KBN917440:KBP917443 JRR917440:JRT917443 JHV917440:JHX917443 IXZ917440:IYB917443 IOD917440:IOF917443 IEH917440:IEJ917443 HUL917440:HUN917443 HKP917440:HKR917443 HAT917440:HAV917443 GQX917440:GQZ917443 GHB917440:GHD917443 FXF917440:FXH917443 FNJ917440:FNL917443 FDN917440:FDP917443 ETR917440:ETT917443 EJV917440:EJX917443 DZZ917440:EAB917443 DQD917440:DQF917443 DGH917440:DGJ917443 CWL917440:CWN917443 CMP917440:CMR917443 CCT917440:CCV917443 BSX917440:BSZ917443 BJB917440:BJD917443 AZF917440:AZH917443 APJ917440:APL917443 AFN917440:AFP917443 VR917440:VT917443 LV917440:LX917443 CF917440:CF917443 WYH851904:WYJ851907 WOL851904:WON851907 WEP851904:WER851907 VUT851904:VUV851907 VKX851904:VKZ851907 VBB851904:VBD851907 URF851904:URH851907 UHJ851904:UHL851907 TXN851904:TXP851907 TNR851904:TNT851907 TDV851904:TDX851907 STZ851904:SUB851907 SKD851904:SKF851907 SAH851904:SAJ851907 RQL851904:RQN851907 RGP851904:RGR851907 QWT851904:QWV851907 QMX851904:QMZ851907 QDB851904:QDD851907 PTF851904:PTH851907 PJJ851904:PJL851907 OZN851904:OZP851907 OPR851904:OPT851907 OFV851904:OFX851907 NVZ851904:NWB851907 NMD851904:NMF851907 NCH851904:NCJ851907 MSL851904:MSN851907 MIP851904:MIR851907 LYT851904:LYV851907 LOX851904:LOZ851907 LFB851904:LFD851907 KVF851904:KVH851907 KLJ851904:KLL851907 KBN851904:KBP851907 JRR851904:JRT851907 JHV851904:JHX851907 IXZ851904:IYB851907 IOD851904:IOF851907 IEH851904:IEJ851907 HUL851904:HUN851907 HKP851904:HKR851907 HAT851904:HAV851907 GQX851904:GQZ851907 GHB851904:GHD851907 FXF851904:FXH851907 FNJ851904:FNL851907 FDN851904:FDP851907 ETR851904:ETT851907 EJV851904:EJX851907 DZZ851904:EAB851907 DQD851904:DQF851907 DGH851904:DGJ851907 CWL851904:CWN851907 CMP851904:CMR851907 CCT851904:CCV851907 BSX851904:BSZ851907 BJB851904:BJD851907 AZF851904:AZH851907 APJ851904:APL851907 AFN851904:AFP851907 VR851904:VT851907 LV851904:LX851907 CF851904:CF851907 WYH786368:WYJ786371 WOL786368:WON786371 WEP786368:WER786371 VUT786368:VUV786371 VKX786368:VKZ786371 VBB786368:VBD786371 URF786368:URH786371 UHJ786368:UHL786371 TXN786368:TXP786371 TNR786368:TNT786371 TDV786368:TDX786371 STZ786368:SUB786371 SKD786368:SKF786371 SAH786368:SAJ786371 RQL786368:RQN786371 RGP786368:RGR786371 QWT786368:QWV786371 QMX786368:QMZ786371 QDB786368:QDD786371 PTF786368:PTH786371 PJJ786368:PJL786371 OZN786368:OZP786371 OPR786368:OPT786371 OFV786368:OFX786371 NVZ786368:NWB786371 NMD786368:NMF786371 NCH786368:NCJ786371 MSL786368:MSN786371 MIP786368:MIR786371 LYT786368:LYV786371 LOX786368:LOZ786371 LFB786368:LFD786371 KVF786368:KVH786371 KLJ786368:KLL786371 KBN786368:KBP786371 JRR786368:JRT786371 JHV786368:JHX786371 IXZ786368:IYB786371 IOD786368:IOF786371 IEH786368:IEJ786371 HUL786368:HUN786371 HKP786368:HKR786371 HAT786368:HAV786371 GQX786368:GQZ786371 GHB786368:GHD786371 FXF786368:FXH786371 FNJ786368:FNL786371 FDN786368:FDP786371 ETR786368:ETT786371 EJV786368:EJX786371 DZZ786368:EAB786371 DQD786368:DQF786371 DGH786368:DGJ786371 CWL786368:CWN786371 CMP786368:CMR786371 CCT786368:CCV786371 BSX786368:BSZ786371 BJB786368:BJD786371 AZF786368:AZH786371 APJ786368:APL786371 AFN786368:AFP786371 VR786368:VT786371 LV786368:LX786371 CF786368:CF786371 WYH720832:WYJ720835 WOL720832:WON720835 WEP720832:WER720835 VUT720832:VUV720835 VKX720832:VKZ720835 VBB720832:VBD720835 URF720832:URH720835 UHJ720832:UHL720835 TXN720832:TXP720835 TNR720832:TNT720835 TDV720832:TDX720835 STZ720832:SUB720835 SKD720832:SKF720835 SAH720832:SAJ720835 RQL720832:RQN720835 RGP720832:RGR720835 QWT720832:QWV720835 QMX720832:QMZ720835 QDB720832:QDD720835 PTF720832:PTH720835 PJJ720832:PJL720835 OZN720832:OZP720835 OPR720832:OPT720835 OFV720832:OFX720835 NVZ720832:NWB720835 NMD720832:NMF720835 NCH720832:NCJ720835 MSL720832:MSN720835 MIP720832:MIR720835 LYT720832:LYV720835 LOX720832:LOZ720835 LFB720832:LFD720835 KVF720832:KVH720835 KLJ720832:KLL720835 KBN720832:KBP720835 JRR720832:JRT720835 JHV720832:JHX720835 IXZ720832:IYB720835 IOD720832:IOF720835 IEH720832:IEJ720835 HUL720832:HUN720835 HKP720832:HKR720835 HAT720832:HAV720835 GQX720832:GQZ720835 GHB720832:GHD720835 FXF720832:FXH720835 FNJ720832:FNL720835 FDN720832:FDP720835 ETR720832:ETT720835 EJV720832:EJX720835 DZZ720832:EAB720835 DQD720832:DQF720835 DGH720832:DGJ720835 CWL720832:CWN720835 CMP720832:CMR720835 CCT720832:CCV720835 BSX720832:BSZ720835 BJB720832:BJD720835 AZF720832:AZH720835 APJ720832:APL720835 AFN720832:AFP720835 VR720832:VT720835 LV720832:LX720835 CF720832:CF720835 WYH655296:WYJ655299 WOL655296:WON655299 WEP655296:WER655299 VUT655296:VUV655299 VKX655296:VKZ655299 VBB655296:VBD655299 URF655296:URH655299 UHJ655296:UHL655299 TXN655296:TXP655299 TNR655296:TNT655299 TDV655296:TDX655299 STZ655296:SUB655299 SKD655296:SKF655299 SAH655296:SAJ655299 RQL655296:RQN655299 RGP655296:RGR655299 QWT655296:QWV655299 QMX655296:QMZ655299 QDB655296:QDD655299 PTF655296:PTH655299 PJJ655296:PJL655299 OZN655296:OZP655299 OPR655296:OPT655299 OFV655296:OFX655299 NVZ655296:NWB655299 NMD655296:NMF655299 NCH655296:NCJ655299 MSL655296:MSN655299 MIP655296:MIR655299 LYT655296:LYV655299 LOX655296:LOZ655299 LFB655296:LFD655299 KVF655296:KVH655299 KLJ655296:KLL655299 KBN655296:KBP655299 JRR655296:JRT655299 JHV655296:JHX655299 IXZ655296:IYB655299 IOD655296:IOF655299 IEH655296:IEJ655299 HUL655296:HUN655299 HKP655296:HKR655299 HAT655296:HAV655299 GQX655296:GQZ655299 GHB655296:GHD655299 FXF655296:FXH655299 FNJ655296:FNL655299 FDN655296:FDP655299 ETR655296:ETT655299 EJV655296:EJX655299 DZZ655296:EAB655299 DQD655296:DQF655299 DGH655296:DGJ655299 CWL655296:CWN655299 CMP655296:CMR655299 CCT655296:CCV655299 BSX655296:BSZ655299 BJB655296:BJD655299 AZF655296:AZH655299 APJ655296:APL655299 AFN655296:AFP655299 VR655296:VT655299 LV655296:LX655299 CF655296:CF655299 WYH589760:WYJ589763 WOL589760:WON589763 WEP589760:WER589763 VUT589760:VUV589763 VKX589760:VKZ589763 VBB589760:VBD589763 URF589760:URH589763 UHJ589760:UHL589763 TXN589760:TXP589763 TNR589760:TNT589763 TDV589760:TDX589763 STZ589760:SUB589763 SKD589760:SKF589763 SAH589760:SAJ589763 RQL589760:RQN589763 RGP589760:RGR589763 QWT589760:QWV589763 QMX589760:QMZ589763 QDB589760:QDD589763 PTF589760:PTH589763 PJJ589760:PJL589763 OZN589760:OZP589763 OPR589760:OPT589763 OFV589760:OFX589763 NVZ589760:NWB589763 NMD589760:NMF589763 NCH589760:NCJ589763 MSL589760:MSN589763 MIP589760:MIR589763 LYT589760:LYV589763 LOX589760:LOZ589763 LFB589760:LFD589763 KVF589760:KVH589763 KLJ589760:KLL589763 KBN589760:KBP589763 JRR589760:JRT589763 JHV589760:JHX589763 IXZ589760:IYB589763 IOD589760:IOF589763 IEH589760:IEJ589763 HUL589760:HUN589763 HKP589760:HKR589763 HAT589760:HAV589763 GQX589760:GQZ589763 GHB589760:GHD589763 FXF589760:FXH589763 FNJ589760:FNL589763 FDN589760:FDP589763 ETR589760:ETT589763 EJV589760:EJX589763 DZZ589760:EAB589763 DQD589760:DQF589763 DGH589760:DGJ589763 CWL589760:CWN589763 CMP589760:CMR589763 CCT589760:CCV589763 BSX589760:BSZ589763 BJB589760:BJD589763 AZF589760:AZH589763 APJ589760:APL589763 AFN589760:AFP589763 VR589760:VT589763 LV589760:LX589763 CF589760:CF589763 WYH524224:WYJ524227 WOL524224:WON524227 WEP524224:WER524227 VUT524224:VUV524227 VKX524224:VKZ524227 VBB524224:VBD524227 URF524224:URH524227 UHJ524224:UHL524227 TXN524224:TXP524227 TNR524224:TNT524227 TDV524224:TDX524227 STZ524224:SUB524227 SKD524224:SKF524227 SAH524224:SAJ524227 RQL524224:RQN524227 RGP524224:RGR524227 QWT524224:QWV524227 QMX524224:QMZ524227 QDB524224:QDD524227 PTF524224:PTH524227 PJJ524224:PJL524227 OZN524224:OZP524227 OPR524224:OPT524227 OFV524224:OFX524227 NVZ524224:NWB524227 NMD524224:NMF524227 NCH524224:NCJ524227 MSL524224:MSN524227 MIP524224:MIR524227 LYT524224:LYV524227 LOX524224:LOZ524227 LFB524224:LFD524227 KVF524224:KVH524227 KLJ524224:KLL524227 KBN524224:KBP524227 JRR524224:JRT524227 JHV524224:JHX524227 IXZ524224:IYB524227 IOD524224:IOF524227 IEH524224:IEJ524227 HUL524224:HUN524227 HKP524224:HKR524227 HAT524224:HAV524227 GQX524224:GQZ524227 GHB524224:GHD524227 FXF524224:FXH524227 FNJ524224:FNL524227 FDN524224:FDP524227 ETR524224:ETT524227 EJV524224:EJX524227 DZZ524224:EAB524227 DQD524224:DQF524227 DGH524224:DGJ524227 CWL524224:CWN524227 CMP524224:CMR524227 CCT524224:CCV524227 BSX524224:BSZ524227 BJB524224:BJD524227 AZF524224:AZH524227 APJ524224:APL524227 AFN524224:AFP524227 VR524224:VT524227 LV524224:LX524227 CF524224:CF524227 WYH458688:WYJ458691 WOL458688:WON458691 WEP458688:WER458691 VUT458688:VUV458691 VKX458688:VKZ458691 VBB458688:VBD458691 URF458688:URH458691 UHJ458688:UHL458691 TXN458688:TXP458691 TNR458688:TNT458691 TDV458688:TDX458691 STZ458688:SUB458691 SKD458688:SKF458691 SAH458688:SAJ458691 RQL458688:RQN458691 RGP458688:RGR458691 QWT458688:QWV458691 QMX458688:QMZ458691 QDB458688:QDD458691 PTF458688:PTH458691 PJJ458688:PJL458691 OZN458688:OZP458691 OPR458688:OPT458691 OFV458688:OFX458691 NVZ458688:NWB458691 NMD458688:NMF458691 NCH458688:NCJ458691 MSL458688:MSN458691 MIP458688:MIR458691 LYT458688:LYV458691 LOX458688:LOZ458691 LFB458688:LFD458691 KVF458688:KVH458691 KLJ458688:KLL458691 KBN458688:KBP458691 JRR458688:JRT458691 JHV458688:JHX458691 IXZ458688:IYB458691 IOD458688:IOF458691 IEH458688:IEJ458691 HUL458688:HUN458691 HKP458688:HKR458691 HAT458688:HAV458691 GQX458688:GQZ458691 GHB458688:GHD458691 FXF458688:FXH458691 FNJ458688:FNL458691 FDN458688:FDP458691 ETR458688:ETT458691 EJV458688:EJX458691 DZZ458688:EAB458691 DQD458688:DQF458691 DGH458688:DGJ458691 CWL458688:CWN458691 CMP458688:CMR458691 CCT458688:CCV458691 BSX458688:BSZ458691 BJB458688:BJD458691 AZF458688:AZH458691 APJ458688:APL458691 AFN458688:AFP458691 VR458688:VT458691 LV458688:LX458691 CF458688:CF458691 WYH393152:WYJ393155 WOL393152:WON393155 WEP393152:WER393155 VUT393152:VUV393155 VKX393152:VKZ393155 VBB393152:VBD393155 URF393152:URH393155 UHJ393152:UHL393155 TXN393152:TXP393155 TNR393152:TNT393155 TDV393152:TDX393155 STZ393152:SUB393155 SKD393152:SKF393155 SAH393152:SAJ393155 RQL393152:RQN393155 RGP393152:RGR393155 QWT393152:QWV393155 QMX393152:QMZ393155 QDB393152:QDD393155 PTF393152:PTH393155 PJJ393152:PJL393155 OZN393152:OZP393155 OPR393152:OPT393155 OFV393152:OFX393155 NVZ393152:NWB393155 NMD393152:NMF393155 NCH393152:NCJ393155 MSL393152:MSN393155 MIP393152:MIR393155 LYT393152:LYV393155 LOX393152:LOZ393155 LFB393152:LFD393155 KVF393152:KVH393155 KLJ393152:KLL393155 KBN393152:KBP393155 JRR393152:JRT393155 JHV393152:JHX393155 IXZ393152:IYB393155 IOD393152:IOF393155 IEH393152:IEJ393155 HUL393152:HUN393155 HKP393152:HKR393155 HAT393152:HAV393155 GQX393152:GQZ393155 GHB393152:GHD393155 FXF393152:FXH393155 FNJ393152:FNL393155 FDN393152:FDP393155 ETR393152:ETT393155 EJV393152:EJX393155 DZZ393152:EAB393155 DQD393152:DQF393155 DGH393152:DGJ393155 CWL393152:CWN393155 CMP393152:CMR393155 CCT393152:CCV393155 BSX393152:BSZ393155 BJB393152:BJD393155 AZF393152:AZH393155 APJ393152:APL393155 AFN393152:AFP393155 VR393152:VT393155 LV393152:LX393155 CF393152:CF393155 WYH327616:WYJ327619 WOL327616:WON327619 WEP327616:WER327619 VUT327616:VUV327619 VKX327616:VKZ327619 VBB327616:VBD327619 URF327616:URH327619 UHJ327616:UHL327619 TXN327616:TXP327619 TNR327616:TNT327619 TDV327616:TDX327619 STZ327616:SUB327619 SKD327616:SKF327619 SAH327616:SAJ327619 RQL327616:RQN327619 RGP327616:RGR327619 QWT327616:QWV327619 QMX327616:QMZ327619 QDB327616:QDD327619 PTF327616:PTH327619 PJJ327616:PJL327619 OZN327616:OZP327619 OPR327616:OPT327619 OFV327616:OFX327619 NVZ327616:NWB327619 NMD327616:NMF327619 NCH327616:NCJ327619 MSL327616:MSN327619 MIP327616:MIR327619 LYT327616:LYV327619 LOX327616:LOZ327619 LFB327616:LFD327619 KVF327616:KVH327619 KLJ327616:KLL327619 KBN327616:KBP327619 JRR327616:JRT327619 JHV327616:JHX327619 IXZ327616:IYB327619 IOD327616:IOF327619 IEH327616:IEJ327619 HUL327616:HUN327619 HKP327616:HKR327619 HAT327616:HAV327619 GQX327616:GQZ327619 GHB327616:GHD327619 FXF327616:FXH327619 FNJ327616:FNL327619 FDN327616:FDP327619 ETR327616:ETT327619 EJV327616:EJX327619 DZZ327616:EAB327619 DQD327616:DQF327619 DGH327616:DGJ327619 CWL327616:CWN327619 CMP327616:CMR327619 CCT327616:CCV327619 BSX327616:BSZ327619 BJB327616:BJD327619 AZF327616:AZH327619 APJ327616:APL327619 AFN327616:AFP327619 VR327616:VT327619 LV327616:LX327619 CF327616:CF327619 WYH262080:WYJ262083 WOL262080:WON262083 WEP262080:WER262083 VUT262080:VUV262083 VKX262080:VKZ262083 VBB262080:VBD262083 URF262080:URH262083 UHJ262080:UHL262083 TXN262080:TXP262083 TNR262080:TNT262083 TDV262080:TDX262083 STZ262080:SUB262083 SKD262080:SKF262083 SAH262080:SAJ262083 RQL262080:RQN262083 RGP262080:RGR262083 QWT262080:QWV262083 QMX262080:QMZ262083 QDB262080:QDD262083 PTF262080:PTH262083 PJJ262080:PJL262083 OZN262080:OZP262083 OPR262080:OPT262083 OFV262080:OFX262083 NVZ262080:NWB262083 NMD262080:NMF262083 NCH262080:NCJ262083 MSL262080:MSN262083 MIP262080:MIR262083 LYT262080:LYV262083 LOX262080:LOZ262083 LFB262080:LFD262083 KVF262080:KVH262083 KLJ262080:KLL262083 KBN262080:KBP262083 JRR262080:JRT262083 JHV262080:JHX262083 IXZ262080:IYB262083 IOD262080:IOF262083 IEH262080:IEJ262083 HUL262080:HUN262083 HKP262080:HKR262083 HAT262080:HAV262083 GQX262080:GQZ262083 GHB262080:GHD262083 FXF262080:FXH262083 FNJ262080:FNL262083 FDN262080:FDP262083 ETR262080:ETT262083 EJV262080:EJX262083 DZZ262080:EAB262083 DQD262080:DQF262083 DGH262080:DGJ262083 CWL262080:CWN262083 CMP262080:CMR262083 CCT262080:CCV262083 BSX262080:BSZ262083 BJB262080:BJD262083 AZF262080:AZH262083 APJ262080:APL262083 AFN262080:AFP262083 VR262080:VT262083 LV262080:LX262083 CF262080:CF262083 WYH196544:WYJ196547 WOL196544:WON196547 WEP196544:WER196547 VUT196544:VUV196547 VKX196544:VKZ196547 VBB196544:VBD196547 URF196544:URH196547 UHJ196544:UHL196547 TXN196544:TXP196547 TNR196544:TNT196547 TDV196544:TDX196547 STZ196544:SUB196547 SKD196544:SKF196547 SAH196544:SAJ196547 RQL196544:RQN196547 RGP196544:RGR196547 QWT196544:QWV196547 QMX196544:QMZ196547 QDB196544:QDD196547 PTF196544:PTH196547 PJJ196544:PJL196547 OZN196544:OZP196547 OPR196544:OPT196547 OFV196544:OFX196547 NVZ196544:NWB196547 NMD196544:NMF196547 NCH196544:NCJ196547 MSL196544:MSN196547 MIP196544:MIR196547 LYT196544:LYV196547 LOX196544:LOZ196547 LFB196544:LFD196547 KVF196544:KVH196547 KLJ196544:KLL196547 KBN196544:KBP196547 JRR196544:JRT196547 JHV196544:JHX196547 IXZ196544:IYB196547 IOD196544:IOF196547 IEH196544:IEJ196547 HUL196544:HUN196547 HKP196544:HKR196547 HAT196544:HAV196547 GQX196544:GQZ196547 GHB196544:GHD196547 FXF196544:FXH196547 FNJ196544:FNL196547 FDN196544:FDP196547 ETR196544:ETT196547 EJV196544:EJX196547 DZZ196544:EAB196547 DQD196544:DQF196547 DGH196544:DGJ196547 CWL196544:CWN196547 CMP196544:CMR196547 CCT196544:CCV196547 BSX196544:BSZ196547 BJB196544:BJD196547 AZF196544:AZH196547 APJ196544:APL196547 AFN196544:AFP196547 VR196544:VT196547 LV196544:LX196547 CF196544:CF196547 WYH131008:WYJ131011 WOL131008:WON131011 WEP131008:WER131011 VUT131008:VUV131011 VKX131008:VKZ131011 VBB131008:VBD131011 URF131008:URH131011 UHJ131008:UHL131011 TXN131008:TXP131011 TNR131008:TNT131011 TDV131008:TDX131011 STZ131008:SUB131011 SKD131008:SKF131011 SAH131008:SAJ131011 RQL131008:RQN131011 RGP131008:RGR131011 QWT131008:QWV131011 QMX131008:QMZ131011 QDB131008:QDD131011 PTF131008:PTH131011 PJJ131008:PJL131011 OZN131008:OZP131011 OPR131008:OPT131011 OFV131008:OFX131011 NVZ131008:NWB131011 NMD131008:NMF131011 NCH131008:NCJ131011 MSL131008:MSN131011 MIP131008:MIR131011 LYT131008:LYV131011 LOX131008:LOZ131011 LFB131008:LFD131011 KVF131008:KVH131011 KLJ131008:KLL131011 KBN131008:KBP131011 JRR131008:JRT131011 JHV131008:JHX131011 IXZ131008:IYB131011 IOD131008:IOF131011 IEH131008:IEJ131011 HUL131008:HUN131011 HKP131008:HKR131011 HAT131008:HAV131011 GQX131008:GQZ131011 GHB131008:GHD131011 FXF131008:FXH131011 FNJ131008:FNL131011 FDN131008:FDP131011 ETR131008:ETT131011 EJV131008:EJX131011 DZZ131008:EAB131011 DQD131008:DQF131011 DGH131008:DGJ131011 CWL131008:CWN131011 CMP131008:CMR131011 CCT131008:CCV131011 BSX131008:BSZ131011 BJB131008:BJD131011 AZF131008:AZH131011 APJ131008:APL131011 AFN131008:AFP131011 VR131008:VT131011 LV131008:LX131011 CF131008:CF131011 WYH65472:WYJ65475 WOL65472:WON65475 WEP65472:WER65475 VUT65472:VUV65475 VKX65472:VKZ65475 VBB65472:VBD65475 URF65472:URH65475 UHJ65472:UHL65475 TXN65472:TXP65475 TNR65472:TNT65475 TDV65472:TDX65475 STZ65472:SUB65475 SKD65472:SKF65475 SAH65472:SAJ65475 RQL65472:RQN65475 RGP65472:RGR65475 QWT65472:QWV65475 QMX65472:QMZ65475 QDB65472:QDD65475 PTF65472:PTH65475 PJJ65472:PJL65475 OZN65472:OZP65475 OPR65472:OPT65475 OFV65472:OFX65475 NVZ65472:NWB65475 NMD65472:NMF65475 NCH65472:NCJ65475 MSL65472:MSN65475 MIP65472:MIR65475 LYT65472:LYV65475 LOX65472:LOZ65475 LFB65472:LFD65475 KVF65472:KVH65475 KLJ65472:KLL65475 KBN65472:KBP65475 JRR65472:JRT65475 JHV65472:JHX65475 IXZ65472:IYB65475 IOD65472:IOF65475 IEH65472:IEJ65475 HUL65472:HUN65475 HKP65472:HKR65475 HAT65472:HAV65475 GQX65472:GQZ65475 GHB65472:GHD65475 FXF65472:FXH65475 FNJ65472:FNL65475 FDN65472:FDP65475 ETR65472:ETT65475 EJV65472:EJX65475 DZZ65472:EAB65475 DQD65472:DQF65475 DGH65472:DGJ65475 CWL65472:CWN65475 CMP65472:CMR65475 CCT65472:CCV65475 BSX65472:BSZ65475 BJB65472:BJD65475 AZF65472:AZH65475 APJ65472:APL65475 AFN65472:AFP65475 VR65472:VT65475 LV65472:LX65475 CF65472:CF65475">
      <formula1>$G$58:$G$62</formula1>
    </dataValidation>
    <dataValidation type="custom" allowBlank="1" showInputMessage="1" showErrorMessage="1" error="The value is less than the current coverage." sqref="BP173:BP176">
      <formula1>BP173&gt;=BN173</formula1>
    </dataValidation>
  </dataValidations>
  <pageMargins left="0.4" right="0.4" top="0.75" bottom="0.75" header="0.3" footer="0.3"/>
  <pageSetup paperSize="9" scale="80" fitToHeight="0" orientation="landscape" r:id="rId1"/>
  <ignoredErrors>
    <ignoredError sqref="BS59 BS5:BS30 BW164 BV5:BY30 BV179:BY179 BV164 BX164:BY164 BS51:BS52 BV51:BY65 BV66:BY105 BV165:BY168 BS75:BS105 BS31:BS50 BV31:BY50 BV106:BY163 BS106:BS170 BV169:BX170" unlockedFormula="1"/>
  </ignoredError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[1]List!#REF!</xm:f>
          </x14:formula1>
          <xm:sqref>W177</xm:sqref>
        </x14:dataValidation>
        <x14:dataValidation type="list" allowBlank="1" showInputMessage="1" showErrorMessage="1">
          <x14:formula1>
            <xm:f>List!$H$2:$H$5</xm:f>
          </x14:formula1>
          <xm:sqref>BG5:BG180 AU5:AU180</xm:sqref>
        </x14:dataValidation>
        <x14:dataValidation type="list" allowBlank="1" showInputMessage="1" showErrorMessage="1">
          <x14:formula1>
            <xm:f>List!$E$2:$E$5</xm:f>
          </x14:formula1>
          <xm:sqref>CF5:CF180</xm:sqref>
        </x14:dataValidation>
        <x14:dataValidation type="list" allowBlank="1" showInputMessage="1" showErrorMessage="1">
          <x14:formula1>
            <xm:f>List!$N$2:$N$11</xm:f>
          </x14:formula1>
          <xm:sqref>D5:D180</xm:sqref>
        </x14:dataValidation>
        <x14:dataValidation type="list" allowBlank="1" showInputMessage="1" showErrorMessage="1">
          <x14:formula1>
            <xm:f>List!$B$8:$B$10</xm:f>
          </x14:formula1>
          <xm:sqref>H5:H180</xm:sqref>
        </x14:dataValidation>
        <x14:dataValidation type="list" allowBlank="1" showInputMessage="1" showErrorMessage="1">
          <x14:formula1>
            <xm:f>List!$B$13:$B$14</xm:f>
          </x14:formula1>
          <xm:sqref>I5:I180</xm:sqref>
        </x14:dataValidation>
        <x14:dataValidation type="list" allowBlank="1" showInputMessage="1" showErrorMessage="1">
          <x14:formula1>
            <xm:f>List!$L$2:$L$5</xm:f>
          </x14:formula1>
          <xm:sqref>S5:S180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H363"/>
  <sheetViews>
    <sheetView zoomScale="80" zoomScaleNormal="80" workbookViewId="0">
      <pane xSplit="6" ySplit="4" topLeftCell="G5" activePane="bottomRight" state="frozen"/>
      <selection activeCell="A97" sqref="A97"/>
      <selection pane="topRight" activeCell="A97" sqref="A97"/>
      <selection pane="bottomLeft" activeCell="A97" sqref="A97"/>
      <selection pane="bottomRight" activeCell="E63" sqref="E63"/>
    </sheetView>
  </sheetViews>
  <sheetFormatPr defaultColWidth="10" defaultRowHeight="12.75" x14ac:dyDescent="0.2"/>
  <cols>
    <col min="1" max="1" width="4.42578125" style="249" customWidth="1"/>
    <col min="2" max="2" width="7.5703125" style="249" customWidth="1"/>
    <col min="3" max="3" width="14.140625" style="256" customWidth="1"/>
    <col min="4" max="4" width="17.85546875" style="256" customWidth="1"/>
    <col min="5" max="6" width="13" style="256" customWidth="1"/>
    <col min="7" max="7" width="44.7109375" style="256" customWidth="1"/>
    <col min="8" max="8" width="12" style="256" customWidth="1"/>
    <col min="9" max="9" width="15.28515625" style="256" customWidth="1"/>
    <col min="10" max="12" width="11.140625" style="256" customWidth="1"/>
    <col min="13" max="17" width="11.140625" style="257" customWidth="1"/>
    <col min="18" max="18" width="11.140625" style="67" customWidth="1"/>
    <col min="19" max="19" width="11.140625" style="68" customWidth="1"/>
    <col min="20" max="25" width="13" style="256" customWidth="1"/>
    <col min="26" max="33" width="18.5703125" style="257" customWidth="1"/>
    <col min="34" max="34" width="58.7109375" style="256" customWidth="1"/>
    <col min="35" max="37" width="18.5703125" style="249" customWidth="1"/>
    <col min="38" max="16384" width="10" style="249"/>
  </cols>
  <sheetData>
    <row r="1" spans="3:34" s="69" customFormat="1" ht="34.5" customHeight="1" thickBot="1" x14ac:dyDescent="0.3">
      <c r="C1" s="330">
        <v>41640</v>
      </c>
      <c r="D1" s="331">
        <v>42004</v>
      </c>
      <c r="E1" s="65"/>
      <c r="F1" s="65"/>
      <c r="G1" s="65"/>
      <c r="H1" s="65"/>
      <c r="I1" s="65"/>
      <c r="J1" s="65"/>
      <c r="K1" s="65"/>
      <c r="L1" s="65"/>
      <c r="M1" s="66"/>
      <c r="N1" s="66"/>
      <c r="O1" s="66"/>
      <c r="P1" s="66"/>
      <c r="Q1" s="66"/>
      <c r="R1" s="67"/>
      <c r="S1" s="68"/>
      <c r="T1" s="65"/>
      <c r="U1" s="65"/>
      <c r="V1" s="65"/>
      <c r="W1" s="65"/>
      <c r="X1" s="65"/>
      <c r="Y1" s="65"/>
      <c r="Z1" s="66"/>
      <c r="AA1" s="66"/>
      <c r="AB1" s="66"/>
      <c r="AC1" s="66"/>
      <c r="AD1" s="66"/>
      <c r="AE1" s="66"/>
      <c r="AF1" s="66"/>
      <c r="AG1" s="66"/>
      <c r="AH1" s="65"/>
    </row>
    <row r="2" spans="3:34" s="69" customFormat="1" ht="30" customHeight="1" thickBot="1" x14ac:dyDescent="0.25">
      <c r="C2" s="70" t="s">
        <v>356</v>
      </c>
      <c r="D2" s="71">
        <v>42004</v>
      </c>
      <c r="E2" s="72"/>
      <c r="F2" s="73"/>
      <c r="G2" s="860" t="s">
        <v>357</v>
      </c>
      <c r="H2" s="861"/>
      <c r="I2" s="861"/>
      <c r="J2" s="861"/>
      <c r="K2" s="862"/>
      <c r="L2" s="863" t="s">
        <v>358</v>
      </c>
      <c r="M2" s="864"/>
      <c r="N2" s="864"/>
      <c r="O2" s="864"/>
      <c r="P2" s="864"/>
      <c r="Q2" s="864"/>
      <c r="R2" s="864"/>
      <c r="S2" s="864"/>
      <c r="T2" s="865"/>
      <c r="U2" s="865"/>
      <c r="V2" s="865"/>
      <c r="W2" s="864"/>
      <c r="X2" s="864"/>
      <c r="Y2" s="866"/>
      <c r="Z2" s="66"/>
      <c r="AA2" s="66"/>
      <c r="AB2" s="66"/>
      <c r="AC2" s="66"/>
      <c r="AD2" s="66"/>
      <c r="AE2" s="66"/>
      <c r="AF2" s="66"/>
      <c r="AG2" s="66"/>
      <c r="AH2" s="65"/>
    </row>
    <row r="3" spans="3:34" s="75" customFormat="1" ht="40.15" customHeight="1" thickBot="1" x14ac:dyDescent="0.3">
      <c r="C3" s="863" t="s">
        <v>359</v>
      </c>
      <c r="D3" s="864"/>
      <c r="E3" s="864"/>
      <c r="F3" s="864"/>
      <c r="G3" s="866"/>
      <c r="H3" s="863" t="s">
        <v>360</v>
      </c>
      <c r="I3" s="864"/>
      <c r="J3" s="864"/>
      <c r="K3" s="866"/>
      <c r="L3" s="863" t="s">
        <v>361</v>
      </c>
      <c r="M3" s="864"/>
      <c r="N3" s="864"/>
      <c r="O3" s="864"/>
      <c r="P3" s="864"/>
      <c r="Q3" s="864"/>
      <c r="R3" s="864"/>
      <c r="S3" s="864"/>
      <c r="T3" s="867" t="s">
        <v>362</v>
      </c>
      <c r="U3" s="868"/>
      <c r="V3" s="869"/>
      <c r="W3" s="870" t="s">
        <v>363</v>
      </c>
      <c r="X3" s="870"/>
      <c r="Y3" s="871"/>
      <c r="Z3" s="856" t="s">
        <v>364</v>
      </c>
      <c r="AA3" s="856"/>
      <c r="AB3" s="856"/>
      <c r="AC3" s="856"/>
      <c r="AD3" s="856"/>
      <c r="AE3" s="856"/>
      <c r="AF3" s="856"/>
      <c r="AG3" s="856"/>
      <c r="AH3" s="74" t="s">
        <v>15</v>
      </c>
    </row>
    <row r="4" spans="3:34" s="69" customFormat="1" ht="80.45" customHeight="1" x14ac:dyDescent="0.2">
      <c r="C4" s="76" t="s">
        <v>352</v>
      </c>
      <c r="D4" s="77" t="s">
        <v>365</v>
      </c>
      <c r="E4" s="77" t="s">
        <v>322</v>
      </c>
      <c r="F4" s="77" t="s">
        <v>366</v>
      </c>
      <c r="G4" s="78" t="s">
        <v>367</v>
      </c>
      <c r="H4" s="76" t="s">
        <v>368</v>
      </c>
      <c r="I4" s="77" t="s">
        <v>369</v>
      </c>
      <c r="J4" s="79" t="s">
        <v>370</v>
      </c>
      <c r="K4" s="78" t="s">
        <v>320</v>
      </c>
      <c r="L4" s="76" t="s">
        <v>371</v>
      </c>
      <c r="M4" s="80" t="s">
        <v>372</v>
      </c>
      <c r="N4" s="80" t="s">
        <v>373</v>
      </c>
      <c r="O4" s="80" t="s">
        <v>374</v>
      </c>
      <c r="P4" s="80" t="s">
        <v>375</v>
      </c>
      <c r="Q4" s="81" t="s">
        <v>376</v>
      </c>
      <c r="R4" s="82" t="s">
        <v>377</v>
      </c>
      <c r="S4" s="258" t="s">
        <v>378</v>
      </c>
      <c r="T4" s="83" t="s">
        <v>379</v>
      </c>
      <c r="U4" s="77" t="s">
        <v>380</v>
      </c>
      <c r="V4" s="84" t="s">
        <v>381</v>
      </c>
      <c r="W4" s="85" t="s">
        <v>379</v>
      </c>
      <c r="X4" s="77" t="s">
        <v>380</v>
      </c>
      <c r="Y4" s="79" t="s">
        <v>381</v>
      </c>
      <c r="Z4" s="86" t="s">
        <v>382</v>
      </c>
      <c r="AA4" s="87" t="s">
        <v>383</v>
      </c>
      <c r="AB4" s="87" t="s">
        <v>384</v>
      </c>
      <c r="AC4" s="87" t="s">
        <v>715</v>
      </c>
      <c r="AD4" s="88" t="s">
        <v>385</v>
      </c>
      <c r="AE4" s="88" t="s">
        <v>386</v>
      </c>
      <c r="AF4" s="88" t="s">
        <v>387</v>
      </c>
      <c r="AG4" s="89" t="s">
        <v>388</v>
      </c>
      <c r="AH4" s="90" t="s">
        <v>389</v>
      </c>
    </row>
    <row r="5" spans="3:34" s="69" customFormat="1" ht="40.15" customHeight="1" x14ac:dyDescent="0.2">
      <c r="C5" s="91" t="s">
        <v>284</v>
      </c>
      <c r="D5" s="92"/>
      <c r="E5" s="93" t="s">
        <v>254</v>
      </c>
      <c r="F5" s="92"/>
      <c r="G5" s="94" t="s">
        <v>390</v>
      </c>
      <c r="H5" s="95">
        <v>41232</v>
      </c>
      <c r="I5" s="96">
        <v>41351</v>
      </c>
      <c r="J5" s="97" t="s">
        <v>418</v>
      </c>
      <c r="K5" s="98">
        <f>YEAR(H5)</f>
        <v>2012</v>
      </c>
      <c r="L5" s="99">
        <v>2500</v>
      </c>
      <c r="M5" s="100"/>
      <c r="N5" s="100" t="str">
        <f>IF(M5="","",1-M5)</f>
        <v/>
      </c>
      <c r="O5" s="100"/>
      <c r="P5" s="100"/>
      <c r="Q5" s="101"/>
      <c r="R5" s="102">
        <v>1</v>
      </c>
      <c r="S5" s="135">
        <v>0</v>
      </c>
      <c r="T5" s="104">
        <v>2500</v>
      </c>
      <c r="U5" s="105">
        <v>2500</v>
      </c>
      <c r="V5" s="106">
        <v>2500</v>
      </c>
      <c r="W5" s="107">
        <v>0</v>
      </c>
      <c r="X5" s="105">
        <v>0</v>
      </c>
      <c r="Y5" s="97">
        <v>0</v>
      </c>
      <c r="Z5" s="108">
        <v>128026</v>
      </c>
      <c r="AA5" s="109">
        <f>Z5-(AB5+AC5)</f>
        <v>128026</v>
      </c>
      <c r="AB5" s="109">
        <f>IF(I5&lt;$C$1,0,IF(H5&gt;$C$1,Z5-AC5,(I5-$C$1)/(I5-H5)*Z5-AC5))</f>
        <v>0</v>
      </c>
      <c r="AC5" s="109">
        <f>IF(I5&lt;$D$1,0,IF(H5&gt;$D$1,Z5,(I5-$D$1)/(I5-H5)*Z5))</f>
        <v>0</v>
      </c>
      <c r="AD5" s="110">
        <v>1</v>
      </c>
      <c r="AE5" s="110">
        <v>0.54</v>
      </c>
      <c r="AF5" s="110">
        <v>0.21</v>
      </c>
      <c r="AG5" s="111">
        <v>0.25</v>
      </c>
      <c r="AH5" s="112"/>
    </row>
    <row r="6" spans="3:34" s="69" customFormat="1" ht="40.15" customHeight="1" x14ac:dyDescent="0.2">
      <c r="C6" s="91" t="s">
        <v>284</v>
      </c>
      <c r="D6" s="92"/>
      <c r="E6" s="93" t="s">
        <v>323</v>
      </c>
      <c r="F6" s="92"/>
      <c r="G6" s="94" t="s">
        <v>391</v>
      </c>
      <c r="H6" s="113">
        <v>41280</v>
      </c>
      <c r="I6" s="114">
        <v>41820</v>
      </c>
      <c r="J6" s="97" t="s">
        <v>418</v>
      </c>
      <c r="K6" s="98">
        <f t="shared" ref="K6:K68" si="0">YEAR(H6)</f>
        <v>2013</v>
      </c>
      <c r="L6" s="99">
        <v>11700</v>
      </c>
      <c r="M6" s="100">
        <v>0.45</v>
      </c>
      <c r="N6" s="100">
        <f>IF(M6="","",1-M6)</f>
        <v>0.55000000000000004</v>
      </c>
      <c r="O6" s="100">
        <v>0</v>
      </c>
      <c r="P6" s="100">
        <v>1</v>
      </c>
      <c r="Q6" s="101">
        <v>0</v>
      </c>
      <c r="R6" s="115">
        <v>1</v>
      </c>
      <c r="S6" s="133">
        <v>0</v>
      </c>
      <c r="T6" s="104">
        <v>7594</v>
      </c>
      <c r="U6" s="105">
        <v>6040</v>
      </c>
      <c r="V6" s="106">
        <v>5850</v>
      </c>
      <c r="W6" s="107">
        <v>0</v>
      </c>
      <c r="X6" s="105">
        <v>0</v>
      </c>
      <c r="Y6" s="97">
        <v>0</v>
      </c>
      <c r="Z6" s="116">
        <v>530978</v>
      </c>
      <c r="AA6" s="117">
        <f t="shared" ref="AA6:AA68" si="1">Z6-(AB6+AC6)</f>
        <v>353985.33333333337</v>
      </c>
      <c r="AB6" s="117">
        <f>IF(I6&lt;$C$1,0,IF(H6&gt;$C$1,Z6-AC6,(I6-$C$1)/(I6-H6)*Z6-AC6))</f>
        <v>176992.66666666666</v>
      </c>
      <c r="AC6" s="117">
        <f>IF(I6&lt;$D$1,0,IF(H6&gt;$D$1,Z6,(I6-$D$1)/(I6-H6)*Z6))</f>
        <v>0</v>
      </c>
      <c r="AD6" s="100">
        <v>1</v>
      </c>
      <c r="AE6" s="100">
        <v>0.55500000000000005</v>
      </c>
      <c r="AF6" s="100">
        <v>0.26</v>
      </c>
      <c r="AG6" s="118">
        <v>0.18</v>
      </c>
      <c r="AH6" s="112"/>
    </row>
    <row r="7" spans="3:34" s="69" customFormat="1" ht="40.15" customHeight="1" x14ac:dyDescent="0.2">
      <c r="C7" s="91" t="s">
        <v>284</v>
      </c>
      <c r="D7" s="92"/>
      <c r="E7" s="93" t="s">
        <v>323</v>
      </c>
      <c r="F7" s="92"/>
      <c r="G7" s="94" t="s">
        <v>725</v>
      </c>
      <c r="H7" s="113">
        <v>41648</v>
      </c>
      <c r="I7" s="114">
        <v>42247</v>
      </c>
      <c r="J7" s="97" t="s">
        <v>232</v>
      </c>
      <c r="K7" s="98">
        <f t="shared" si="0"/>
        <v>2014</v>
      </c>
      <c r="L7" s="99">
        <v>6457</v>
      </c>
      <c r="M7" s="100"/>
      <c r="N7" s="100">
        <v>1</v>
      </c>
      <c r="O7" s="100"/>
      <c r="P7" s="100">
        <v>1</v>
      </c>
      <c r="Q7" s="101"/>
      <c r="R7" s="115">
        <v>0.62</v>
      </c>
      <c r="S7" s="133">
        <v>0.38</v>
      </c>
      <c r="T7" s="104">
        <v>4039</v>
      </c>
      <c r="U7" s="105">
        <v>4039</v>
      </c>
      <c r="V7" s="106">
        <v>1617</v>
      </c>
      <c r="W7" s="107"/>
      <c r="X7" s="105"/>
      <c r="Y7" s="97">
        <v>2418</v>
      </c>
      <c r="Z7" s="116">
        <v>354600</v>
      </c>
      <c r="AA7" s="117">
        <f t="shared" ref="AA7" si="2">Z7-(AB7+AC7)</f>
        <v>0</v>
      </c>
      <c r="AB7" s="117">
        <f>IF(I7&lt;$C$1,0,IF(H7&gt;$C$1,Z7-AC7,(I7-$C$1)/(I7-H7)*Z7-AC7))</f>
        <v>210747.24540901504</v>
      </c>
      <c r="AC7" s="117">
        <f>IF(I7&lt;$D$1,0,IF(H7&gt;$D$1,Z7,(I7-$D$1)/(I7-H7)*Z7))</f>
        <v>143852.75459098496</v>
      </c>
      <c r="AD7" s="100">
        <v>1</v>
      </c>
      <c r="AE7" s="100">
        <v>0.33</v>
      </c>
      <c r="AF7" s="100">
        <v>0.34</v>
      </c>
      <c r="AG7" s="118">
        <v>0.34</v>
      </c>
      <c r="AH7" s="112"/>
    </row>
    <row r="8" spans="3:34" s="69" customFormat="1" ht="40.15" customHeight="1" x14ac:dyDescent="0.2">
      <c r="C8" s="91" t="s">
        <v>811</v>
      </c>
      <c r="D8" s="92" t="s">
        <v>235</v>
      </c>
      <c r="E8" s="93" t="s">
        <v>331</v>
      </c>
      <c r="F8" s="92"/>
      <c r="G8" s="94" t="s">
        <v>812</v>
      </c>
      <c r="H8" s="139">
        <v>42156</v>
      </c>
      <c r="I8" s="140">
        <v>42428</v>
      </c>
      <c r="J8" s="97" t="s">
        <v>232</v>
      </c>
      <c r="K8" s="98">
        <f t="shared" si="0"/>
        <v>2015</v>
      </c>
      <c r="L8" s="99">
        <v>17480</v>
      </c>
      <c r="M8" s="110">
        <v>0.51</v>
      </c>
      <c r="N8" s="110">
        <v>0.49</v>
      </c>
      <c r="O8" s="110">
        <v>0</v>
      </c>
      <c r="P8" s="110">
        <v>0</v>
      </c>
      <c r="Q8" s="103">
        <v>1</v>
      </c>
      <c r="R8" s="102">
        <v>1</v>
      </c>
      <c r="S8" s="135">
        <v>0</v>
      </c>
      <c r="T8" s="104">
        <v>17480</v>
      </c>
      <c r="U8" s="105">
        <v>8404</v>
      </c>
      <c r="V8" s="106">
        <v>17480</v>
      </c>
      <c r="W8" s="138">
        <v>0</v>
      </c>
      <c r="X8" s="105">
        <v>0</v>
      </c>
      <c r="Y8" s="97">
        <v>0</v>
      </c>
      <c r="Z8" s="108">
        <v>122295</v>
      </c>
      <c r="AA8" s="109">
        <f>Z8-(AB8+AC8)</f>
        <v>0</v>
      </c>
      <c r="AB8" s="109">
        <f>IF(I8&lt;$C$1,0,IF(H8&gt;$C$1,Z8-AC8,(I8-$C$1)/(I8-H8)*Z8-AC8))</f>
        <v>0</v>
      </c>
      <c r="AC8" s="109">
        <f>IF(I8&lt;$D$1,0,IF(H8&gt;$D$1,Z8,(I8-$D$1)/(I8-H8)*Z8))</f>
        <v>122295</v>
      </c>
      <c r="AD8" s="110">
        <v>1</v>
      </c>
      <c r="AE8" s="110">
        <v>0.373</v>
      </c>
      <c r="AF8" s="110">
        <v>0.17899999999999999</v>
      </c>
      <c r="AG8" s="135">
        <v>0.44800000000000001</v>
      </c>
      <c r="AH8" s="134" t="s">
        <v>813</v>
      </c>
    </row>
    <row r="9" spans="3:34" s="69" customFormat="1" ht="40.15" customHeight="1" x14ac:dyDescent="0.2">
      <c r="C9" s="91" t="s">
        <v>392</v>
      </c>
      <c r="D9" s="92"/>
      <c r="E9" s="93" t="s">
        <v>324</v>
      </c>
      <c r="F9" s="92"/>
      <c r="G9" s="94" t="s">
        <v>393</v>
      </c>
      <c r="H9" s="119">
        <v>41275</v>
      </c>
      <c r="I9" s="120"/>
      <c r="J9" s="97" t="s">
        <v>418</v>
      </c>
      <c r="K9" s="98">
        <f t="shared" si="0"/>
        <v>2013</v>
      </c>
      <c r="L9" s="121"/>
      <c r="M9" s="110"/>
      <c r="N9" s="110" t="str">
        <f>IF(M9="","",1-M9)</f>
        <v/>
      </c>
      <c r="O9" s="110"/>
      <c r="P9" s="110"/>
      <c r="Q9" s="103"/>
      <c r="R9" s="102"/>
      <c r="S9" s="135"/>
      <c r="T9" s="122"/>
      <c r="U9" s="123"/>
      <c r="V9" s="124"/>
      <c r="W9" s="125"/>
      <c r="X9" s="123"/>
      <c r="Y9" s="126"/>
      <c r="Z9" s="108">
        <v>338770</v>
      </c>
      <c r="AA9" s="109">
        <f t="shared" si="1"/>
        <v>338770</v>
      </c>
      <c r="AB9" s="109">
        <f t="shared" ref="AB9:AB68" si="3">IF(I9&lt;$C$1,0,IF(H9&gt;$C$1,Z9-AC9,(I9-$C$1)/(I9-H9)*Z9-AC9))</f>
        <v>0</v>
      </c>
      <c r="AC9" s="109">
        <f t="shared" ref="AC9:AC68" si="4">IF(I9&lt;$D$1,0,IF(H9&gt;$D$1,Z9,(I9-$D$1)/(I9-H9)*Z9))</f>
        <v>0</v>
      </c>
      <c r="AD9" s="110"/>
      <c r="AE9" s="110"/>
      <c r="AF9" s="110"/>
      <c r="AG9" s="111"/>
      <c r="AH9" s="112"/>
    </row>
    <row r="10" spans="3:34" s="69" customFormat="1" ht="47.25" customHeight="1" x14ac:dyDescent="0.2">
      <c r="C10" s="91" t="s">
        <v>394</v>
      </c>
      <c r="D10" s="92"/>
      <c r="E10" s="93" t="s">
        <v>327</v>
      </c>
      <c r="F10" s="92"/>
      <c r="G10" s="94" t="s">
        <v>395</v>
      </c>
      <c r="H10" s="119">
        <v>41609</v>
      </c>
      <c r="I10" s="120"/>
      <c r="J10" s="97" t="s">
        <v>418</v>
      </c>
      <c r="K10" s="98">
        <f t="shared" si="0"/>
        <v>2013</v>
      </c>
      <c r="L10" s="121"/>
      <c r="M10" s="110"/>
      <c r="N10" s="110" t="str">
        <f>IF(M10="","",1-M10)</f>
        <v/>
      </c>
      <c r="O10" s="110"/>
      <c r="P10" s="110"/>
      <c r="Q10" s="103"/>
      <c r="R10" s="102"/>
      <c r="S10" s="135"/>
      <c r="T10" s="122"/>
      <c r="U10" s="123"/>
      <c r="V10" s="124"/>
      <c r="W10" s="125"/>
      <c r="X10" s="123"/>
      <c r="Y10" s="126"/>
      <c r="Z10" s="108">
        <v>292113</v>
      </c>
      <c r="AA10" s="109">
        <f t="shared" si="1"/>
        <v>292113</v>
      </c>
      <c r="AB10" s="109">
        <f t="shared" si="3"/>
        <v>0</v>
      </c>
      <c r="AC10" s="109">
        <f t="shared" si="4"/>
        <v>0</v>
      </c>
      <c r="AD10" s="110"/>
      <c r="AE10" s="110"/>
      <c r="AF10" s="110"/>
      <c r="AG10" s="111"/>
      <c r="AH10" s="112"/>
    </row>
    <row r="11" spans="3:34" s="128" customFormat="1" ht="40.15" customHeight="1" x14ac:dyDescent="0.2">
      <c r="C11" s="91" t="s">
        <v>235</v>
      </c>
      <c r="D11" s="92"/>
      <c r="E11" s="93" t="s">
        <v>254</v>
      </c>
      <c r="F11" s="127"/>
      <c r="G11" s="94" t="s">
        <v>396</v>
      </c>
      <c r="H11" s="95">
        <v>40954</v>
      </c>
      <c r="I11" s="96">
        <v>41090</v>
      </c>
      <c r="J11" s="97" t="s">
        <v>418</v>
      </c>
      <c r="K11" s="98">
        <f t="shared" si="0"/>
        <v>2012</v>
      </c>
      <c r="L11" s="99">
        <v>25000</v>
      </c>
      <c r="M11" s="110">
        <v>0.7</v>
      </c>
      <c r="N11" s="110">
        <v>0.3</v>
      </c>
      <c r="O11" s="110">
        <v>0</v>
      </c>
      <c r="P11" s="110">
        <v>0.4</v>
      </c>
      <c r="Q11" s="103">
        <v>0.6</v>
      </c>
      <c r="R11" s="102">
        <v>1</v>
      </c>
      <c r="S11" s="135">
        <v>0</v>
      </c>
      <c r="T11" s="104">
        <v>25000</v>
      </c>
      <c r="U11" s="105">
        <v>25000</v>
      </c>
      <c r="V11" s="106">
        <v>25000</v>
      </c>
      <c r="W11" s="107">
        <v>0</v>
      </c>
      <c r="X11" s="105">
        <v>0</v>
      </c>
      <c r="Y11" s="97">
        <v>0</v>
      </c>
      <c r="Z11" s="108">
        <f>170824500/850</f>
        <v>200970</v>
      </c>
      <c r="AA11" s="109">
        <f t="shared" si="1"/>
        <v>200970</v>
      </c>
      <c r="AB11" s="109">
        <f t="shared" si="3"/>
        <v>0</v>
      </c>
      <c r="AC11" s="109">
        <f t="shared" si="4"/>
        <v>0</v>
      </c>
      <c r="AD11" s="110">
        <v>1</v>
      </c>
      <c r="AE11" s="110">
        <f>36500000/(36500000+9000000+57000000+42900000)</f>
        <v>0.25103163686382396</v>
      </c>
      <c r="AF11" s="110">
        <f>(9000000+57000000)/(36500000+9000000+57000000+42900000)</f>
        <v>0.45392022008253097</v>
      </c>
      <c r="AG11" s="111">
        <f>42900000/(36500000+9000000+57000000+42900000)</f>
        <v>0.29504814305364513</v>
      </c>
      <c r="AH11" s="112"/>
    </row>
    <row r="12" spans="3:34" s="128" customFormat="1" ht="40.15" customHeight="1" x14ac:dyDescent="0.2">
      <c r="C12" s="91" t="s">
        <v>235</v>
      </c>
      <c r="D12" s="92"/>
      <c r="E12" s="93" t="s">
        <v>254</v>
      </c>
      <c r="F12" s="127"/>
      <c r="G12" s="94" t="s">
        <v>397</v>
      </c>
      <c r="H12" s="95">
        <v>40954</v>
      </c>
      <c r="I12" s="96">
        <v>41043</v>
      </c>
      <c r="J12" s="97" t="s">
        <v>418</v>
      </c>
      <c r="K12" s="98">
        <f t="shared" si="0"/>
        <v>2012</v>
      </c>
      <c r="L12" s="99">
        <v>25000</v>
      </c>
      <c r="M12" s="129">
        <v>0.7</v>
      </c>
      <c r="N12" s="129">
        <v>0.3</v>
      </c>
      <c r="O12" s="129">
        <v>0</v>
      </c>
      <c r="P12" s="129">
        <v>0.4</v>
      </c>
      <c r="Q12" s="130">
        <v>0.6</v>
      </c>
      <c r="R12" s="102">
        <v>1</v>
      </c>
      <c r="S12" s="135">
        <v>0</v>
      </c>
      <c r="T12" s="104">
        <v>25000</v>
      </c>
      <c r="U12" s="105">
        <v>25000</v>
      </c>
      <c r="V12" s="106">
        <v>25000</v>
      </c>
      <c r="W12" s="107">
        <v>0</v>
      </c>
      <c r="X12" s="105">
        <v>0</v>
      </c>
      <c r="Y12" s="97">
        <v>0</v>
      </c>
      <c r="Z12" s="108">
        <f>(36500000+9280000+57000000+42900000)/850</f>
        <v>171388.23529411765</v>
      </c>
      <c r="AA12" s="109">
        <f t="shared" si="1"/>
        <v>171388.23529411765</v>
      </c>
      <c r="AB12" s="109">
        <f t="shared" si="3"/>
        <v>0</v>
      </c>
      <c r="AC12" s="109">
        <f t="shared" si="4"/>
        <v>0</v>
      </c>
      <c r="AD12" s="110">
        <v>1</v>
      </c>
      <c r="AE12" s="110">
        <v>0.25</v>
      </c>
      <c r="AF12" s="110">
        <v>0.45</v>
      </c>
      <c r="AG12" s="111">
        <v>0.3</v>
      </c>
      <c r="AH12" s="112"/>
    </row>
    <row r="13" spans="3:34" s="128" customFormat="1" ht="40.15" customHeight="1" x14ac:dyDescent="0.2">
      <c r="C13" s="91" t="s">
        <v>235</v>
      </c>
      <c r="D13" s="92"/>
      <c r="E13" s="93" t="s">
        <v>254</v>
      </c>
      <c r="F13" s="127"/>
      <c r="G13" s="94" t="s">
        <v>398</v>
      </c>
      <c r="H13" s="95">
        <v>41043</v>
      </c>
      <c r="I13" s="96">
        <v>41104</v>
      </c>
      <c r="J13" s="97" t="s">
        <v>418</v>
      </c>
      <c r="K13" s="98">
        <f t="shared" si="0"/>
        <v>2012</v>
      </c>
      <c r="L13" s="99">
        <v>7733</v>
      </c>
      <c r="M13" s="129">
        <v>0.55000000000000004</v>
      </c>
      <c r="N13" s="129">
        <v>0.45</v>
      </c>
      <c r="O13" s="129">
        <v>0</v>
      </c>
      <c r="P13" s="129">
        <v>0.5</v>
      </c>
      <c r="Q13" s="130">
        <v>0.5</v>
      </c>
      <c r="R13" s="102">
        <v>1</v>
      </c>
      <c r="S13" s="135">
        <v>0</v>
      </c>
      <c r="T13" s="104">
        <v>7733</v>
      </c>
      <c r="U13" s="105">
        <v>7733</v>
      </c>
      <c r="V13" s="106">
        <v>7733</v>
      </c>
      <c r="W13" s="107">
        <v>0</v>
      </c>
      <c r="X13" s="105">
        <v>0</v>
      </c>
      <c r="Y13" s="97">
        <v>0</v>
      </c>
      <c r="Z13" s="108">
        <f>28563380/850</f>
        <v>33603.976470588233</v>
      </c>
      <c r="AA13" s="109">
        <f t="shared" si="1"/>
        <v>33603.976470588233</v>
      </c>
      <c r="AB13" s="109">
        <f t="shared" si="3"/>
        <v>0</v>
      </c>
      <c r="AC13" s="109">
        <f t="shared" si="4"/>
        <v>0</v>
      </c>
      <c r="AD13" s="110">
        <v>1</v>
      </c>
      <c r="AE13" s="110">
        <v>0.04</v>
      </c>
      <c r="AF13" s="110">
        <v>0.95</v>
      </c>
      <c r="AG13" s="111">
        <v>0</v>
      </c>
      <c r="AH13" s="112"/>
    </row>
    <row r="14" spans="3:34" s="128" customFormat="1" ht="40.15" customHeight="1" x14ac:dyDescent="0.2">
      <c r="C14" s="91" t="s">
        <v>235</v>
      </c>
      <c r="D14" s="92"/>
      <c r="E14" s="93" t="s">
        <v>254</v>
      </c>
      <c r="F14" s="92"/>
      <c r="G14" s="94" t="s">
        <v>398</v>
      </c>
      <c r="H14" s="139">
        <v>41913</v>
      </c>
      <c r="I14" s="713">
        <v>42109</v>
      </c>
      <c r="J14" s="714" t="s">
        <v>232</v>
      </c>
      <c r="K14" s="98">
        <v>2014</v>
      </c>
      <c r="L14" s="99">
        <v>11820</v>
      </c>
      <c r="M14" s="110">
        <v>0.86</v>
      </c>
      <c r="N14" s="110">
        <v>0.14000000000000001</v>
      </c>
      <c r="O14" s="110">
        <v>0</v>
      </c>
      <c r="P14" s="110">
        <v>0.87</v>
      </c>
      <c r="Q14" s="103">
        <v>0.13</v>
      </c>
      <c r="R14" s="102">
        <v>1</v>
      </c>
      <c r="S14" s="135">
        <v>0</v>
      </c>
      <c r="T14" s="104">
        <v>5360</v>
      </c>
      <c r="U14" s="105">
        <v>11820</v>
      </c>
      <c r="V14" s="106">
        <v>9833</v>
      </c>
      <c r="W14" s="138">
        <v>0</v>
      </c>
      <c r="X14" s="105">
        <v>0</v>
      </c>
      <c r="Y14" s="97">
        <v>0</v>
      </c>
      <c r="Z14" s="108">
        <v>220997.4</v>
      </c>
      <c r="AA14" s="109">
        <f t="shared" si="1"/>
        <v>0</v>
      </c>
      <c r="AB14" s="109">
        <f t="shared" si="3"/>
        <v>102605.93571428572</v>
      </c>
      <c r="AC14" s="109">
        <f t="shared" si="4"/>
        <v>118391.46428571428</v>
      </c>
      <c r="AD14" s="110">
        <v>1</v>
      </c>
      <c r="AE14" s="324">
        <v>0.44</v>
      </c>
      <c r="AF14" s="324">
        <v>0.2</v>
      </c>
      <c r="AG14" s="325">
        <v>0.36</v>
      </c>
      <c r="AH14" s="134"/>
    </row>
    <row r="15" spans="3:34" s="128" customFormat="1" ht="40.15" customHeight="1" x14ac:dyDescent="0.2">
      <c r="C15" s="91" t="s">
        <v>231</v>
      </c>
      <c r="D15" s="92"/>
      <c r="E15" s="93" t="s">
        <v>254</v>
      </c>
      <c r="F15" s="127"/>
      <c r="G15" s="94" t="s">
        <v>398</v>
      </c>
      <c r="H15" s="95">
        <v>41062</v>
      </c>
      <c r="I15" s="96">
        <v>41212</v>
      </c>
      <c r="J15" s="97" t="s">
        <v>418</v>
      </c>
      <c r="K15" s="98">
        <f t="shared" si="0"/>
        <v>2012</v>
      </c>
      <c r="L15" s="99">
        <v>5500</v>
      </c>
      <c r="M15" s="110">
        <v>0.35</v>
      </c>
      <c r="N15" s="110">
        <v>0.65</v>
      </c>
      <c r="O15" s="110">
        <v>0</v>
      </c>
      <c r="P15" s="110">
        <v>0.6</v>
      </c>
      <c r="Q15" s="103">
        <v>0.4</v>
      </c>
      <c r="R15" s="102">
        <v>1</v>
      </c>
      <c r="S15" s="135">
        <v>0</v>
      </c>
      <c r="T15" s="104">
        <v>5500</v>
      </c>
      <c r="U15" s="105">
        <v>5500</v>
      </c>
      <c r="V15" s="106">
        <v>5500</v>
      </c>
      <c r="W15" s="107">
        <v>0</v>
      </c>
      <c r="X15" s="105">
        <v>0</v>
      </c>
      <c r="Y15" s="97">
        <v>0</v>
      </c>
      <c r="Z15" s="108">
        <f>(110436225)/850</f>
        <v>129924.9705882353</v>
      </c>
      <c r="AA15" s="109">
        <f t="shared" si="1"/>
        <v>129924.9705882353</v>
      </c>
      <c r="AB15" s="109">
        <f t="shared" si="3"/>
        <v>0</v>
      </c>
      <c r="AC15" s="109">
        <f t="shared" si="4"/>
        <v>0</v>
      </c>
      <c r="AD15" s="110">
        <v>1</v>
      </c>
      <c r="AE15" s="110">
        <v>0.41</v>
      </c>
      <c r="AF15" s="110">
        <v>0.3</v>
      </c>
      <c r="AG15" s="111">
        <v>0.28999999999999998</v>
      </c>
      <c r="AH15" s="112"/>
    </row>
    <row r="16" spans="3:34" s="128" customFormat="1" ht="40.15" customHeight="1" x14ac:dyDescent="0.2">
      <c r="C16" s="91" t="s">
        <v>231</v>
      </c>
      <c r="D16" s="92"/>
      <c r="E16" s="93" t="s">
        <v>254</v>
      </c>
      <c r="F16" s="127"/>
      <c r="G16" s="94" t="s">
        <v>398</v>
      </c>
      <c r="H16" s="95">
        <v>41028</v>
      </c>
      <c r="I16" s="96">
        <v>41119</v>
      </c>
      <c r="J16" s="97" t="s">
        <v>418</v>
      </c>
      <c r="K16" s="98">
        <f t="shared" si="0"/>
        <v>2012</v>
      </c>
      <c r="L16" s="99">
        <v>18791</v>
      </c>
      <c r="M16" s="131">
        <v>0.48</v>
      </c>
      <c r="N16" s="131">
        <f>IF(M16="","",1-M16)</f>
        <v>0.52</v>
      </c>
      <c r="O16" s="131">
        <v>0.3</v>
      </c>
      <c r="P16" s="131">
        <v>0.5</v>
      </c>
      <c r="Q16" s="132">
        <v>0.2</v>
      </c>
      <c r="R16" s="102">
        <v>1</v>
      </c>
      <c r="S16" s="135">
        <v>0</v>
      </c>
      <c r="T16" s="104">
        <v>18791</v>
      </c>
      <c r="U16" s="105">
        <v>18791</v>
      </c>
      <c r="V16" s="106">
        <v>18791</v>
      </c>
      <c r="W16" s="107">
        <v>0</v>
      </c>
      <c r="X16" s="105">
        <v>0</v>
      </c>
      <c r="Y16" s="97">
        <v>0</v>
      </c>
      <c r="Z16" s="108">
        <f>126894457/850</f>
        <v>149287.59647058824</v>
      </c>
      <c r="AA16" s="109">
        <f t="shared" si="1"/>
        <v>149287.59647058824</v>
      </c>
      <c r="AB16" s="109">
        <f t="shared" si="3"/>
        <v>0</v>
      </c>
      <c r="AC16" s="109">
        <f t="shared" si="4"/>
        <v>0</v>
      </c>
      <c r="AD16" s="110">
        <v>1</v>
      </c>
      <c r="AE16" s="110">
        <f>(992500+25000000+615000)/101942950</f>
        <v>0.26100382615963141</v>
      </c>
      <c r="AF16" s="110">
        <v>0.62</v>
      </c>
      <c r="AG16" s="111">
        <f>(498000+10905000+675000)/101942950</f>
        <v>0.11847803109484276</v>
      </c>
      <c r="AH16" s="112"/>
    </row>
    <row r="17" spans="3:34" s="128" customFormat="1" ht="40.15" customHeight="1" x14ac:dyDescent="0.2">
      <c r="C17" s="91" t="s">
        <v>231</v>
      </c>
      <c r="D17" s="92"/>
      <c r="E17" s="93" t="s">
        <v>254</v>
      </c>
      <c r="F17" s="127"/>
      <c r="G17" s="94" t="s">
        <v>398</v>
      </c>
      <c r="H17" s="95">
        <v>41344</v>
      </c>
      <c r="I17" s="96">
        <v>41358</v>
      </c>
      <c r="J17" s="97" t="s">
        <v>418</v>
      </c>
      <c r="K17" s="98">
        <f t="shared" si="0"/>
        <v>2013</v>
      </c>
      <c r="L17" s="99">
        <v>493</v>
      </c>
      <c r="M17" s="110">
        <v>0.45</v>
      </c>
      <c r="N17" s="110">
        <v>0.55000000000000004</v>
      </c>
      <c r="O17" s="110">
        <v>0</v>
      </c>
      <c r="P17" s="110">
        <v>1</v>
      </c>
      <c r="Q17" s="103">
        <v>0</v>
      </c>
      <c r="R17" s="102">
        <v>1</v>
      </c>
      <c r="S17" s="135">
        <v>0</v>
      </c>
      <c r="T17" s="104">
        <v>493</v>
      </c>
      <c r="U17" s="105">
        <v>0</v>
      </c>
      <c r="V17" s="106">
        <v>0</v>
      </c>
      <c r="W17" s="107">
        <v>0</v>
      </c>
      <c r="X17" s="105">
        <v>0</v>
      </c>
      <c r="Y17" s="97">
        <v>0</v>
      </c>
      <c r="Z17" s="108">
        <f>2576780/850</f>
        <v>3031.5058823529412</v>
      </c>
      <c r="AA17" s="109">
        <f t="shared" si="1"/>
        <v>3031.5058823529412</v>
      </c>
      <c r="AB17" s="109">
        <f t="shared" si="3"/>
        <v>0</v>
      </c>
      <c r="AC17" s="109">
        <f t="shared" si="4"/>
        <v>0</v>
      </c>
      <c r="AD17" s="110">
        <v>1</v>
      </c>
      <c r="AE17" s="110">
        <v>1</v>
      </c>
      <c r="AF17" s="110">
        <v>0</v>
      </c>
      <c r="AG17" s="111">
        <v>0</v>
      </c>
      <c r="AH17" s="112"/>
    </row>
    <row r="18" spans="3:34" s="128" customFormat="1" ht="40.15" customHeight="1" x14ac:dyDescent="0.2">
      <c r="C18" s="91" t="s">
        <v>231</v>
      </c>
      <c r="D18" s="92"/>
      <c r="E18" s="93" t="s">
        <v>399</v>
      </c>
      <c r="F18" s="127"/>
      <c r="G18" s="94"/>
      <c r="H18" s="95">
        <v>41275</v>
      </c>
      <c r="I18" s="96"/>
      <c r="J18" s="97" t="s">
        <v>418</v>
      </c>
      <c r="K18" s="98">
        <f t="shared" si="0"/>
        <v>2013</v>
      </c>
      <c r="L18" s="99"/>
      <c r="M18" s="110"/>
      <c r="N18" s="110" t="str">
        <f t="shared" ref="N18:N25" si="5">IF(M18="","",1-M18)</f>
        <v/>
      </c>
      <c r="O18" s="110"/>
      <c r="P18" s="110"/>
      <c r="Q18" s="103"/>
      <c r="R18" s="102"/>
      <c r="S18" s="135"/>
      <c r="T18" s="104"/>
      <c r="U18" s="105"/>
      <c r="V18" s="106"/>
      <c r="W18" s="107"/>
      <c r="X18" s="105"/>
      <c r="Y18" s="97"/>
      <c r="Z18" s="108"/>
      <c r="AA18" s="109">
        <f t="shared" si="1"/>
        <v>0</v>
      </c>
      <c r="AB18" s="109">
        <f t="shared" si="3"/>
        <v>0</v>
      </c>
      <c r="AC18" s="109">
        <f t="shared" si="4"/>
        <v>0</v>
      </c>
      <c r="AD18" s="110"/>
      <c r="AE18" s="110"/>
      <c r="AF18" s="110"/>
      <c r="AG18" s="111"/>
      <c r="AH18" s="112"/>
    </row>
    <row r="19" spans="3:34" s="128" customFormat="1" ht="40.15" customHeight="1" x14ac:dyDescent="0.2">
      <c r="C19" s="91" t="s">
        <v>231</v>
      </c>
      <c r="D19" s="92"/>
      <c r="E19" s="93" t="s">
        <v>254</v>
      </c>
      <c r="F19" s="127" t="s">
        <v>326</v>
      </c>
      <c r="G19" s="94" t="s">
        <v>400</v>
      </c>
      <c r="H19" s="95">
        <v>41663</v>
      </c>
      <c r="I19" s="96">
        <v>41843</v>
      </c>
      <c r="J19" s="97" t="s">
        <v>418</v>
      </c>
      <c r="K19" s="98">
        <f t="shared" si="0"/>
        <v>2014</v>
      </c>
      <c r="L19" s="99">
        <v>3756</v>
      </c>
      <c r="M19" s="110">
        <v>0.65</v>
      </c>
      <c r="N19" s="110">
        <f t="shared" si="5"/>
        <v>0.35</v>
      </c>
      <c r="O19" s="110">
        <v>0.61</v>
      </c>
      <c r="P19" s="110">
        <v>0</v>
      </c>
      <c r="Q19" s="103">
        <f>1453/3756</f>
        <v>0.38684771033013843</v>
      </c>
      <c r="R19" s="102">
        <v>1</v>
      </c>
      <c r="S19" s="135">
        <v>0</v>
      </c>
      <c r="T19" s="104">
        <v>3756</v>
      </c>
      <c r="U19" s="105">
        <v>3756</v>
      </c>
      <c r="V19" s="106">
        <v>3756</v>
      </c>
      <c r="W19" s="107">
        <v>0</v>
      </c>
      <c r="X19" s="105">
        <v>0</v>
      </c>
      <c r="Y19" s="97">
        <v>0</v>
      </c>
      <c r="Z19" s="108">
        <v>201418</v>
      </c>
      <c r="AA19" s="109">
        <f t="shared" si="1"/>
        <v>0</v>
      </c>
      <c r="AB19" s="109">
        <f t="shared" si="3"/>
        <v>201418</v>
      </c>
      <c r="AC19" s="109">
        <f t="shared" si="4"/>
        <v>0</v>
      </c>
      <c r="AD19" s="110">
        <v>1</v>
      </c>
      <c r="AE19" s="110">
        <v>0.5</v>
      </c>
      <c r="AF19" s="110">
        <v>0.43</v>
      </c>
      <c r="AG19" s="111">
        <v>7.0000000000000007E-2</v>
      </c>
      <c r="AH19" s="112"/>
    </row>
    <row r="20" spans="3:34" s="128" customFormat="1" ht="40.15" customHeight="1" x14ac:dyDescent="0.2">
      <c r="C20" s="91" t="s">
        <v>251</v>
      </c>
      <c r="D20" s="92"/>
      <c r="E20" s="93" t="s">
        <v>323</v>
      </c>
      <c r="F20" s="92"/>
      <c r="G20" s="94" t="s">
        <v>401</v>
      </c>
      <c r="H20" s="119">
        <v>41412</v>
      </c>
      <c r="I20" s="120">
        <v>41777</v>
      </c>
      <c r="J20" s="97" t="s">
        <v>418</v>
      </c>
      <c r="K20" s="98">
        <f t="shared" si="0"/>
        <v>2013</v>
      </c>
      <c r="L20" s="99">
        <v>33204</v>
      </c>
      <c r="M20" s="100">
        <v>0.1</v>
      </c>
      <c r="N20" s="100">
        <f t="shared" si="5"/>
        <v>0.9</v>
      </c>
      <c r="O20" s="100">
        <v>0</v>
      </c>
      <c r="P20" s="100">
        <v>0</v>
      </c>
      <c r="Q20" s="101">
        <v>1</v>
      </c>
      <c r="R20" s="115">
        <v>7.0000000000000007E-2</v>
      </c>
      <c r="S20" s="133">
        <v>0.93</v>
      </c>
      <c r="T20" s="104">
        <v>2416</v>
      </c>
      <c r="U20" s="105">
        <v>146</v>
      </c>
      <c r="V20" s="106">
        <v>2416</v>
      </c>
      <c r="W20" s="107">
        <v>22000</v>
      </c>
      <c r="X20" s="105">
        <v>8788</v>
      </c>
      <c r="Y20" s="97">
        <v>30788</v>
      </c>
      <c r="Z20" s="116">
        <v>26986</v>
      </c>
      <c r="AA20" s="117">
        <f t="shared" si="1"/>
        <v>16857.008219178082</v>
      </c>
      <c r="AB20" s="117">
        <f t="shared" si="3"/>
        <v>10128.991780821918</v>
      </c>
      <c r="AC20" s="117">
        <f t="shared" si="4"/>
        <v>0</v>
      </c>
      <c r="AD20" s="100">
        <v>0.04</v>
      </c>
      <c r="AE20" s="110">
        <v>0.82</v>
      </c>
      <c r="AF20" s="100">
        <v>0.12</v>
      </c>
      <c r="AG20" s="133">
        <v>0.06</v>
      </c>
      <c r="AH20" s="134"/>
    </row>
    <row r="21" spans="3:34" s="128" customFormat="1" ht="40.15" customHeight="1" x14ac:dyDescent="0.2">
      <c r="C21" s="91" t="s">
        <v>233</v>
      </c>
      <c r="D21" s="92"/>
      <c r="E21" s="93" t="s">
        <v>254</v>
      </c>
      <c r="F21" s="92"/>
      <c r="G21" s="515" t="s">
        <v>398</v>
      </c>
      <c r="H21" s="516">
        <v>40973</v>
      </c>
      <c r="I21" s="517">
        <v>41074</v>
      </c>
      <c r="J21" s="518" t="s">
        <v>418</v>
      </c>
      <c r="K21" s="519">
        <f t="shared" si="0"/>
        <v>2012</v>
      </c>
      <c r="L21" s="99">
        <v>14000</v>
      </c>
      <c r="M21" s="100"/>
      <c r="N21" s="100" t="str">
        <f t="shared" si="5"/>
        <v/>
      </c>
      <c r="O21" s="100"/>
      <c r="P21" s="100"/>
      <c r="Q21" s="101"/>
      <c r="R21" s="102">
        <v>1</v>
      </c>
      <c r="S21" s="135">
        <v>0</v>
      </c>
      <c r="T21" s="104">
        <v>14000</v>
      </c>
      <c r="U21" s="105">
        <v>14000</v>
      </c>
      <c r="V21" s="106">
        <v>14000</v>
      </c>
      <c r="W21" s="107">
        <v>0</v>
      </c>
      <c r="X21" s="105">
        <v>0</v>
      </c>
      <c r="Y21" s="97">
        <v>0</v>
      </c>
      <c r="Z21" s="108">
        <f>(28600000+4800000+31800000+6266000)/850+8360</f>
        <v>92437.647058823524</v>
      </c>
      <c r="AA21" s="109">
        <f t="shared" si="1"/>
        <v>92437.647058823524</v>
      </c>
      <c r="AB21" s="217">
        <f t="shared" si="3"/>
        <v>0</v>
      </c>
      <c r="AC21" s="217">
        <f t="shared" si="4"/>
        <v>0</v>
      </c>
      <c r="AD21" s="135">
        <v>1</v>
      </c>
      <c r="AE21" s="110">
        <v>0.36</v>
      </c>
      <c r="AF21" s="110">
        <v>0.53</v>
      </c>
      <c r="AG21" s="136">
        <v>0.1</v>
      </c>
      <c r="AH21" s="134"/>
    </row>
    <row r="22" spans="3:34" s="128" customFormat="1" ht="40.15" customHeight="1" x14ac:dyDescent="0.2">
      <c r="C22" s="91" t="s">
        <v>233</v>
      </c>
      <c r="D22" s="92"/>
      <c r="E22" s="93" t="s">
        <v>254</v>
      </c>
      <c r="F22" s="92"/>
      <c r="G22" s="515" t="s">
        <v>398</v>
      </c>
      <c r="H22" s="516">
        <v>40941</v>
      </c>
      <c r="I22" s="517">
        <v>41090</v>
      </c>
      <c r="J22" s="518" t="s">
        <v>418</v>
      </c>
      <c r="K22" s="519">
        <f t="shared" si="0"/>
        <v>2012</v>
      </c>
      <c r="L22" s="99">
        <v>3240</v>
      </c>
      <c r="M22" s="100"/>
      <c r="N22" s="100" t="str">
        <f t="shared" si="5"/>
        <v/>
      </c>
      <c r="O22" s="100"/>
      <c r="P22" s="100"/>
      <c r="Q22" s="101"/>
      <c r="R22" s="102">
        <v>1</v>
      </c>
      <c r="S22" s="135">
        <v>0</v>
      </c>
      <c r="T22" s="104">
        <v>3240</v>
      </c>
      <c r="U22" s="105">
        <v>3240</v>
      </c>
      <c r="V22" s="106">
        <v>3240</v>
      </c>
      <c r="W22" s="107">
        <v>0</v>
      </c>
      <c r="X22" s="105">
        <v>0</v>
      </c>
      <c r="Y22" s="97">
        <v>0</v>
      </c>
      <c r="Z22" s="108">
        <f>(7354000+3480000+7870000+10800000)/850</f>
        <v>34710.588235294119</v>
      </c>
      <c r="AA22" s="109">
        <f t="shared" si="1"/>
        <v>34710.588235294119</v>
      </c>
      <c r="AB22" s="217">
        <f t="shared" si="3"/>
        <v>0</v>
      </c>
      <c r="AC22" s="217">
        <f t="shared" si="4"/>
        <v>0</v>
      </c>
      <c r="AD22" s="135">
        <v>1</v>
      </c>
      <c r="AE22" s="110">
        <v>0.35</v>
      </c>
      <c r="AF22" s="110">
        <v>0.38</v>
      </c>
      <c r="AG22" s="136">
        <v>0.36</v>
      </c>
      <c r="AH22" s="134"/>
    </row>
    <row r="23" spans="3:34" s="128" customFormat="1" ht="40.15" customHeight="1" x14ac:dyDescent="0.2">
      <c r="C23" s="91" t="s">
        <v>233</v>
      </c>
      <c r="D23" s="92"/>
      <c r="E23" s="93" t="s">
        <v>254</v>
      </c>
      <c r="F23" s="127"/>
      <c r="G23" s="515" t="s">
        <v>398</v>
      </c>
      <c r="H23" s="516">
        <v>40940</v>
      </c>
      <c r="I23" s="517">
        <v>41029</v>
      </c>
      <c r="J23" s="518" t="s">
        <v>418</v>
      </c>
      <c r="K23" s="519">
        <f t="shared" si="0"/>
        <v>2012</v>
      </c>
      <c r="L23" s="99">
        <v>14000</v>
      </c>
      <c r="M23" s="100"/>
      <c r="N23" s="100" t="str">
        <f t="shared" si="5"/>
        <v/>
      </c>
      <c r="O23" s="100"/>
      <c r="P23" s="100"/>
      <c r="Q23" s="101"/>
      <c r="R23" s="102">
        <v>1</v>
      </c>
      <c r="S23" s="135">
        <v>0</v>
      </c>
      <c r="T23" s="104">
        <v>14000</v>
      </c>
      <c r="U23" s="105">
        <v>14000</v>
      </c>
      <c r="V23" s="106">
        <v>14000</v>
      </c>
      <c r="W23" s="107">
        <v>0</v>
      </c>
      <c r="X23" s="105">
        <v>0</v>
      </c>
      <c r="Y23" s="97">
        <v>0</v>
      </c>
      <c r="Z23" s="108">
        <f>35400+9000+39360</f>
        <v>83760</v>
      </c>
      <c r="AA23" s="109">
        <f t="shared" si="1"/>
        <v>83760</v>
      </c>
      <c r="AB23" s="217">
        <f t="shared" si="3"/>
        <v>0</v>
      </c>
      <c r="AC23" s="217">
        <f t="shared" si="4"/>
        <v>0</v>
      </c>
      <c r="AD23" s="135">
        <v>1</v>
      </c>
      <c r="AE23" s="110">
        <v>0.42</v>
      </c>
      <c r="AF23" s="110">
        <v>0.55000000000000004</v>
      </c>
      <c r="AG23" s="136">
        <v>0.22</v>
      </c>
      <c r="AH23" s="134"/>
    </row>
    <row r="24" spans="3:34" s="128" customFormat="1" ht="40.15" customHeight="1" x14ac:dyDescent="0.2">
      <c r="C24" s="91" t="s">
        <v>233</v>
      </c>
      <c r="D24" s="92"/>
      <c r="E24" s="93" t="s">
        <v>254</v>
      </c>
      <c r="F24" s="92"/>
      <c r="G24" s="515" t="s">
        <v>398</v>
      </c>
      <c r="H24" s="516">
        <v>41346</v>
      </c>
      <c r="I24" s="517">
        <v>41437</v>
      </c>
      <c r="J24" s="518" t="s">
        <v>418</v>
      </c>
      <c r="K24" s="519">
        <f t="shared" si="0"/>
        <v>2013</v>
      </c>
      <c r="L24" s="99">
        <v>19000</v>
      </c>
      <c r="M24" s="129">
        <f>13000/19000</f>
        <v>0.68421052631578949</v>
      </c>
      <c r="N24" s="129">
        <f t="shared" si="5"/>
        <v>0.31578947368421051</v>
      </c>
      <c r="O24" s="129">
        <v>0</v>
      </c>
      <c r="P24" s="129">
        <v>0.32</v>
      </c>
      <c r="Q24" s="130">
        <f>12981/L24</f>
        <v>0.68321052631578949</v>
      </c>
      <c r="R24" s="102">
        <v>1</v>
      </c>
      <c r="S24" s="135">
        <v>0</v>
      </c>
      <c r="T24" s="104">
        <v>19000</v>
      </c>
      <c r="U24" s="105">
        <v>19000</v>
      </c>
      <c r="V24" s="106">
        <v>19000</v>
      </c>
      <c r="W24" s="107">
        <v>0</v>
      </c>
      <c r="X24" s="105">
        <v>0</v>
      </c>
      <c r="Y24" s="97">
        <v>0</v>
      </c>
      <c r="Z24" s="108">
        <f>83567321/850</f>
        <v>98314.495294117645</v>
      </c>
      <c r="AA24" s="109">
        <f t="shared" si="1"/>
        <v>98314.495294117645</v>
      </c>
      <c r="AB24" s="217">
        <f t="shared" si="3"/>
        <v>0</v>
      </c>
      <c r="AC24" s="217">
        <f t="shared" si="4"/>
        <v>0</v>
      </c>
      <c r="AD24" s="110">
        <v>1</v>
      </c>
      <c r="AE24" s="110">
        <f>22500000/83567321</f>
        <v>0.26924400268856291</v>
      </c>
      <c r="AF24" s="110">
        <v>0.14000000000000001</v>
      </c>
      <c r="AG24" s="135">
        <f>48974300/83567321</f>
        <v>0.58604606937202164</v>
      </c>
      <c r="AH24" s="134"/>
    </row>
    <row r="25" spans="3:34" s="128" customFormat="1" ht="40.15" customHeight="1" x14ac:dyDescent="0.2">
      <c r="C25" s="91" t="s">
        <v>233</v>
      </c>
      <c r="D25" s="92"/>
      <c r="E25" s="93" t="s">
        <v>254</v>
      </c>
      <c r="F25" s="92"/>
      <c r="G25" s="515" t="s">
        <v>398</v>
      </c>
      <c r="H25" s="516">
        <v>41082</v>
      </c>
      <c r="I25" s="517">
        <v>41364</v>
      </c>
      <c r="J25" s="518" t="s">
        <v>418</v>
      </c>
      <c r="K25" s="519">
        <f t="shared" si="0"/>
        <v>2012</v>
      </c>
      <c r="L25" s="99"/>
      <c r="M25" s="129"/>
      <c r="N25" s="129" t="str">
        <f t="shared" si="5"/>
        <v/>
      </c>
      <c r="O25" s="129"/>
      <c r="P25" s="129"/>
      <c r="Q25" s="130"/>
      <c r="R25" s="102"/>
      <c r="S25" s="135"/>
      <c r="T25" s="104"/>
      <c r="U25" s="105"/>
      <c r="V25" s="106"/>
      <c r="W25" s="107"/>
      <c r="X25" s="105"/>
      <c r="Y25" s="97"/>
      <c r="Z25" s="108">
        <f>136729365/780</f>
        <v>175294.05769230769</v>
      </c>
      <c r="AA25" s="109">
        <f t="shared" si="1"/>
        <v>175294.05769230769</v>
      </c>
      <c r="AB25" s="109">
        <f t="shared" si="3"/>
        <v>0</v>
      </c>
      <c r="AC25" s="109">
        <f t="shared" si="4"/>
        <v>0</v>
      </c>
      <c r="AD25" s="110"/>
      <c r="AE25" s="110"/>
      <c r="AF25" s="110"/>
      <c r="AG25" s="135"/>
      <c r="AH25" s="134"/>
    </row>
    <row r="26" spans="3:34" s="128" customFormat="1" ht="40.15" customHeight="1" x14ac:dyDescent="0.2">
      <c r="C26" s="91" t="s">
        <v>233</v>
      </c>
      <c r="D26" s="92"/>
      <c r="E26" s="93" t="s">
        <v>254</v>
      </c>
      <c r="F26" s="92"/>
      <c r="G26" s="94" t="s">
        <v>398</v>
      </c>
      <c r="H26" s="139">
        <v>41648</v>
      </c>
      <c r="I26" s="713">
        <v>41951</v>
      </c>
      <c r="J26" s="141" t="s">
        <v>418</v>
      </c>
      <c r="K26" s="98">
        <v>2014</v>
      </c>
      <c r="L26" s="326">
        <v>11000</v>
      </c>
      <c r="M26" s="110">
        <v>0.62</v>
      </c>
      <c r="N26" s="110">
        <v>0.38</v>
      </c>
      <c r="O26" s="110">
        <v>0</v>
      </c>
      <c r="P26" s="110">
        <v>1</v>
      </c>
      <c r="Q26" s="103">
        <v>0</v>
      </c>
      <c r="R26" s="102">
        <v>1</v>
      </c>
      <c r="S26" s="135">
        <v>0</v>
      </c>
      <c r="T26" s="104">
        <v>11000</v>
      </c>
      <c r="U26" s="105">
        <v>11000</v>
      </c>
      <c r="V26" s="106">
        <v>11000</v>
      </c>
      <c r="W26" s="138">
        <v>0</v>
      </c>
      <c r="X26" s="105">
        <v>0</v>
      </c>
      <c r="Y26" s="97">
        <v>0</v>
      </c>
      <c r="Z26" s="108">
        <v>337220.99</v>
      </c>
      <c r="AA26" s="109">
        <f t="shared" si="1"/>
        <v>0</v>
      </c>
      <c r="AB26" s="109">
        <f t="shared" si="3"/>
        <v>337220.99</v>
      </c>
      <c r="AC26" s="109">
        <f t="shared" si="4"/>
        <v>0</v>
      </c>
      <c r="AD26" s="110">
        <v>1</v>
      </c>
      <c r="AE26" s="324">
        <v>0.33</v>
      </c>
      <c r="AF26" s="324">
        <v>0.33</v>
      </c>
      <c r="AG26" s="325">
        <v>0.34</v>
      </c>
      <c r="AH26" s="134"/>
    </row>
    <row r="27" spans="3:34" s="128" customFormat="1" ht="40.15" customHeight="1" x14ac:dyDescent="0.2">
      <c r="C27" s="91" t="s">
        <v>233</v>
      </c>
      <c r="D27" s="92"/>
      <c r="E27" s="93" t="s">
        <v>254</v>
      </c>
      <c r="F27" s="92"/>
      <c r="G27" s="94" t="s">
        <v>398</v>
      </c>
      <c r="H27" s="715">
        <v>41928</v>
      </c>
      <c r="I27" s="713">
        <v>42109</v>
      </c>
      <c r="J27" s="714" t="s">
        <v>232</v>
      </c>
      <c r="K27" s="98">
        <v>2014</v>
      </c>
      <c r="L27" s="99">
        <v>13389</v>
      </c>
      <c r="M27" s="327">
        <v>0.59</v>
      </c>
      <c r="N27" s="110">
        <v>0.41</v>
      </c>
      <c r="O27" s="110">
        <v>0</v>
      </c>
      <c r="P27" s="110">
        <v>1</v>
      </c>
      <c r="Q27" s="103">
        <v>0</v>
      </c>
      <c r="R27" s="102">
        <v>1</v>
      </c>
      <c r="S27" s="135">
        <v>0</v>
      </c>
      <c r="T27" s="104">
        <v>5571</v>
      </c>
      <c r="U27" s="105">
        <v>5643</v>
      </c>
      <c r="V27" s="106">
        <v>13389</v>
      </c>
      <c r="W27" s="138">
        <v>0</v>
      </c>
      <c r="X27" s="105">
        <v>0</v>
      </c>
      <c r="Y27" s="97">
        <v>0</v>
      </c>
      <c r="Z27" s="108">
        <v>288461.43</v>
      </c>
      <c r="AA27" s="109">
        <f t="shared" si="1"/>
        <v>0</v>
      </c>
      <c r="AB27" s="109">
        <f t="shared" si="3"/>
        <v>121121.92640883979</v>
      </c>
      <c r="AC27" s="109">
        <f t="shared" si="4"/>
        <v>167339.5035911602</v>
      </c>
      <c r="AD27" s="110">
        <v>1</v>
      </c>
      <c r="AE27" s="324">
        <v>0.23</v>
      </c>
      <c r="AF27" s="324">
        <v>0.23</v>
      </c>
      <c r="AG27" s="325">
        <v>0.54</v>
      </c>
      <c r="AH27" s="134"/>
    </row>
    <row r="28" spans="3:34" s="128" customFormat="1" ht="40.15" customHeight="1" x14ac:dyDescent="0.2">
      <c r="C28" s="91" t="s">
        <v>233</v>
      </c>
      <c r="D28" s="92" t="s">
        <v>608</v>
      </c>
      <c r="E28" s="93" t="s">
        <v>607</v>
      </c>
      <c r="F28" s="92"/>
      <c r="G28" s="94" t="s">
        <v>398</v>
      </c>
      <c r="H28" s="95">
        <v>41757</v>
      </c>
      <c r="I28" s="96">
        <v>41802</v>
      </c>
      <c r="J28" s="97" t="s">
        <v>418</v>
      </c>
      <c r="K28" s="98">
        <f t="shared" si="0"/>
        <v>2014</v>
      </c>
      <c r="L28" s="99"/>
      <c r="M28" s="129"/>
      <c r="N28" s="129"/>
      <c r="O28" s="129">
        <v>1</v>
      </c>
      <c r="P28" s="129">
        <v>0</v>
      </c>
      <c r="Q28" s="130">
        <v>0</v>
      </c>
      <c r="R28" s="102">
        <v>1</v>
      </c>
      <c r="S28" s="135">
        <v>0</v>
      </c>
      <c r="T28" s="104"/>
      <c r="U28" s="105"/>
      <c r="V28" s="106"/>
      <c r="W28" s="107"/>
      <c r="X28" s="105"/>
      <c r="Y28" s="97"/>
      <c r="Z28" s="108">
        <v>43482</v>
      </c>
      <c r="AA28" s="109">
        <f t="shared" si="1"/>
        <v>0</v>
      </c>
      <c r="AB28" s="109">
        <f t="shared" si="3"/>
        <v>43482</v>
      </c>
      <c r="AC28" s="109">
        <f t="shared" si="4"/>
        <v>0</v>
      </c>
      <c r="AD28" s="110"/>
      <c r="AE28" s="110"/>
      <c r="AF28" s="110"/>
      <c r="AG28" s="135"/>
      <c r="AH28" s="134"/>
    </row>
    <row r="29" spans="3:34" s="128" customFormat="1" ht="40.15" customHeight="1" x14ac:dyDescent="0.2">
      <c r="C29" s="91" t="s">
        <v>233</v>
      </c>
      <c r="D29" s="92"/>
      <c r="E29" s="93" t="s">
        <v>805</v>
      </c>
      <c r="F29" s="92"/>
      <c r="G29" s="94" t="s">
        <v>806</v>
      </c>
      <c r="H29" s="95">
        <v>42036</v>
      </c>
      <c r="I29" s="96">
        <v>42094</v>
      </c>
      <c r="J29" s="97" t="s">
        <v>232</v>
      </c>
      <c r="K29" s="98">
        <f t="shared" si="0"/>
        <v>2015</v>
      </c>
      <c r="L29" s="99">
        <v>4000</v>
      </c>
      <c r="M29" s="129">
        <v>0</v>
      </c>
      <c r="N29" s="129">
        <v>1</v>
      </c>
      <c r="O29" s="129">
        <v>1</v>
      </c>
      <c r="P29" s="129">
        <v>0</v>
      </c>
      <c r="Q29" s="130">
        <v>0</v>
      </c>
      <c r="R29" s="102">
        <v>1</v>
      </c>
      <c r="S29" s="135">
        <v>0</v>
      </c>
      <c r="T29" s="104">
        <v>4000</v>
      </c>
      <c r="U29" s="105">
        <v>4000</v>
      </c>
      <c r="V29" s="106">
        <v>4000</v>
      </c>
      <c r="W29" s="107">
        <v>0</v>
      </c>
      <c r="X29" s="105">
        <v>0</v>
      </c>
      <c r="Y29" s="97">
        <v>0</v>
      </c>
      <c r="Z29" s="108">
        <v>400000</v>
      </c>
      <c r="AA29" s="109">
        <f t="shared" ref="AA29" si="6">Z29-(AB29+AC29)</f>
        <v>0</v>
      </c>
      <c r="AB29" s="109">
        <f t="shared" ref="AB29" si="7">IF(I29&lt;$C$1,0,IF(H29&gt;$C$1,Z29-AC29,(I29-$C$1)/(I29-H29)*Z29-AC29))</f>
        <v>0</v>
      </c>
      <c r="AC29" s="109">
        <f t="shared" ref="AC29" si="8">IF(I29&lt;$D$1,0,IF(H29&gt;$D$1,Z29,(I29-$D$1)/(I29-H29)*Z29))</f>
        <v>400000</v>
      </c>
      <c r="AD29" s="110">
        <v>1</v>
      </c>
      <c r="AE29" s="110">
        <v>0.4</v>
      </c>
      <c r="AF29" s="110">
        <v>0.3</v>
      </c>
      <c r="AG29" s="135">
        <v>0.3</v>
      </c>
      <c r="AH29" s="134" t="s">
        <v>807</v>
      </c>
    </row>
    <row r="30" spans="3:34" s="128" customFormat="1" ht="40.15" customHeight="1" x14ac:dyDescent="0.2">
      <c r="C30" s="91" t="s">
        <v>233</v>
      </c>
      <c r="D30" s="92"/>
      <c r="E30" s="93" t="s">
        <v>808</v>
      </c>
      <c r="F30" s="92"/>
      <c r="G30" s="94" t="s">
        <v>809</v>
      </c>
      <c r="H30" s="95">
        <v>42095</v>
      </c>
      <c r="I30" s="96">
        <v>42094</v>
      </c>
      <c r="J30" s="97" t="s">
        <v>232</v>
      </c>
      <c r="K30" s="98">
        <f t="shared" si="0"/>
        <v>2015</v>
      </c>
      <c r="L30" s="99">
        <v>18227</v>
      </c>
      <c r="M30" s="664"/>
      <c r="N30" s="105">
        <v>18227</v>
      </c>
      <c r="O30" s="129"/>
      <c r="P30" s="129"/>
      <c r="Q30" s="130"/>
      <c r="R30" s="102">
        <v>1</v>
      </c>
      <c r="S30" s="135"/>
      <c r="T30" s="104"/>
      <c r="U30" s="105"/>
      <c r="V30" s="106"/>
      <c r="W30" s="107"/>
      <c r="X30" s="105"/>
      <c r="Y30" s="97"/>
      <c r="Z30" s="415"/>
      <c r="AA30" s="109">
        <f t="shared" ref="AA30" si="9">Z30-(AB30+AC30)</f>
        <v>0</v>
      </c>
      <c r="AB30" s="109">
        <f t="shared" ref="AB30" si="10">IF(I30&lt;$C$1,0,IF(H30&gt;$C$1,Z30-AC30,(I30-$C$1)/(I30-H30)*Z30-AC30))</f>
        <v>0</v>
      </c>
      <c r="AC30" s="109">
        <f t="shared" ref="AC30" si="11">IF(I30&lt;$D$1,0,IF(H30&gt;$D$1,Z30,(I30-$D$1)/(I30-H30)*Z30))</f>
        <v>0</v>
      </c>
      <c r="AD30" s="110"/>
      <c r="AE30" s="110">
        <v>0</v>
      </c>
      <c r="AF30" s="110"/>
      <c r="AG30" s="135"/>
      <c r="AH30" s="134" t="s">
        <v>810</v>
      </c>
    </row>
    <row r="31" spans="3:34" s="128" customFormat="1" ht="40.15" customHeight="1" x14ac:dyDescent="0.2">
      <c r="C31" s="91" t="s">
        <v>402</v>
      </c>
      <c r="D31" s="92" t="s">
        <v>403</v>
      </c>
      <c r="E31" s="93" t="s">
        <v>323</v>
      </c>
      <c r="F31" s="92" t="s">
        <v>404</v>
      </c>
      <c r="G31" s="94" t="s">
        <v>405</v>
      </c>
      <c r="H31" s="119">
        <v>41275</v>
      </c>
      <c r="I31" s="120">
        <v>41729</v>
      </c>
      <c r="J31" s="97" t="s">
        <v>418</v>
      </c>
      <c r="K31" s="98">
        <f t="shared" si="0"/>
        <v>2013</v>
      </c>
      <c r="L31" s="99">
        <f>8400+6500+4894</f>
        <v>19794</v>
      </c>
      <c r="M31" s="110">
        <f>8400/L31</f>
        <v>0.42437102152167322</v>
      </c>
      <c r="N31" s="110">
        <f>IF(M31="","",1-M31)</f>
        <v>0.57562897847832684</v>
      </c>
      <c r="O31" s="110">
        <v>0</v>
      </c>
      <c r="P31" s="110">
        <v>0</v>
      </c>
      <c r="Q31" s="103">
        <v>1</v>
      </c>
      <c r="R31" s="102">
        <v>1</v>
      </c>
      <c r="S31" s="135">
        <v>0</v>
      </c>
      <c r="T31" s="104">
        <f>262*20</f>
        <v>5240</v>
      </c>
      <c r="U31" s="105">
        <f>8400+(21*250)</f>
        <v>13650</v>
      </c>
      <c r="V31" s="106">
        <f>L31</f>
        <v>19794</v>
      </c>
      <c r="W31" s="107">
        <v>0</v>
      </c>
      <c r="X31" s="105">
        <v>0</v>
      </c>
      <c r="Y31" s="97">
        <v>0</v>
      </c>
      <c r="Z31" s="108">
        <v>774563</v>
      </c>
      <c r="AA31" s="109">
        <f t="shared" si="1"/>
        <v>622721.35462555068</v>
      </c>
      <c r="AB31" s="109">
        <f t="shared" si="3"/>
        <v>151841.64537444935</v>
      </c>
      <c r="AC31" s="109">
        <f t="shared" si="4"/>
        <v>0</v>
      </c>
      <c r="AD31" s="110">
        <v>1</v>
      </c>
      <c r="AE31" s="110">
        <v>0.2</v>
      </c>
      <c r="AF31" s="110">
        <v>0.22</v>
      </c>
      <c r="AG31" s="135">
        <v>0.57999999999999996</v>
      </c>
      <c r="AH31" s="137" t="s">
        <v>406</v>
      </c>
    </row>
    <row r="32" spans="3:34" s="128" customFormat="1" ht="40.15" customHeight="1" x14ac:dyDescent="0.2">
      <c r="C32" s="91" t="s">
        <v>402</v>
      </c>
      <c r="D32" s="92" t="s">
        <v>403</v>
      </c>
      <c r="E32" s="93" t="s">
        <v>328</v>
      </c>
      <c r="F32" s="92" t="s">
        <v>407</v>
      </c>
      <c r="G32" s="94" t="s">
        <v>408</v>
      </c>
      <c r="H32" s="119">
        <v>41275</v>
      </c>
      <c r="I32" s="120">
        <v>41729</v>
      </c>
      <c r="J32" s="97" t="s">
        <v>418</v>
      </c>
      <c r="K32" s="98">
        <f t="shared" si="0"/>
        <v>2013</v>
      </c>
      <c r="L32" s="99"/>
      <c r="M32" s="110"/>
      <c r="N32" s="110"/>
      <c r="O32" s="110"/>
      <c r="P32" s="110"/>
      <c r="Q32" s="103"/>
      <c r="R32" s="102"/>
      <c r="S32" s="135"/>
      <c r="T32" s="104"/>
      <c r="U32" s="105"/>
      <c r="V32" s="106"/>
      <c r="W32" s="107"/>
      <c r="X32" s="105"/>
      <c r="Y32" s="97"/>
      <c r="Z32" s="108">
        <v>515029</v>
      </c>
      <c r="AA32" s="109">
        <f t="shared" si="1"/>
        <v>414065.16519823787</v>
      </c>
      <c r="AB32" s="109">
        <f t="shared" si="3"/>
        <v>100963.83480176212</v>
      </c>
      <c r="AC32" s="109">
        <f t="shared" si="4"/>
        <v>0</v>
      </c>
      <c r="AD32" s="110"/>
      <c r="AE32" s="110"/>
      <c r="AF32" s="110"/>
      <c r="AG32" s="135"/>
      <c r="AH32" s="137"/>
    </row>
    <row r="33" spans="3:34" s="128" customFormat="1" ht="40.15" customHeight="1" x14ac:dyDescent="0.2">
      <c r="C33" s="91" t="s">
        <v>402</v>
      </c>
      <c r="D33" s="92" t="s">
        <v>403</v>
      </c>
      <c r="E33" s="93" t="s">
        <v>331</v>
      </c>
      <c r="F33" s="92" t="s">
        <v>409</v>
      </c>
      <c r="G33" s="94" t="s">
        <v>408</v>
      </c>
      <c r="H33" s="119">
        <v>41275</v>
      </c>
      <c r="I33" s="120">
        <v>41729</v>
      </c>
      <c r="J33" s="97" t="s">
        <v>418</v>
      </c>
      <c r="K33" s="98">
        <f t="shared" si="0"/>
        <v>2013</v>
      </c>
      <c r="L33" s="99"/>
      <c r="M33" s="110"/>
      <c r="N33" s="110"/>
      <c r="O33" s="110"/>
      <c r="P33" s="110"/>
      <c r="Q33" s="103"/>
      <c r="R33" s="102"/>
      <c r="S33" s="135"/>
      <c r="T33" s="104"/>
      <c r="U33" s="105"/>
      <c r="V33" s="106"/>
      <c r="W33" s="107"/>
      <c r="X33" s="105"/>
      <c r="Y33" s="97"/>
      <c r="Z33" s="108">
        <v>191487</v>
      </c>
      <c r="AA33" s="109">
        <f t="shared" si="1"/>
        <v>153948.79955947137</v>
      </c>
      <c r="AB33" s="109">
        <f t="shared" si="3"/>
        <v>37538.200440528635</v>
      </c>
      <c r="AC33" s="109">
        <f t="shared" si="4"/>
        <v>0</v>
      </c>
      <c r="AD33" s="110"/>
      <c r="AE33" s="110"/>
      <c r="AF33" s="110"/>
      <c r="AG33" s="135"/>
      <c r="AH33" s="137"/>
    </row>
    <row r="34" spans="3:34" s="128" customFormat="1" ht="40.15" customHeight="1" x14ac:dyDescent="0.2">
      <c r="C34" s="91" t="s">
        <v>402</v>
      </c>
      <c r="D34" s="92" t="s">
        <v>403</v>
      </c>
      <c r="E34" s="93" t="s">
        <v>681</v>
      </c>
      <c r="F34" s="92"/>
      <c r="G34" s="94" t="s">
        <v>609</v>
      </c>
      <c r="H34" s="119">
        <v>41760</v>
      </c>
      <c r="I34" s="120">
        <v>42155</v>
      </c>
      <c r="J34" s="97" t="s">
        <v>418</v>
      </c>
      <c r="K34" s="98">
        <f t="shared" ref="K34" si="12">YEAR(H34)</f>
        <v>2014</v>
      </c>
      <c r="L34" s="99">
        <v>23013</v>
      </c>
      <c r="M34" s="110">
        <f>9543/L34</f>
        <v>0.41467865988788943</v>
      </c>
      <c r="N34" s="110">
        <f t="shared" ref="N34" si="13">IF(M34="","",1-M34)</f>
        <v>0.58532134011211057</v>
      </c>
      <c r="O34" s="110">
        <v>0</v>
      </c>
      <c r="P34" s="110">
        <v>0</v>
      </c>
      <c r="Q34" s="103">
        <v>1</v>
      </c>
      <c r="R34" s="102">
        <v>1</v>
      </c>
      <c r="S34" s="135">
        <v>0</v>
      </c>
      <c r="T34" s="104">
        <v>23013</v>
      </c>
      <c r="U34" s="105">
        <v>23013</v>
      </c>
      <c r="V34" s="106">
        <f>L34</f>
        <v>23013</v>
      </c>
      <c r="W34" s="107">
        <v>0</v>
      </c>
      <c r="X34" s="105">
        <v>0</v>
      </c>
      <c r="Y34" s="97">
        <v>0</v>
      </c>
      <c r="Z34" s="108">
        <v>711973</v>
      </c>
      <c r="AA34" s="109">
        <f t="shared" ref="AA34" si="14">Z34-(AB34+AC34)</f>
        <v>0</v>
      </c>
      <c r="AB34" s="109">
        <f t="shared" ref="AB34" si="15">IF(I34&lt;$C$1,0,IF(H34&gt;$C$1,Z34-AC34,(I34-$C$1)/(I34-H34)*Z34-AC34))</f>
        <v>439801.04303797468</v>
      </c>
      <c r="AC34" s="109">
        <f t="shared" ref="AC34" si="16">IF(I34&lt;$D$1,0,IF(H34&gt;$D$1,Z34,(I34-$D$1)/(I34-H34)*Z34))</f>
        <v>272171.95696202532</v>
      </c>
      <c r="AD34" s="110">
        <v>1</v>
      </c>
      <c r="AE34" s="110">
        <v>0.16</v>
      </c>
      <c r="AF34" s="110">
        <v>0.09</v>
      </c>
      <c r="AG34" s="135">
        <v>0.75</v>
      </c>
      <c r="AH34" s="137" t="s">
        <v>610</v>
      </c>
    </row>
    <row r="35" spans="3:34" s="128" customFormat="1" ht="40.15" customHeight="1" x14ac:dyDescent="0.2">
      <c r="C35" s="683" t="s">
        <v>402</v>
      </c>
      <c r="D35" s="693" t="s">
        <v>818</v>
      </c>
      <c r="E35" s="694" t="s">
        <v>331</v>
      </c>
      <c r="F35" s="693"/>
      <c r="G35" s="699" t="s">
        <v>819</v>
      </c>
      <c r="H35" s="697" t="s">
        <v>820</v>
      </c>
      <c r="I35" s="698" t="s">
        <v>821</v>
      </c>
      <c r="J35" s="690" t="s">
        <v>232</v>
      </c>
      <c r="K35" s="685">
        <v>2015</v>
      </c>
      <c r="L35" s="99">
        <v>13880</v>
      </c>
      <c r="M35" s="110"/>
      <c r="N35" s="686">
        <v>1</v>
      </c>
      <c r="O35" s="686">
        <v>0</v>
      </c>
      <c r="P35" s="686"/>
      <c r="Q35" s="687"/>
      <c r="R35" s="688">
        <v>1</v>
      </c>
      <c r="S35" s="689">
        <v>0</v>
      </c>
      <c r="T35" s="695">
        <v>13880</v>
      </c>
      <c r="U35" s="690">
        <v>13880</v>
      </c>
      <c r="V35" s="696">
        <v>13880</v>
      </c>
      <c r="W35" s="684"/>
      <c r="X35" s="690"/>
      <c r="Y35" s="691"/>
      <c r="Z35" s="692">
        <v>83010</v>
      </c>
      <c r="AA35" s="109">
        <f>Z35-(AB35+AC35)</f>
        <v>0</v>
      </c>
      <c r="AB35" s="109">
        <f>IF(I35&lt;$C$1,0,IF(H35&gt;$C$1,Z35-AC35,(I35-$C$1)/(I35-H35)*Z35-AC35))</f>
        <v>0</v>
      </c>
      <c r="AC35" s="109">
        <f>IF(I35&lt;$D$1,0,IF(H35&gt;$D$1,Z35,(I35-$D$1)/(I35-H35)*Z35))</f>
        <v>83010</v>
      </c>
      <c r="AD35" s="110">
        <v>1</v>
      </c>
      <c r="AE35" s="110"/>
      <c r="AF35" s="110"/>
      <c r="AG35" s="135"/>
      <c r="AH35" s="137"/>
    </row>
    <row r="36" spans="3:34" s="128" customFormat="1" ht="40.15" customHeight="1" x14ac:dyDescent="0.2">
      <c r="C36" s="91" t="s">
        <v>402</v>
      </c>
      <c r="D36" s="92" t="s">
        <v>403</v>
      </c>
      <c r="E36" s="93" t="s">
        <v>323</v>
      </c>
      <c r="F36" s="92"/>
      <c r="G36" s="680" t="s">
        <v>817</v>
      </c>
      <c r="H36" s="677">
        <v>42217</v>
      </c>
      <c r="I36" s="678">
        <v>42369</v>
      </c>
      <c r="J36" s="679" t="s">
        <v>232</v>
      </c>
      <c r="K36" s="98">
        <f t="shared" si="0"/>
        <v>2015</v>
      </c>
      <c r="L36" s="667">
        <v>4735</v>
      </c>
      <c r="M36" s="675"/>
      <c r="N36" s="675">
        <v>1</v>
      </c>
      <c r="O36" s="675"/>
      <c r="P36" s="675"/>
      <c r="Q36" s="676">
        <v>1</v>
      </c>
      <c r="R36" s="668">
        <v>1</v>
      </c>
      <c r="S36" s="669"/>
      <c r="T36" s="670">
        <v>4735</v>
      </c>
      <c r="U36" s="671">
        <v>4735</v>
      </c>
      <c r="V36" s="672">
        <v>4735</v>
      </c>
      <c r="W36" s="673"/>
      <c r="X36" s="671"/>
      <c r="Y36" s="666"/>
      <c r="Z36" s="674">
        <v>107174</v>
      </c>
      <c r="AA36" s="109">
        <f t="shared" ref="AA36" si="17">Z36-(AB36+AC36)</f>
        <v>0</v>
      </c>
      <c r="AB36" s="109">
        <f t="shared" ref="AB36" si="18">IF(I36&lt;$C$1,0,IF(H36&gt;$C$1,Z36-AC36,(I36-$C$1)/(I36-H36)*Z36-AC36))</f>
        <v>0</v>
      </c>
      <c r="AC36" s="109">
        <f t="shared" ref="AC36" si="19">IF(I36&lt;$D$1,0,IF(H36&gt;$D$1,Z36,(I36-$D$1)/(I36-H36)*Z36))</f>
        <v>107174</v>
      </c>
      <c r="AD36" s="681">
        <v>1</v>
      </c>
      <c r="AE36" s="681">
        <v>0.31829548211319908</v>
      </c>
      <c r="AF36" s="681">
        <v>0.10458693339802565</v>
      </c>
      <c r="AG36" s="682">
        <v>0.5768656577154907</v>
      </c>
      <c r="AH36" s="137"/>
    </row>
    <row r="37" spans="3:34" s="128" customFormat="1" ht="40.15" customHeight="1" x14ac:dyDescent="0.2">
      <c r="C37" s="91" t="s">
        <v>410</v>
      </c>
      <c r="D37" s="92" t="s">
        <v>235</v>
      </c>
      <c r="E37" s="93" t="s">
        <v>324</v>
      </c>
      <c r="F37" s="92"/>
      <c r="G37" s="150" t="s">
        <v>802</v>
      </c>
      <c r="H37" s="139">
        <v>42005</v>
      </c>
      <c r="I37" s="140">
        <v>42277</v>
      </c>
      <c r="J37" s="97" t="s">
        <v>232</v>
      </c>
      <c r="K37" s="98">
        <f t="shared" si="0"/>
        <v>2015</v>
      </c>
      <c r="L37" s="659">
        <v>3088</v>
      </c>
      <c r="M37" s="155">
        <v>0</v>
      </c>
      <c r="N37" s="155">
        <f t="shared" ref="N37:N41" si="20">IF(M37="","",1-M37)</f>
        <v>1</v>
      </c>
      <c r="O37" s="155">
        <v>1</v>
      </c>
      <c r="P37" s="155">
        <v>0</v>
      </c>
      <c r="Q37" s="156">
        <v>0</v>
      </c>
      <c r="R37" s="157">
        <v>1</v>
      </c>
      <c r="S37" s="165">
        <v>0</v>
      </c>
      <c r="T37" s="660">
        <v>0</v>
      </c>
      <c r="U37" s="661">
        <v>0</v>
      </c>
      <c r="V37" s="662">
        <v>3088</v>
      </c>
      <c r="W37" s="663">
        <v>0</v>
      </c>
      <c r="X37" s="661">
        <v>0</v>
      </c>
      <c r="Y37" s="153">
        <v>0</v>
      </c>
      <c r="Z37" s="163">
        <v>75653</v>
      </c>
      <c r="AA37" s="109">
        <f t="shared" si="1"/>
        <v>0</v>
      </c>
      <c r="AB37" s="109">
        <f t="shared" si="3"/>
        <v>0</v>
      </c>
      <c r="AC37" s="109">
        <f t="shared" si="4"/>
        <v>75653</v>
      </c>
      <c r="AD37" s="110"/>
      <c r="AE37" s="110"/>
      <c r="AF37" s="110"/>
      <c r="AG37" s="135"/>
      <c r="AH37" s="134" t="s">
        <v>803</v>
      </c>
    </row>
    <row r="38" spans="3:34" s="128" customFormat="1" ht="40.15" customHeight="1" x14ac:dyDescent="0.2">
      <c r="C38" s="91" t="s">
        <v>411</v>
      </c>
      <c r="D38" s="92" t="s">
        <v>285</v>
      </c>
      <c r="E38" s="93" t="s">
        <v>323</v>
      </c>
      <c r="F38" s="92"/>
      <c r="G38" s="94" t="s">
        <v>412</v>
      </c>
      <c r="H38" s="119">
        <v>41426</v>
      </c>
      <c r="I38" s="120">
        <v>41698</v>
      </c>
      <c r="J38" s="97" t="s">
        <v>418</v>
      </c>
      <c r="K38" s="98">
        <f t="shared" si="0"/>
        <v>2013</v>
      </c>
      <c r="L38" s="121">
        <v>9566</v>
      </c>
      <c r="M38" s="110">
        <v>0.86</v>
      </c>
      <c r="N38" s="110">
        <f t="shared" si="20"/>
        <v>0.14000000000000001</v>
      </c>
      <c r="O38" s="110">
        <v>0.89</v>
      </c>
      <c r="P38" s="110">
        <v>0</v>
      </c>
      <c r="Q38" s="103">
        <v>0.11</v>
      </c>
      <c r="R38" s="102">
        <v>1</v>
      </c>
      <c r="S38" s="135">
        <v>0</v>
      </c>
      <c r="T38" s="122">
        <v>1905</v>
      </c>
      <c r="U38" s="123">
        <v>9566</v>
      </c>
      <c r="V38" s="124">
        <v>9566</v>
      </c>
      <c r="W38" s="138">
        <v>0</v>
      </c>
      <c r="X38" s="105">
        <v>0</v>
      </c>
      <c r="Y38" s="97">
        <v>0</v>
      </c>
      <c r="Z38" s="108">
        <v>264760</v>
      </c>
      <c r="AA38" s="109">
        <f t="shared" si="1"/>
        <v>208303.82352941178</v>
      </c>
      <c r="AB38" s="109">
        <f t="shared" si="3"/>
        <v>56456.176470588231</v>
      </c>
      <c r="AC38" s="109">
        <f t="shared" si="4"/>
        <v>0</v>
      </c>
      <c r="AD38" s="110">
        <v>0.8</v>
      </c>
      <c r="AE38" s="110">
        <v>0.13</v>
      </c>
      <c r="AF38" s="110">
        <v>0.14000000000000001</v>
      </c>
      <c r="AG38" s="135">
        <v>0.73</v>
      </c>
      <c r="AH38" s="134"/>
    </row>
    <row r="39" spans="3:34" s="128" customFormat="1" ht="40.15" customHeight="1" x14ac:dyDescent="0.2">
      <c r="C39" s="91" t="s">
        <v>411</v>
      </c>
      <c r="D39" s="92" t="s">
        <v>285</v>
      </c>
      <c r="E39" s="93" t="s">
        <v>475</v>
      </c>
      <c r="F39" s="92"/>
      <c r="G39" s="94" t="s">
        <v>476</v>
      </c>
      <c r="H39" s="119">
        <v>41640</v>
      </c>
      <c r="I39" s="120">
        <v>42004</v>
      </c>
      <c r="J39" s="97" t="s">
        <v>418</v>
      </c>
      <c r="K39" s="98">
        <f t="shared" si="0"/>
        <v>2014</v>
      </c>
      <c r="L39" s="121"/>
      <c r="M39" s="110">
        <v>0</v>
      </c>
      <c r="N39" s="110">
        <f t="shared" si="20"/>
        <v>1</v>
      </c>
      <c r="O39" s="110">
        <v>0.89</v>
      </c>
      <c r="P39" s="110">
        <v>0</v>
      </c>
      <c r="Q39" s="103">
        <v>0.11</v>
      </c>
      <c r="R39" s="102">
        <v>1</v>
      </c>
      <c r="S39" s="135">
        <v>0</v>
      </c>
      <c r="T39" s="122">
        <v>1905</v>
      </c>
      <c r="U39" s="123">
        <v>9566</v>
      </c>
      <c r="V39" s="124">
        <v>9566</v>
      </c>
      <c r="W39" s="138">
        <v>0</v>
      </c>
      <c r="X39" s="105">
        <v>0</v>
      </c>
      <c r="Y39" s="97">
        <v>0</v>
      </c>
      <c r="Z39" s="108">
        <v>17000</v>
      </c>
      <c r="AA39" s="109">
        <f t="shared" si="1"/>
        <v>0</v>
      </c>
      <c r="AB39" s="109">
        <f t="shared" si="3"/>
        <v>17000</v>
      </c>
      <c r="AC39" s="109">
        <f t="shared" si="4"/>
        <v>0</v>
      </c>
      <c r="AD39" s="110"/>
      <c r="AE39" s="110"/>
      <c r="AF39" s="110"/>
      <c r="AG39" s="135"/>
      <c r="AH39" s="134"/>
    </row>
    <row r="40" spans="3:34" s="128" customFormat="1" ht="40.15" customHeight="1" x14ac:dyDescent="0.2">
      <c r="C40" s="91" t="s">
        <v>411</v>
      </c>
      <c r="D40" s="92" t="s">
        <v>285</v>
      </c>
      <c r="E40" s="93" t="s">
        <v>325</v>
      </c>
      <c r="F40" s="92"/>
      <c r="G40" s="94" t="s">
        <v>477</v>
      </c>
      <c r="H40" s="119">
        <v>41640</v>
      </c>
      <c r="I40" s="120">
        <v>42185</v>
      </c>
      <c r="J40" s="97" t="s">
        <v>413</v>
      </c>
      <c r="K40" s="98">
        <f t="shared" si="0"/>
        <v>2014</v>
      </c>
      <c r="L40" s="121">
        <v>8010</v>
      </c>
      <c r="M40" s="110">
        <v>0.93</v>
      </c>
      <c r="N40" s="110">
        <f t="shared" si="20"/>
        <v>6.9999999999999951E-2</v>
      </c>
      <c r="O40" s="558">
        <v>0.1</v>
      </c>
      <c r="P40" s="558">
        <v>0.9</v>
      </c>
      <c r="Q40" s="559">
        <v>0</v>
      </c>
      <c r="R40" s="555">
        <v>1</v>
      </c>
      <c r="S40" s="556">
        <v>0</v>
      </c>
      <c r="T40" s="560">
        <v>8010</v>
      </c>
      <c r="U40" s="561">
        <v>8010</v>
      </c>
      <c r="V40" s="562">
        <v>8010</v>
      </c>
      <c r="W40" s="563">
        <v>0</v>
      </c>
      <c r="X40" s="564">
        <v>0</v>
      </c>
      <c r="Y40" s="554">
        <v>0</v>
      </c>
      <c r="Z40" s="557">
        <v>102308</v>
      </c>
      <c r="AA40" s="109">
        <f t="shared" si="1"/>
        <v>0</v>
      </c>
      <c r="AB40" s="109">
        <f t="shared" si="3"/>
        <v>68330.480733944947</v>
      </c>
      <c r="AC40" s="109">
        <f t="shared" si="4"/>
        <v>33977.519266055046</v>
      </c>
      <c r="AD40" s="717"/>
      <c r="AE40" s="717"/>
      <c r="AF40" s="717"/>
      <c r="AG40" s="718"/>
      <c r="AH40" s="134"/>
    </row>
    <row r="41" spans="3:34" s="128" customFormat="1" ht="40.15" customHeight="1" x14ac:dyDescent="0.2">
      <c r="C41" s="91" t="s">
        <v>411</v>
      </c>
      <c r="D41" s="92" t="s">
        <v>285</v>
      </c>
      <c r="E41" s="93" t="s">
        <v>478</v>
      </c>
      <c r="F41" s="92"/>
      <c r="G41" s="94" t="s">
        <v>479</v>
      </c>
      <c r="H41" s="119">
        <v>41640</v>
      </c>
      <c r="I41" s="120">
        <v>41891</v>
      </c>
      <c r="J41" s="97" t="s">
        <v>418</v>
      </c>
      <c r="K41" s="98">
        <f t="shared" si="0"/>
        <v>2014</v>
      </c>
      <c r="L41" s="121"/>
      <c r="M41" s="110">
        <v>0.47</v>
      </c>
      <c r="N41" s="110">
        <f t="shared" si="20"/>
        <v>0.53</v>
      </c>
      <c r="O41" s="110"/>
      <c r="P41" s="110"/>
      <c r="Q41" s="103"/>
      <c r="R41" s="102"/>
      <c r="S41" s="135"/>
      <c r="T41" s="122"/>
      <c r="U41" s="123"/>
      <c r="V41" s="124"/>
      <c r="W41" s="138"/>
      <c r="X41" s="105"/>
      <c r="Y41" s="97"/>
      <c r="Z41" s="108">
        <v>80400</v>
      </c>
      <c r="AA41" s="109">
        <f t="shared" si="1"/>
        <v>0</v>
      </c>
      <c r="AB41" s="109">
        <f t="shared" si="3"/>
        <v>80400</v>
      </c>
      <c r="AC41" s="109">
        <f t="shared" si="4"/>
        <v>0</v>
      </c>
      <c r="AD41" s="717"/>
      <c r="AE41" s="717"/>
      <c r="AF41" s="717"/>
      <c r="AG41" s="718"/>
      <c r="AH41" s="134"/>
    </row>
    <row r="42" spans="3:34" s="128" customFormat="1" ht="40.15" customHeight="1" x14ac:dyDescent="0.2">
      <c r="C42" s="91" t="s">
        <v>411</v>
      </c>
      <c r="D42" s="92"/>
      <c r="E42" s="93" t="s">
        <v>254</v>
      </c>
      <c r="F42" s="92" t="s">
        <v>326</v>
      </c>
      <c r="G42" s="94" t="s">
        <v>633</v>
      </c>
      <c r="H42" s="119">
        <v>41822</v>
      </c>
      <c r="I42" s="716">
        <v>42063</v>
      </c>
      <c r="J42" s="97" t="s">
        <v>418</v>
      </c>
      <c r="K42" s="98">
        <f t="shared" si="0"/>
        <v>2014</v>
      </c>
      <c r="L42" s="121">
        <v>10837</v>
      </c>
      <c r="M42" s="110">
        <f>4695/L42</f>
        <v>0.43323798099104921</v>
      </c>
      <c r="N42" s="110">
        <v>0.56999999999999995</v>
      </c>
      <c r="O42" s="110">
        <f>(736+1843)/L42</f>
        <v>0.23798099104918335</v>
      </c>
      <c r="P42" s="110">
        <v>0</v>
      </c>
      <c r="Q42" s="103">
        <v>0.76</v>
      </c>
      <c r="R42" s="102">
        <v>1</v>
      </c>
      <c r="S42" s="135">
        <v>0</v>
      </c>
      <c r="T42" s="122">
        <v>10837</v>
      </c>
      <c r="U42" s="123">
        <v>10837</v>
      </c>
      <c r="V42" s="124">
        <v>10837</v>
      </c>
      <c r="W42" s="138">
        <v>0</v>
      </c>
      <c r="X42" s="105">
        <v>0</v>
      </c>
      <c r="Y42" s="97">
        <v>0</v>
      </c>
      <c r="Z42" s="108">
        <v>455030</v>
      </c>
      <c r="AA42" s="109">
        <f t="shared" si="1"/>
        <v>0</v>
      </c>
      <c r="AB42" s="109">
        <f t="shared" si="3"/>
        <v>343632.61410788383</v>
      </c>
      <c r="AC42" s="109">
        <f t="shared" si="4"/>
        <v>111397.38589211617</v>
      </c>
      <c r="AD42" s="110">
        <v>1</v>
      </c>
      <c r="AE42" s="110">
        <v>7.0000000000000007E-2</v>
      </c>
      <c r="AF42" s="110">
        <v>0.18</v>
      </c>
      <c r="AG42" s="135">
        <v>0.75</v>
      </c>
      <c r="AH42" s="134"/>
    </row>
    <row r="43" spans="3:34" s="128" customFormat="1" ht="40.15" customHeight="1" x14ac:dyDescent="0.2">
      <c r="C43" s="91" t="s">
        <v>411</v>
      </c>
      <c r="D43" s="92"/>
      <c r="E43" s="93" t="s">
        <v>323</v>
      </c>
      <c r="F43" s="92"/>
      <c r="G43" s="578" t="s">
        <v>778</v>
      </c>
      <c r="H43" s="570">
        <v>41821</v>
      </c>
      <c r="I43" s="571">
        <v>42247</v>
      </c>
      <c r="J43" s="565" t="s">
        <v>232</v>
      </c>
      <c r="K43" s="98">
        <f t="shared" si="0"/>
        <v>2014</v>
      </c>
      <c r="L43" s="572">
        <v>13266</v>
      </c>
      <c r="M43" s="569">
        <v>0.75</v>
      </c>
      <c r="N43" s="569">
        <v>0.25</v>
      </c>
      <c r="O43" s="569">
        <v>0.25</v>
      </c>
      <c r="P43" s="569">
        <v>0.75</v>
      </c>
      <c r="Q43" s="573">
        <v>0</v>
      </c>
      <c r="R43" s="566">
        <v>1</v>
      </c>
      <c r="S43" s="567">
        <v>0</v>
      </c>
      <c r="T43" s="574">
        <v>13266</v>
      </c>
      <c r="U43" s="575">
        <v>13266</v>
      </c>
      <c r="V43" s="576">
        <v>13266</v>
      </c>
      <c r="W43" s="577">
        <v>0</v>
      </c>
      <c r="X43" s="579">
        <v>0</v>
      </c>
      <c r="Y43" s="565">
        <v>0</v>
      </c>
      <c r="Z43" s="568">
        <v>419947</v>
      </c>
      <c r="AA43" s="109">
        <f t="shared" ref="AA43" si="21">Z43-(AB43+AC43)</f>
        <v>0</v>
      </c>
      <c r="AB43" s="109">
        <f t="shared" ref="AB43" si="22">IF(I43&lt;$C$1,0,IF(H43&gt;$C$1,Z43-AC43,(I43-$C$1)/(I43-H43)*Z43-AC43))</f>
        <v>180399.7676056338</v>
      </c>
      <c r="AC43" s="109">
        <f t="shared" ref="AC43" si="23">IF(I43&lt;$D$1,0,IF(H43&gt;$D$1,Z43,(I43-$D$1)/(I43-H43)*Z43))</f>
        <v>239547.2323943662</v>
      </c>
      <c r="AD43" s="110">
        <v>1</v>
      </c>
      <c r="AE43" s="110">
        <v>7.0000000000000007E-2</v>
      </c>
      <c r="AF43" s="110">
        <v>0.18</v>
      </c>
      <c r="AG43" s="135">
        <v>0.75</v>
      </c>
      <c r="AH43" s="134"/>
    </row>
    <row r="44" spans="3:34" s="128" customFormat="1" ht="40.15" customHeight="1" x14ac:dyDescent="0.2">
      <c r="C44" s="91" t="s">
        <v>411</v>
      </c>
      <c r="D44" s="92"/>
      <c r="E44" s="93" t="s">
        <v>325</v>
      </c>
      <c r="F44" s="92"/>
      <c r="G44" s="578" t="s">
        <v>780</v>
      </c>
      <c r="H44" s="580">
        <v>42008</v>
      </c>
      <c r="I44" s="120">
        <v>42460</v>
      </c>
      <c r="J44" s="97" t="s">
        <v>232</v>
      </c>
      <c r="K44" s="98">
        <f t="shared" ref="K44" si="24">YEAR(H44)</f>
        <v>2015</v>
      </c>
      <c r="L44" s="585">
        <v>1140</v>
      </c>
      <c r="M44" s="584">
        <v>0</v>
      </c>
      <c r="N44" s="584">
        <v>1</v>
      </c>
      <c r="O44" s="584">
        <v>1</v>
      </c>
      <c r="P44" s="584">
        <v>0</v>
      </c>
      <c r="Q44" s="586">
        <v>0</v>
      </c>
      <c r="R44" s="582">
        <v>1</v>
      </c>
      <c r="S44" s="583">
        <v>0</v>
      </c>
      <c r="T44" s="587">
        <v>1140</v>
      </c>
      <c r="U44" s="588">
        <v>1140</v>
      </c>
      <c r="V44" s="589">
        <v>1140</v>
      </c>
      <c r="W44" s="590">
        <v>0</v>
      </c>
      <c r="X44" s="591">
        <v>0</v>
      </c>
      <c r="Y44" s="581">
        <v>0</v>
      </c>
      <c r="Z44" s="108">
        <v>236184</v>
      </c>
      <c r="AA44" s="109">
        <f t="shared" ref="AA44" si="25">Z44-(AB44+AC44)</f>
        <v>0</v>
      </c>
      <c r="AB44" s="109">
        <f t="shared" ref="AB44" si="26">IF(I44&lt;$C$1,0,IF(H44&gt;$C$1,Z44-AC44,(I44-$C$1)/(I44-H44)*Z44-AC44))</f>
        <v>0</v>
      </c>
      <c r="AC44" s="109">
        <f t="shared" ref="AC44" si="27">IF(I44&lt;$D$1,0,IF(H44&gt;$D$1,Z44,(I44-$D$1)/(I44-H44)*Z44))</f>
        <v>236184</v>
      </c>
      <c r="AD44" s="110">
        <v>1</v>
      </c>
      <c r="AE44" s="110">
        <v>7.0000000000000007E-2</v>
      </c>
      <c r="AF44" s="110">
        <v>0.18</v>
      </c>
      <c r="AG44" s="135">
        <v>0.75</v>
      </c>
      <c r="AH44" s="134"/>
    </row>
    <row r="45" spans="3:34" s="128" customFormat="1" ht="40.15" customHeight="1" x14ac:dyDescent="0.2">
      <c r="C45" s="91" t="s">
        <v>276</v>
      </c>
      <c r="D45" s="92"/>
      <c r="E45" s="93" t="s">
        <v>254</v>
      </c>
      <c r="F45" s="92" t="s">
        <v>326</v>
      </c>
      <c r="G45" s="94" t="s">
        <v>398</v>
      </c>
      <c r="H45" s="119">
        <v>41632</v>
      </c>
      <c r="I45" s="120">
        <v>41943</v>
      </c>
      <c r="J45" s="97" t="s">
        <v>418</v>
      </c>
      <c r="K45" s="98">
        <f t="shared" si="0"/>
        <v>2013</v>
      </c>
      <c r="L45" s="121">
        <v>6184</v>
      </c>
      <c r="M45" s="110">
        <v>0</v>
      </c>
      <c r="N45" s="110">
        <f>IF(M45="","",1-M45)</f>
        <v>1</v>
      </c>
      <c r="O45" s="110">
        <v>0</v>
      </c>
      <c r="P45" s="110">
        <v>0</v>
      </c>
      <c r="Q45" s="103">
        <v>1</v>
      </c>
      <c r="R45" s="102">
        <v>1</v>
      </c>
      <c r="S45" s="135">
        <v>0</v>
      </c>
      <c r="T45" s="122">
        <v>3538</v>
      </c>
      <c r="U45" s="123">
        <v>2913</v>
      </c>
      <c r="V45" s="124">
        <v>2238</v>
      </c>
      <c r="W45" s="138">
        <v>0</v>
      </c>
      <c r="X45" s="105">
        <v>0</v>
      </c>
      <c r="Y45" s="97">
        <v>0</v>
      </c>
      <c r="Z45" s="108">
        <v>306018</v>
      </c>
      <c r="AA45" s="109">
        <f t="shared" si="1"/>
        <v>7871.8456591639551</v>
      </c>
      <c r="AB45" s="109">
        <f t="shared" si="3"/>
        <v>298146.15434083604</v>
      </c>
      <c r="AC45" s="109">
        <f t="shared" si="4"/>
        <v>0</v>
      </c>
      <c r="AD45" s="110">
        <v>1</v>
      </c>
      <c r="AE45" s="110">
        <v>0.42000000000000004</v>
      </c>
      <c r="AF45" s="110">
        <v>0.24</v>
      </c>
      <c r="AG45" s="135">
        <v>0.34</v>
      </c>
      <c r="AH45" s="134"/>
    </row>
    <row r="46" spans="3:34" s="128" customFormat="1" ht="40.15" customHeight="1" x14ac:dyDescent="0.2">
      <c r="C46" s="414" t="s">
        <v>763</v>
      </c>
      <c r="D46" s="92"/>
      <c r="E46" s="93" t="s">
        <v>254</v>
      </c>
      <c r="F46" s="92"/>
      <c r="G46" s="94" t="s">
        <v>414</v>
      </c>
      <c r="H46" s="95">
        <v>41064</v>
      </c>
      <c r="I46" s="96">
        <v>41290</v>
      </c>
      <c r="J46" s="97" t="s">
        <v>418</v>
      </c>
      <c r="K46" s="98">
        <f t="shared" si="0"/>
        <v>2012</v>
      </c>
      <c r="L46" s="99">
        <v>11524</v>
      </c>
      <c r="M46" s="110">
        <v>0.22</v>
      </c>
      <c r="N46" s="110">
        <f>IF(M46="","",1-M46)</f>
        <v>0.78</v>
      </c>
      <c r="O46" s="110">
        <v>0</v>
      </c>
      <c r="P46" s="110">
        <v>1</v>
      </c>
      <c r="Q46" s="103">
        <v>0</v>
      </c>
      <c r="R46" s="102">
        <v>1</v>
      </c>
      <c r="S46" s="135">
        <v>0</v>
      </c>
      <c r="T46" s="104">
        <f>6711+2313</f>
        <v>9024</v>
      </c>
      <c r="U46" s="105">
        <f>6711+2313</f>
        <v>9024</v>
      </c>
      <c r="V46" s="106">
        <f>6711+2313</f>
        <v>9024</v>
      </c>
      <c r="W46" s="107">
        <v>2500</v>
      </c>
      <c r="X46" s="105">
        <v>2500</v>
      </c>
      <c r="Y46" s="97">
        <v>2500</v>
      </c>
      <c r="Z46" s="108">
        <v>220000</v>
      </c>
      <c r="AA46" s="109">
        <f t="shared" si="1"/>
        <v>220000</v>
      </c>
      <c r="AB46" s="109">
        <f t="shared" si="3"/>
        <v>0</v>
      </c>
      <c r="AC46" s="109">
        <f t="shared" si="4"/>
        <v>0</v>
      </c>
      <c r="AD46" s="110">
        <v>0.85</v>
      </c>
      <c r="AE46" s="110">
        <v>0.33</v>
      </c>
      <c r="AF46" s="110">
        <v>0.23</v>
      </c>
      <c r="AG46" s="135">
        <v>0.44</v>
      </c>
      <c r="AH46" s="134"/>
    </row>
    <row r="47" spans="3:34" s="128" customFormat="1" ht="40.15" customHeight="1" x14ac:dyDescent="0.2">
      <c r="C47" s="414" t="s">
        <v>763</v>
      </c>
      <c r="D47" s="92"/>
      <c r="E47" s="93" t="s">
        <v>254</v>
      </c>
      <c r="F47" s="92"/>
      <c r="G47" s="94" t="s">
        <v>414</v>
      </c>
      <c r="H47" s="95">
        <v>41240</v>
      </c>
      <c r="I47" s="96">
        <v>41331</v>
      </c>
      <c r="J47" s="97" t="s">
        <v>418</v>
      </c>
      <c r="K47" s="98">
        <f t="shared" si="0"/>
        <v>2012</v>
      </c>
      <c r="L47" s="99">
        <v>7000</v>
      </c>
      <c r="M47" s="110">
        <v>0</v>
      </c>
      <c r="N47" s="110">
        <v>1</v>
      </c>
      <c r="O47" s="110">
        <v>0</v>
      </c>
      <c r="P47" s="110">
        <v>1</v>
      </c>
      <c r="Q47" s="103">
        <v>0</v>
      </c>
      <c r="R47" s="102">
        <v>1</v>
      </c>
      <c r="S47" s="135">
        <v>0</v>
      </c>
      <c r="T47" s="104">
        <v>7000</v>
      </c>
      <c r="U47" s="105">
        <v>7000</v>
      </c>
      <c r="V47" s="106">
        <v>7000</v>
      </c>
      <c r="W47" s="107"/>
      <c r="X47" s="105"/>
      <c r="Y47" s="97"/>
      <c r="Z47" s="108">
        <v>158854</v>
      </c>
      <c r="AA47" s="109">
        <f t="shared" si="1"/>
        <v>158854</v>
      </c>
      <c r="AB47" s="109">
        <f t="shared" si="3"/>
        <v>0</v>
      </c>
      <c r="AC47" s="109">
        <f t="shared" si="4"/>
        <v>0</v>
      </c>
      <c r="AD47" s="110">
        <v>1</v>
      </c>
      <c r="AE47" s="110">
        <f>(10950+71640+14328)/(10950+1556+71640+1500+1365+14328)</f>
        <v>0.95637415012976246</v>
      </c>
      <c r="AF47" s="110">
        <f>(1556)/(10950+1556+71640+1500+1365+14328)</f>
        <v>1.5354404523431255E-2</v>
      </c>
      <c r="AG47" s="135">
        <f>(1500+1365)/(10950+1556+71640+1500+1365+14328)</f>
        <v>2.8271445346806263E-2</v>
      </c>
      <c r="AH47" s="134"/>
    </row>
    <row r="48" spans="3:34" s="128" customFormat="1" ht="40.15" customHeight="1" x14ac:dyDescent="0.2">
      <c r="C48" s="414" t="s">
        <v>763</v>
      </c>
      <c r="D48" s="92"/>
      <c r="E48" s="93" t="s">
        <v>323</v>
      </c>
      <c r="F48" s="92"/>
      <c r="G48" s="94" t="s">
        <v>415</v>
      </c>
      <c r="H48" s="139">
        <v>41426</v>
      </c>
      <c r="I48" s="140">
        <v>41790</v>
      </c>
      <c r="J48" s="141" t="s">
        <v>418</v>
      </c>
      <c r="K48" s="142">
        <f t="shared" si="0"/>
        <v>2013</v>
      </c>
      <c r="L48" s="99">
        <v>13020</v>
      </c>
      <c r="M48" s="110">
        <f>7900/L48</f>
        <v>0.60675883256528418</v>
      </c>
      <c r="N48" s="110">
        <f t="shared" ref="N48:N62" si="28">IF(M48="","",1-M48)</f>
        <v>0.39324116743471582</v>
      </c>
      <c r="O48" s="110">
        <v>0</v>
      </c>
      <c r="P48" s="110">
        <v>1</v>
      </c>
      <c r="Q48" s="103">
        <v>0</v>
      </c>
      <c r="R48" s="102">
        <v>1</v>
      </c>
      <c r="S48" s="135">
        <v>0</v>
      </c>
      <c r="T48" s="104">
        <v>5120</v>
      </c>
      <c r="U48" s="105">
        <f>5120+7900</f>
        <v>13020</v>
      </c>
      <c r="V48" s="106">
        <v>5120</v>
      </c>
      <c r="W48" s="107">
        <v>0</v>
      </c>
      <c r="X48" s="105">
        <v>0</v>
      </c>
      <c r="Y48" s="97">
        <v>0</v>
      </c>
      <c r="Z48" s="108">
        <v>796569</v>
      </c>
      <c r="AA48" s="109">
        <f t="shared" si="1"/>
        <v>468312.54395604396</v>
      </c>
      <c r="AB48" s="109">
        <f t="shared" si="3"/>
        <v>328256.45604395604</v>
      </c>
      <c r="AC48" s="109">
        <f t="shared" si="4"/>
        <v>0</v>
      </c>
      <c r="AD48" s="110">
        <v>1</v>
      </c>
      <c r="AE48" s="110">
        <v>0.23</v>
      </c>
      <c r="AF48" s="110">
        <v>0.01</v>
      </c>
      <c r="AG48" s="135">
        <v>0.19</v>
      </c>
      <c r="AH48" s="134" t="s">
        <v>416</v>
      </c>
    </row>
    <row r="49" spans="2:34" s="128" customFormat="1" ht="40.15" customHeight="1" x14ac:dyDescent="0.2">
      <c r="C49" s="414" t="s">
        <v>763</v>
      </c>
      <c r="D49" s="92"/>
      <c r="E49" s="93" t="s">
        <v>329</v>
      </c>
      <c r="F49" s="92"/>
      <c r="G49" s="94" t="s">
        <v>417</v>
      </c>
      <c r="H49" s="139">
        <v>40912</v>
      </c>
      <c r="I49" s="140">
        <v>41032</v>
      </c>
      <c r="J49" s="97" t="s">
        <v>418</v>
      </c>
      <c r="K49" s="142">
        <f t="shared" si="0"/>
        <v>2012</v>
      </c>
      <c r="L49" s="99">
        <v>7280</v>
      </c>
      <c r="M49" s="110">
        <v>0</v>
      </c>
      <c r="N49" s="110">
        <f t="shared" si="28"/>
        <v>1</v>
      </c>
      <c r="O49" s="110">
        <v>0</v>
      </c>
      <c r="P49" s="110">
        <v>1</v>
      </c>
      <c r="Q49" s="103">
        <v>0</v>
      </c>
      <c r="R49" s="102">
        <v>1</v>
      </c>
      <c r="S49" s="135">
        <v>0</v>
      </c>
      <c r="T49" s="104">
        <v>4500</v>
      </c>
      <c r="U49" s="105">
        <v>0</v>
      </c>
      <c r="V49" s="106">
        <v>7280</v>
      </c>
      <c r="W49" s="107">
        <v>0</v>
      </c>
      <c r="X49" s="105">
        <v>0</v>
      </c>
      <c r="Y49" s="97">
        <v>0</v>
      </c>
      <c r="Z49" s="108">
        <v>197000</v>
      </c>
      <c r="AA49" s="109">
        <f t="shared" si="1"/>
        <v>197000</v>
      </c>
      <c r="AB49" s="109">
        <f t="shared" si="3"/>
        <v>0</v>
      </c>
      <c r="AC49" s="109">
        <f t="shared" si="4"/>
        <v>0</v>
      </c>
      <c r="AD49" s="110">
        <v>1</v>
      </c>
      <c r="AE49" s="110">
        <v>0.05</v>
      </c>
      <c r="AF49" s="110">
        <v>0</v>
      </c>
      <c r="AG49" s="135">
        <v>0.95</v>
      </c>
      <c r="AH49" s="134"/>
    </row>
    <row r="50" spans="2:34" s="128" customFormat="1" ht="40.15" customHeight="1" x14ac:dyDescent="0.2">
      <c r="C50" s="414" t="s">
        <v>763</v>
      </c>
      <c r="D50" s="92"/>
      <c r="E50" s="93" t="s">
        <v>323</v>
      </c>
      <c r="F50" s="92" t="s">
        <v>419</v>
      </c>
      <c r="G50" s="94" t="s">
        <v>415</v>
      </c>
      <c r="H50" s="139">
        <v>41115</v>
      </c>
      <c r="I50" s="140">
        <v>41449</v>
      </c>
      <c r="J50" s="97" t="s">
        <v>418</v>
      </c>
      <c r="K50" s="142">
        <f t="shared" si="0"/>
        <v>2012</v>
      </c>
      <c r="L50" s="99">
        <v>35714</v>
      </c>
      <c r="M50" s="110">
        <f>22558/L50</f>
        <v>0.63162905303242423</v>
      </c>
      <c r="N50" s="110">
        <f t="shared" si="28"/>
        <v>0.36837094696757577</v>
      </c>
      <c r="O50" s="110">
        <v>0</v>
      </c>
      <c r="P50" s="110">
        <v>1</v>
      </c>
      <c r="Q50" s="103">
        <v>0</v>
      </c>
      <c r="R50" s="102">
        <v>1</v>
      </c>
      <c r="S50" s="135">
        <v>0</v>
      </c>
      <c r="T50" s="104">
        <v>13773</v>
      </c>
      <c r="U50" s="105">
        <v>13667</v>
      </c>
      <c r="V50" s="106">
        <v>29447</v>
      </c>
      <c r="W50" s="107">
        <v>0</v>
      </c>
      <c r="X50" s="105">
        <v>0</v>
      </c>
      <c r="Y50" s="97">
        <v>0</v>
      </c>
      <c r="Z50" s="108">
        <v>504350</v>
      </c>
      <c r="AA50" s="109">
        <f t="shared" si="1"/>
        <v>504350</v>
      </c>
      <c r="AB50" s="109">
        <f t="shared" si="3"/>
        <v>0</v>
      </c>
      <c r="AC50" s="109">
        <f t="shared" si="4"/>
        <v>0</v>
      </c>
      <c r="AD50" s="110">
        <v>1</v>
      </c>
      <c r="AE50" s="110">
        <f>(120929+20458)/356642</f>
        <v>0.39643956684854842</v>
      </c>
      <c r="AF50" s="110">
        <f>17928/356642</f>
        <v>5.0268897101294854E-2</v>
      </c>
      <c r="AG50" s="135">
        <f>71328/356642</f>
        <v>0.19999887842710617</v>
      </c>
      <c r="AH50" s="134" t="s">
        <v>420</v>
      </c>
    </row>
    <row r="51" spans="2:34" s="128" customFormat="1" ht="40.15" customHeight="1" x14ac:dyDescent="0.2">
      <c r="C51" s="414" t="s">
        <v>763</v>
      </c>
      <c r="D51" s="92"/>
      <c r="E51" s="93" t="s">
        <v>323</v>
      </c>
      <c r="F51" s="92"/>
      <c r="G51" s="94" t="s">
        <v>717</v>
      </c>
      <c r="H51" s="139">
        <v>41883</v>
      </c>
      <c r="I51" s="140">
        <v>42246</v>
      </c>
      <c r="J51" s="97" t="s">
        <v>232</v>
      </c>
      <c r="K51" s="142">
        <v>2014</v>
      </c>
      <c r="L51" s="99">
        <v>22403</v>
      </c>
      <c r="M51" s="110">
        <v>0.64027139222425566</v>
      </c>
      <c r="N51" s="110">
        <v>0.35972860777574434</v>
      </c>
      <c r="O51" s="110">
        <v>0</v>
      </c>
      <c r="P51" s="110">
        <v>1</v>
      </c>
      <c r="Q51" s="103">
        <v>0</v>
      </c>
      <c r="R51" s="102">
        <v>1</v>
      </c>
      <c r="S51" s="135">
        <v>0</v>
      </c>
      <c r="T51" s="104">
        <v>22403</v>
      </c>
      <c r="U51" s="105">
        <v>22403</v>
      </c>
      <c r="V51" s="106">
        <v>22403</v>
      </c>
      <c r="W51" s="107">
        <v>0</v>
      </c>
      <c r="X51" s="105">
        <v>0</v>
      </c>
      <c r="Y51" s="97">
        <v>0</v>
      </c>
      <c r="Z51" s="108">
        <v>649786</v>
      </c>
      <c r="AA51" s="109">
        <f t="shared" ref="AA51" si="29">Z51-(AB51+AC51)</f>
        <v>0</v>
      </c>
      <c r="AB51" s="109">
        <f t="shared" ref="AB51" si="30">IF(I51&lt;$C$1,0,IF(H51&gt;$C$1,Z51-AC51,(I51-$C$1)/(I51-H51)*Z51-AC51))</f>
        <v>216595.33333333337</v>
      </c>
      <c r="AC51" s="109">
        <f t="shared" ref="AC51" si="31">IF(I51&lt;$D$1,0,IF(H51&gt;$D$1,Z51,(I51-$D$1)/(I51-H51)*Z51))</f>
        <v>433190.66666666663</v>
      </c>
      <c r="AD51" s="110">
        <v>1</v>
      </c>
      <c r="AE51" s="110">
        <v>0.36</v>
      </c>
      <c r="AF51" s="110">
        <v>0.02</v>
      </c>
      <c r="AG51" s="135">
        <v>0.62</v>
      </c>
      <c r="AH51" s="134" t="s">
        <v>718</v>
      </c>
    </row>
    <row r="52" spans="2:34" s="128" customFormat="1" ht="40.15" customHeight="1" x14ac:dyDescent="0.2">
      <c r="C52" s="414" t="s">
        <v>763</v>
      </c>
      <c r="D52" s="92"/>
      <c r="E52" s="93" t="s">
        <v>399</v>
      </c>
      <c r="F52" s="92"/>
      <c r="G52" s="94" t="s">
        <v>421</v>
      </c>
      <c r="H52" s="139">
        <v>41640</v>
      </c>
      <c r="I52" s="140">
        <v>41820</v>
      </c>
      <c r="J52" s="141" t="s">
        <v>418</v>
      </c>
      <c r="K52" s="142">
        <f t="shared" si="0"/>
        <v>2014</v>
      </c>
      <c r="L52" s="99">
        <v>3000</v>
      </c>
      <c r="M52" s="110">
        <v>0.5</v>
      </c>
      <c r="N52" s="110">
        <f t="shared" si="28"/>
        <v>0.5</v>
      </c>
      <c r="O52" s="110">
        <v>0</v>
      </c>
      <c r="P52" s="110">
        <v>1</v>
      </c>
      <c r="Q52" s="103">
        <v>0</v>
      </c>
      <c r="R52" s="102">
        <v>1</v>
      </c>
      <c r="S52" s="135">
        <v>0</v>
      </c>
      <c r="T52" s="104">
        <v>3000</v>
      </c>
      <c r="U52" s="105">
        <v>3000</v>
      </c>
      <c r="V52" s="106">
        <v>3000</v>
      </c>
      <c r="W52" s="107">
        <v>0</v>
      </c>
      <c r="X52" s="105">
        <v>0</v>
      </c>
      <c r="Y52" s="97">
        <v>0</v>
      </c>
      <c r="Z52" s="108">
        <v>78945</v>
      </c>
      <c r="AA52" s="109">
        <f t="shared" si="1"/>
        <v>0</v>
      </c>
      <c r="AB52" s="109">
        <f t="shared" si="3"/>
        <v>78945</v>
      </c>
      <c r="AC52" s="109">
        <f t="shared" si="4"/>
        <v>0</v>
      </c>
      <c r="AD52" s="110">
        <v>1</v>
      </c>
      <c r="AE52" s="110">
        <v>0.33</v>
      </c>
      <c r="AF52" s="110">
        <v>0.33</v>
      </c>
      <c r="AG52" s="135">
        <v>0.33</v>
      </c>
      <c r="AH52" s="134"/>
    </row>
    <row r="53" spans="2:34" s="128" customFormat="1" ht="40.15" customHeight="1" x14ac:dyDescent="0.2">
      <c r="C53" s="414" t="s">
        <v>763</v>
      </c>
      <c r="D53" s="92" t="s">
        <v>764</v>
      </c>
      <c r="E53" s="93" t="s">
        <v>399</v>
      </c>
      <c r="F53" s="92"/>
      <c r="G53" s="94" t="s">
        <v>719</v>
      </c>
      <c r="H53" s="139">
        <v>41883</v>
      </c>
      <c r="I53" s="140">
        <v>42277</v>
      </c>
      <c r="J53" s="141" t="s">
        <v>232</v>
      </c>
      <c r="K53" s="142">
        <v>2014</v>
      </c>
      <c r="L53" s="416">
        <v>5000</v>
      </c>
      <c r="M53" s="422">
        <v>0.5</v>
      </c>
      <c r="N53" s="422">
        <v>0.5</v>
      </c>
      <c r="O53" s="422">
        <v>0.5</v>
      </c>
      <c r="P53" s="422">
        <v>0.25</v>
      </c>
      <c r="Q53" s="423">
        <v>0.25</v>
      </c>
      <c r="R53" s="417">
        <v>0.5</v>
      </c>
      <c r="S53" s="418">
        <v>0.5</v>
      </c>
      <c r="T53" s="419">
        <v>5000</v>
      </c>
      <c r="U53" s="420">
        <v>5000</v>
      </c>
      <c r="V53" s="421">
        <v>5000</v>
      </c>
      <c r="W53" s="107">
        <v>0</v>
      </c>
      <c r="X53" s="105">
        <v>0</v>
      </c>
      <c r="Y53" s="97">
        <v>0</v>
      </c>
      <c r="Z53" s="108">
        <v>267190</v>
      </c>
      <c r="AA53" s="109">
        <f t="shared" ref="AA53" si="32">Z53-(AB53+AC53)</f>
        <v>0</v>
      </c>
      <c r="AB53" s="109">
        <f t="shared" ref="AB53" si="33">IF(I53&lt;$C$1,0,IF(H53&gt;$C$1,Z53-AC53,(I53-$C$1)/(I53-H53)*Z53-AC53))</f>
        <v>82055.812182741123</v>
      </c>
      <c r="AC53" s="109">
        <f t="shared" ref="AC53" si="34">IF(I53&lt;$D$1,0,IF(H53&gt;$D$1,Z53,(I53-$D$1)/(I53-H53)*Z53))</f>
        <v>185134.18781725888</v>
      </c>
      <c r="AD53" s="110"/>
      <c r="AE53" s="110">
        <v>0.3</v>
      </c>
      <c r="AF53" s="110">
        <v>0.3</v>
      </c>
      <c r="AG53" s="135">
        <v>0.4</v>
      </c>
      <c r="AH53" s="134" t="s">
        <v>720</v>
      </c>
    </row>
    <row r="54" spans="2:34" s="128" customFormat="1" ht="40.15" customHeight="1" x14ac:dyDescent="0.2">
      <c r="C54" s="414" t="s">
        <v>763</v>
      </c>
      <c r="D54" s="92"/>
      <c r="E54" s="93" t="s">
        <v>254</v>
      </c>
      <c r="F54" s="92"/>
      <c r="G54" s="94" t="s">
        <v>422</v>
      </c>
      <c r="H54" s="143">
        <v>41632</v>
      </c>
      <c r="I54" s="144">
        <v>41874</v>
      </c>
      <c r="J54" s="145" t="s">
        <v>418</v>
      </c>
      <c r="K54" s="146">
        <f t="shared" si="0"/>
        <v>2013</v>
      </c>
      <c r="L54" s="99">
        <v>11774</v>
      </c>
      <c r="M54" s="110">
        <v>0.9</v>
      </c>
      <c r="N54" s="110">
        <f t="shared" si="28"/>
        <v>9.9999999999999978E-2</v>
      </c>
      <c r="O54" s="110">
        <v>0</v>
      </c>
      <c r="P54" s="110">
        <v>1</v>
      </c>
      <c r="Q54" s="103">
        <v>0</v>
      </c>
      <c r="R54" s="102">
        <v>1</v>
      </c>
      <c r="S54" s="135">
        <v>0</v>
      </c>
      <c r="T54" s="104">
        <v>1250</v>
      </c>
      <c r="U54" s="105">
        <v>1250</v>
      </c>
      <c r="V54" s="106">
        <v>0</v>
      </c>
      <c r="W54" s="107">
        <v>0</v>
      </c>
      <c r="X54" s="105">
        <v>0</v>
      </c>
      <c r="Y54" s="97">
        <v>0</v>
      </c>
      <c r="Z54" s="108">
        <v>249000</v>
      </c>
      <c r="AA54" s="109">
        <f t="shared" si="1"/>
        <v>8231.4049586776819</v>
      </c>
      <c r="AB54" s="109">
        <f t="shared" si="3"/>
        <v>240768.59504132232</v>
      </c>
      <c r="AC54" s="109">
        <f t="shared" si="4"/>
        <v>0</v>
      </c>
      <c r="AD54" s="110">
        <v>1</v>
      </c>
      <c r="AE54" s="110">
        <v>0.25</v>
      </c>
      <c r="AF54" s="110">
        <v>0.64</v>
      </c>
      <c r="AG54" s="135">
        <v>0.11</v>
      </c>
      <c r="AH54" s="134"/>
    </row>
    <row r="55" spans="2:34" s="128" customFormat="1" ht="40.15" customHeight="1" x14ac:dyDescent="0.2">
      <c r="C55" s="414" t="s">
        <v>763</v>
      </c>
      <c r="D55" s="92"/>
      <c r="E55" s="93" t="s">
        <v>254</v>
      </c>
      <c r="F55" s="92"/>
      <c r="G55" s="94" t="s">
        <v>691</v>
      </c>
      <c r="H55" s="143">
        <v>41928</v>
      </c>
      <c r="I55" s="144">
        <v>42109</v>
      </c>
      <c r="J55" s="145" t="s">
        <v>232</v>
      </c>
      <c r="K55" s="146">
        <f t="shared" si="0"/>
        <v>2014</v>
      </c>
      <c r="L55" s="99">
        <v>1250</v>
      </c>
      <c r="M55" s="110">
        <v>0.9</v>
      </c>
      <c r="N55" s="110">
        <f t="shared" si="28"/>
        <v>9.9999999999999978E-2</v>
      </c>
      <c r="O55" s="110">
        <v>0</v>
      </c>
      <c r="P55" s="110">
        <v>1</v>
      </c>
      <c r="Q55" s="103">
        <v>0</v>
      </c>
      <c r="R55" s="102">
        <v>1</v>
      </c>
      <c r="S55" s="135">
        <v>0</v>
      </c>
      <c r="T55" s="104">
        <v>1250</v>
      </c>
      <c r="U55" s="105">
        <v>1250</v>
      </c>
      <c r="V55" s="106">
        <v>0</v>
      </c>
      <c r="W55" s="107">
        <v>0</v>
      </c>
      <c r="X55" s="105">
        <v>0</v>
      </c>
      <c r="Y55" s="97">
        <v>0</v>
      </c>
      <c r="Z55" s="108">
        <v>249000</v>
      </c>
      <c r="AA55" s="109">
        <f t="shared" si="1"/>
        <v>0</v>
      </c>
      <c r="AB55" s="109">
        <f t="shared" si="3"/>
        <v>104552.48618784532</v>
      </c>
      <c r="AC55" s="109">
        <f t="shared" si="4"/>
        <v>144447.51381215468</v>
      </c>
      <c r="AD55" s="110">
        <v>1</v>
      </c>
      <c r="AE55" s="110">
        <v>0.25</v>
      </c>
      <c r="AF55" s="110">
        <v>0.64</v>
      </c>
      <c r="AG55" s="135">
        <v>0.11</v>
      </c>
      <c r="AH55" s="134"/>
    </row>
    <row r="56" spans="2:34" s="128" customFormat="1" ht="40.15" customHeight="1" x14ac:dyDescent="0.2">
      <c r="C56" s="414" t="s">
        <v>763</v>
      </c>
      <c r="D56" s="92"/>
      <c r="E56" s="93" t="s">
        <v>325</v>
      </c>
      <c r="F56" s="92"/>
      <c r="G56" s="94" t="s">
        <v>474</v>
      </c>
      <c r="H56" s="143">
        <v>41760</v>
      </c>
      <c r="I56" s="144">
        <v>42124</v>
      </c>
      <c r="J56" s="145" t="s">
        <v>232</v>
      </c>
      <c r="K56" s="146">
        <f t="shared" si="0"/>
        <v>2014</v>
      </c>
      <c r="L56" s="99">
        <v>6905</v>
      </c>
      <c r="M56" s="110">
        <v>0.3</v>
      </c>
      <c r="N56" s="110">
        <f t="shared" si="28"/>
        <v>0.7</v>
      </c>
      <c r="O56" s="110">
        <v>0</v>
      </c>
      <c r="P56" s="110">
        <v>1</v>
      </c>
      <c r="Q56" s="103">
        <v>0</v>
      </c>
      <c r="R56" s="102">
        <v>1</v>
      </c>
      <c r="S56" s="135">
        <v>0</v>
      </c>
      <c r="T56" s="104">
        <v>6905</v>
      </c>
      <c r="U56" s="105">
        <v>6905</v>
      </c>
      <c r="V56" s="106">
        <v>6905</v>
      </c>
      <c r="W56" s="107">
        <v>0</v>
      </c>
      <c r="X56" s="105">
        <v>0</v>
      </c>
      <c r="Y56" s="97">
        <v>0</v>
      </c>
      <c r="Z56" s="108">
        <v>469947</v>
      </c>
      <c r="AA56" s="109">
        <f t="shared" si="1"/>
        <v>0</v>
      </c>
      <c r="AB56" s="109">
        <f t="shared" si="3"/>
        <v>315019.41758241761</v>
      </c>
      <c r="AC56" s="109">
        <f t="shared" si="4"/>
        <v>154927.58241758242</v>
      </c>
      <c r="AD56" s="110">
        <v>1</v>
      </c>
      <c r="AE56" s="110">
        <v>0.56999999999999995</v>
      </c>
      <c r="AF56" s="110">
        <v>0.16</v>
      </c>
      <c r="AG56" s="135">
        <v>0.12</v>
      </c>
      <c r="AH56" s="134"/>
    </row>
    <row r="57" spans="2:34" s="128" customFormat="1" ht="40.15" customHeight="1" x14ac:dyDescent="0.2">
      <c r="C57" s="414" t="s">
        <v>763</v>
      </c>
      <c r="D57" s="393"/>
      <c r="E57" s="394" t="s">
        <v>325</v>
      </c>
      <c r="F57" s="399"/>
      <c r="G57" s="395" t="s">
        <v>474</v>
      </c>
      <c r="H57" s="396">
        <v>42125</v>
      </c>
      <c r="I57" s="397">
        <v>42489</v>
      </c>
      <c r="J57" s="398" t="s">
        <v>232</v>
      </c>
      <c r="K57" s="146">
        <f t="shared" si="0"/>
        <v>2015</v>
      </c>
      <c r="L57" s="424">
        <v>15447</v>
      </c>
      <c r="M57" s="431">
        <v>0.57999999999999996</v>
      </c>
      <c r="N57" s="431">
        <v>0.42</v>
      </c>
      <c r="O57" s="431">
        <v>0</v>
      </c>
      <c r="P57" s="431">
        <v>1</v>
      </c>
      <c r="Q57" s="432">
        <v>0</v>
      </c>
      <c r="R57" s="433">
        <v>1</v>
      </c>
      <c r="S57" s="434">
        <v>0</v>
      </c>
      <c r="T57" s="427">
        <v>15447</v>
      </c>
      <c r="U57" s="428">
        <v>15447</v>
      </c>
      <c r="V57" s="429">
        <v>15447</v>
      </c>
      <c r="W57" s="425">
        <v>0</v>
      </c>
      <c r="X57" s="426">
        <v>0</v>
      </c>
      <c r="Y57" s="430">
        <v>0</v>
      </c>
      <c r="Z57" s="108">
        <v>1000000</v>
      </c>
      <c r="AA57" s="109">
        <f t="shared" ref="AA57" si="35">Z57-(AB57+AC57)</f>
        <v>0</v>
      </c>
      <c r="AB57" s="109">
        <f t="shared" ref="AB57" si="36">IF(I57&lt;$C$1,0,IF(H57&gt;$C$1,Z57-AC57,(I57-$C$1)/(I57-H57)*Z57-AC57))</f>
        <v>0</v>
      </c>
      <c r="AC57" s="109">
        <f t="shared" ref="AC57" si="37">IF(I57&lt;$D$1,0,IF(H57&gt;$D$1,Z57,(I57-$D$1)/(I57-H57)*Z57))</f>
        <v>1000000</v>
      </c>
      <c r="AD57" s="110"/>
      <c r="AE57" s="110"/>
      <c r="AF57" s="110"/>
      <c r="AG57" s="135"/>
      <c r="AH57" s="134"/>
    </row>
    <row r="58" spans="2:34" s="128" customFormat="1" ht="40.15" customHeight="1" x14ac:dyDescent="0.2">
      <c r="C58" s="414" t="s">
        <v>763</v>
      </c>
      <c r="D58" s="407"/>
      <c r="E58" s="408" t="s">
        <v>323</v>
      </c>
      <c r="F58" s="407"/>
      <c r="G58" s="400" t="s">
        <v>717</v>
      </c>
      <c r="H58" s="404">
        <v>42248</v>
      </c>
      <c r="I58" s="405">
        <v>42521</v>
      </c>
      <c r="J58" s="406" t="s">
        <v>429</v>
      </c>
      <c r="K58" s="146">
        <f t="shared" si="0"/>
        <v>2015</v>
      </c>
      <c r="L58" s="391">
        <v>17285</v>
      </c>
      <c r="M58" s="410">
        <v>0.41</v>
      </c>
      <c r="N58" s="110">
        <f t="shared" si="28"/>
        <v>0.59000000000000008</v>
      </c>
      <c r="O58" s="410">
        <v>0</v>
      </c>
      <c r="P58" s="410">
        <v>1</v>
      </c>
      <c r="Q58" s="411">
        <v>0</v>
      </c>
      <c r="R58" s="412">
        <v>0.88</v>
      </c>
      <c r="S58" s="413">
        <v>0.11</v>
      </c>
      <c r="T58" s="401">
        <v>15375</v>
      </c>
      <c r="U58" s="402">
        <v>15375</v>
      </c>
      <c r="V58" s="403">
        <v>15375</v>
      </c>
      <c r="W58" s="392">
        <v>1910</v>
      </c>
      <c r="X58" s="390">
        <v>1910</v>
      </c>
      <c r="Y58" s="409">
        <v>1910</v>
      </c>
      <c r="Z58" s="415"/>
      <c r="AA58" s="109">
        <f t="shared" ref="AA58" si="38">Z58-(AB58+AC58)</f>
        <v>0</v>
      </c>
      <c r="AB58" s="109">
        <f t="shared" ref="AB58" si="39">IF(I58&lt;$C$1,0,IF(H58&gt;$C$1,Z58-AC58,(I58-$C$1)/(I58-H58)*Z58-AC58))</f>
        <v>0</v>
      </c>
      <c r="AC58" s="109">
        <f t="shared" ref="AC58" si="40">IF(I58&lt;$D$1,0,IF(H58&gt;$D$1,Z58,(I58-$D$1)/(I58-H58)*Z58))</f>
        <v>0</v>
      </c>
      <c r="AD58" s="110"/>
      <c r="AE58" s="110"/>
      <c r="AF58" s="110"/>
      <c r="AG58" s="135"/>
      <c r="AH58" s="134"/>
    </row>
    <row r="59" spans="2:34" s="128" customFormat="1" ht="40.15" customHeight="1" x14ac:dyDescent="0.2">
      <c r="C59" s="147" t="s">
        <v>423</v>
      </c>
      <c r="D59" s="148" t="s">
        <v>231</v>
      </c>
      <c r="E59" s="149" t="s">
        <v>424</v>
      </c>
      <c r="F59" s="148"/>
      <c r="G59" s="150" t="s">
        <v>425</v>
      </c>
      <c r="H59" s="151">
        <v>41456</v>
      </c>
      <c r="I59" s="152">
        <v>41729</v>
      </c>
      <c r="J59" s="153" t="s">
        <v>418</v>
      </c>
      <c r="K59" s="146">
        <f t="shared" si="0"/>
        <v>2013</v>
      </c>
      <c r="L59" s="154">
        <v>9561</v>
      </c>
      <c r="M59" s="155">
        <v>0.2</v>
      </c>
      <c r="N59" s="155">
        <f t="shared" si="28"/>
        <v>0.8</v>
      </c>
      <c r="O59" s="155"/>
      <c r="P59" s="155"/>
      <c r="Q59" s="156"/>
      <c r="R59" s="157">
        <v>1</v>
      </c>
      <c r="S59" s="165">
        <v>0</v>
      </c>
      <c r="T59" s="158">
        <v>5383</v>
      </c>
      <c r="U59" s="159">
        <v>1844</v>
      </c>
      <c r="V59" s="160">
        <v>9066</v>
      </c>
      <c r="W59" s="161">
        <v>0</v>
      </c>
      <c r="X59" s="159">
        <v>0</v>
      </c>
      <c r="Y59" s="162">
        <v>0</v>
      </c>
      <c r="Z59" s="163">
        <v>245165</v>
      </c>
      <c r="AA59" s="164">
        <f t="shared" si="1"/>
        <v>165239.41391941393</v>
      </c>
      <c r="AB59" s="164">
        <f t="shared" si="3"/>
        <v>79925.586080586087</v>
      </c>
      <c r="AC59" s="164">
        <f t="shared" si="4"/>
        <v>0</v>
      </c>
      <c r="AD59" s="155">
        <v>1</v>
      </c>
      <c r="AE59" s="155">
        <v>0.38</v>
      </c>
      <c r="AF59" s="155">
        <v>0.11</v>
      </c>
      <c r="AG59" s="165">
        <v>0.51</v>
      </c>
      <c r="AH59" s="166"/>
    </row>
    <row r="60" spans="2:34" s="128" customFormat="1" ht="40.15" customHeight="1" thickBot="1" x14ac:dyDescent="0.25">
      <c r="C60" s="147" t="s">
        <v>423</v>
      </c>
      <c r="D60" s="148" t="s">
        <v>231</v>
      </c>
      <c r="E60" s="149" t="s">
        <v>424</v>
      </c>
      <c r="F60" s="148"/>
      <c r="G60" s="94" t="s">
        <v>804</v>
      </c>
      <c r="H60" s="95">
        <v>42156</v>
      </c>
      <c r="I60" s="96">
        <v>42369</v>
      </c>
      <c r="J60" s="97" t="s">
        <v>232</v>
      </c>
      <c r="K60" s="98">
        <f t="shared" si="0"/>
        <v>2015</v>
      </c>
      <c r="L60" s="99">
        <v>6432</v>
      </c>
      <c r="M60" s="110">
        <v>0.31</v>
      </c>
      <c r="N60" s="110">
        <v>0.69</v>
      </c>
      <c r="O60" s="110">
        <v>0.14000000000000001</v>
      </c>
      <c r="P60" s="110">
        <v>0.01</v>
      </c>
      <c r="Q60" s="103">
        <v>0.85</v>
      </c>
      <c r="R60" s="102">
        <v>1</v>
      </c>
      <c r="S60" s="135">
        <v>0</v>
      </c>
      <c r="T60" s="104">
        <v>2858</v>
      </c>
      <c r="U60" s="105">
        <v>1972</v>
      </c>
      <c r="V60" s="106">
        <v>6432</v>
      </c>
      <c r="W60" s="107">
        <v>0</v>
      </c>
      <c r="X60" s="105">
        <v>0</v>
      </c>
      <c r="Y60" s="97">
        <v>0</v>
      </c>
      <c r="Z60" s="108">
        <v>154118</v>
      </c>
      <c r="AA60" s="164">
        <f t="shared" ref="AA60" si="41">Z60-(AB60+AC60)</f>
        <v>0</v>
      </c>
      <c r="AB60" s="164">
        <f t="shared" ref="AB60" si="42">IF(I60&lt;$C$1,0,IF(H60&gt;$C$1,Z60-AC60,(I60-$C$1)/(I60-H60)*Z60-AC60))</f>
        <v>0</v>
      </c>
      <c r="AC60" s="164">
        <f t="shared" ref="AC60" si="43">IF(I60&lt;$D$1,0,IF(H60&gt;$D$1,Z60,(I60-$D$1)/(I60-H60)*Z60))</f>
        <v>154118</v>
      </c>
      <c r="AD60" s="155">
        <v>1</v>
      </c>
      <c r="AE60" s="155">
        <v>0.32</v>
      </c>
      <c r="AF60" s="155">
        <v>0.59</v>
      </c>
      <c r="AG60" s="165">
        <v>0.04</v>
      </c>
      <c r="AH60" s="166"/>
    </row>
    <row r="61" spans="2:34" s="128" customFormat="1" ht="40.15" customHeight="1" x14ac:dyDescent="0.2">
      <c r="B61" s="857" t="s">
        <v>612</v>
      </c>
      <c r="C61" s="167" t="s">
        <v>254</v>
      </c>
      <c r="D61" s="168"/>
      <c r="E61" s="169" t="s">
        <v>330</v>
      </c>
      <c r="F61" s="168"/>
      <c r="G61" s="170" t="s">
        <v>426</v>
      </c>
      <c r="H61" s="171">
        <v>41277</v>
      </c>
      <c r="I61" s="172">
        <v>41305</v>
      </c>
      <c r="J61" s="173" t="s">
        <v>418</v>
      </c>
      <c r="K61" s="174">
        <f t="shared" si="0"/>
        <v>2013</v>
      </c>
      <c r="L61" s="175">
        <v>0</v>
      </c>
      <c r="M61" s="176">
        <v>0.5</v>
      </c>
      <c r="N61" s="176">
        <f t="shared" si="28"/>
        <v>0.5</v>
      </c>
      <c r="O61" s="176">
        <v>0.33</v>
      </c>
      <c r="P61" s="176">
        <v>0.33</v>
      </c>
      <c r="Q61" s="177">
        <v>0.33</v>
      </c>
      <c r="R61" s="178">
        <v>1</v>
      </c>
      <c r="S61" s="181">
        <v>0</v>
      </c>
      <c r="T61" s="533"/>
      <c r="U61" s="534"/>
      <c r="V61" s="535"/>
      <c r="W61" s="536"/>
      <c r="X61" s="534"/>
      <c r="Y61" s="537"/>
      <c r="Z61" s="179">
        <v>106270</v>
      </c>
      <c r="AA61" s="180">
        <f t="shared" si="1"/>
        <v>106270</v>
      </c>
      <c r="AB61" s="180">
        <f t="shared" si="3"/>
        <v>0</v>
      </c>
      <c r="AC61" s="180">
        <f t="shared" si="4"/>
        <v>0</v>
      </c>
      <c r="AD61" s="176">
        <v>1</v>
      </c>
      <c r="AE61" s="176">
        <v>0.33</v>
      </c>
      <c r="AF61" s="176">
        <v>0.33</v>
      </c>
      <c r="AG61" s="181">
        <v>0.33</v>
      </c>
      <c r="AH61" s="182"/>
    </row>
    <row r="62" spans="2:34" s="128" customFormat="1" ht="40.15" customHeight="1" x14ac:dyDescent="0.2">
      <c r="B62" s="858"/>
      <c r="C62" s="183" t="s">
        <v>254</v>
      </c>
      <c r="D62" s="184"/>
      <c r="E62" s="185" t="s">
        <v>330</v>
      </c>
      <c r="F62" s="184"/>
      <c r="G62" s="186" t="s">
        <v>427</v>
      </c>
      <c r="H62" s="187">
        <v>41671</v>
      </c>
      <c r="I62" s="188">
        <v>41851</v>
      </c>
      <c r="J62" s="189" t="s">
        <v>418</v>
      </c>
      <c r="K62" s="190">
        <f t="shared" si="0"/>
        <v>2014</v>
      </c>
      <c r="L62" s="191">
        <v>0</v>
      </c>
      <c r="M62" s="192">
        <v>0.5</v>
      </c>
      <c r="N62" s="192">
        <f t="shared" si="28"/>
        <v>0.5</v>
      </c>
      <c r="O62" s="192">
        <v>0.33</v>
      </c>
      <c r="P62" s="192">
        <v>0.33</v>
      </c>
      <c r="Q62" s="193">
        <v>0.33</v>
      </c>
      <c r="R62" s="194">
        <v>1</v>
      </c>
      <c r="S62" s="198">
        <v>0</v>
      </c>
      <c r="T62" s="538"/>
      <c r="U62" s="539"/>
      <c r="V62" s="540"/>
      <c r="W62" s="541"/>
      <c r="X62" s="440"/>
      <c r="Y62" s="542"/>
      <c r="Z62" s="108">
        <v>50000</v>
      </c>
      <c r="AA62" s="109">
        <f t="shared" si="1"/>
        <v>0</v>
      </c>
      <c r="AB62" s="109">
        <f t="shared" si="3"/>
        <v>50000</v>
      </c>
      <c r="AC62" s="109">
        <f t="shared" si="4"/>
        <v>0</v>
      </c>
      <c r="AD62" s="192">
        <v>1</v>
      </c>
      <c r="AE62" s="192">
        <v>0.33</v>
      </c>
      <c r="AF62" s="192">
        <v>0.33</v>
      </c>
      <c r="AG62" s="198">
        <v>0.33</v>
      </c>
      <c r="AH62" s="199"/>
    </row>
    <row r="63" spans="2:34" s="69" customFormat="1" ht="40.15" customHeight="1" x14ac:dyDescent="0.2">
      <c r="B63" s="858"/>
      <c r="C63" s="183" t="s">
        <v>254</v>
      </c>
      <c r="D63" s="184"/>
      <c r="E63" s="185" t="s">
        <v>326</v>
      </c>
      <c r="F63" s="184"/>
      <c r="G63" s="443"/>
      <c r="H63" s="187">
        <v>41016</v>
      </c>
      <c r="I63" s="188"/>
      <c r="J63" s="189" t="s">
        <v>418</v>
      </c>
      <c r="K63" s="190">
        <f t="shared" si="0"/>
        <v>2012</v>
      </c>
      <c r="L63" s="200">
        <v>86740</v>
      </c>
      <c r="M63" s="192">
        <f>36925/L63</f>
        <v>0.42569748674198754</v>
      </c>
      <c r="N63" s="192">
        <v>0.56999999999999995</v>
      </c>
      <c r="O63" s="192">
        <v>0</v>
      </c>
      <c r="P63" s="192">
        <f>23300/L63</f>
        <v>0.26861886096379989</v>
      </c>
      <c r="Q63" s="193">
        <v>0.73</v>
      </c>
      <c r="R63" s="194">
        <v>1</v>
      </c>
      <c r="S63" s="198">
        <v>0</v>
      </c>
      <c r="T63" s="195">
        <v>36740</v>
      </c>
      <c r="U63" s="196">
        <v>36740</v>
      </c>
      <c r="V63" s="197">
        <v>36740</v>
      </c>
      <c r="W63" s="543"/>
      <c r="X63" s="441"/>
      <c r="Y63" s="442"/>
      <c r="Z63" s="108">
        <v>981022.61</v>
      </c>
      <c r="AA63" s="109">
        <f t="shared" si="1"/>
        <v>981022.61</v>
      </c>
      <c r="AB63" s="109">
        <f t="shared" si="3"/>
        <v>0</v>
      </c>
      <c r="AC63" s="109">
        <f t="shared" si="4"/>
        <v>0</v>
      </c>
      <c r="AD63" s="719"/>
      <c r="AE63" s="717"/>
      <c r="AF63" s="717"/>
      <c r="AG63" s="718"/>
      <c r="AH63" s="199"/>
    </row>
    <row r="64" spans="2:34" s="69" customFormat="1" ht="40.15" customHeight="1" x14ac:dyDescent="0.2">
      <c r="B64" s="858"/>
      <c r="C64" s="201" t="s">
        <v>254</v>
      </c>
      <c r="D64" s="202"/>
      <c r="E64" s="203" t="s">
        <v>325</v>
      </c>
      <c r="F64" s="202"/>
      <c r="G64" s="551"/>
      <c r="H64" s="204">
        <v>41144</v>
      </c>
      <c r="I64" s="205">
        <v>41912</v>
      </c>
      <c r="J64" s="206" t="s">
        <v>418</v>
      </c>
      <c r="K64" s="207">
        <f t="shared" si="0"/>
        <v>2012</v>
      </c>
      <c r="L64" s="208">
        <f>L5+L13+L16+L17+L24+L26+L46+L47+L54</f>
        <v>89815</v>
      </c>
      <c r="M64" s="209">
        <v>0.61</v>
      </c>
      <c r="N64" s="209">
        <v>0.39</v>
      </c>
      <c r="O64" s="209">
        <f>5637/L64</f>
        <v>6.2762344819907584E-2</v>
      </c>
      <c r="P64" s="209">
        <f>54313/L64</f>
        <v>0.60472081500862884</v>
      </c>
      <c r="Q64" s="210">
        <v>0.33500000000000002</v>
      </c>
      <c r="R64" s="211">
        <v>1</v>
      </c>
      <c r="S64" s="214">
        <v>0</v>
      </c>
      <c r="T64" s="195">
        <v>86580</v>
      </c>
      <c r="U64" s="184">
        <v>86822</v>
      </c>
      <c r="V64" s="216">
        <v>86822</v>
      </c>
      <c r="W64" s="531"/>
      <c r="X64" s="532"/>
      <c r="Y64" s="524"/>
      <c r="Z64" s="212">
        <v>1652740</v>
      </c>
      <c r="AA64" s="213">
        <f t="shared" si="1"/>
        <v>1067394.5833333333</v>
      </c>
      <c r="AB64" s="213">
        <f t="shared" si="3"/>
        <v>585345.41666666674</v>
      </c>
      <c r="AC64" s="213">
        <f t="shared" si="4"/>
        <v>0</v>
      </c>
      <c r="AD64" s="720"/>
      <c r="AE64" s="721"/>
      <c r="AF64" s="721"/>
      <c r="AG64" s="722"/>
      <c r="AH64" s="215"/>
    </row>
    <row r="65" spans="2:34" s="69" customFormat="1" ht="40.15" customHeight="1" x14ac:dyDescent="0.2">
      <c r="B65" s="858"/>
      <c r="C65" s="201" t="s">
        <v>254</v>
      </c>
      <c r="D65" s="202"/>
      <c r="E65" s="203" t="s">
        <v>325</v>
      </c>
      <c r="F65" s="202"/>
      <c r="G65" s="551"/>
      <c r="H65" s="522">
        <v>42005</v>
      </c>
      <c r="I65" s="523" t="s">
        <v>779</v>
      </c>
      <c r="J65" s="592" t="s">
        <v>232</v>
      </c>
      <c r="K65" s="525">
        <f t="shared" si="0"/>
        <v>2015</v>
      </c>
      <c r="L65" s="526"/>
      <c r="M65" s="527"/>
      <c r="N65" s="527"/>
      <c r="O65" s="527"/>
      <c r="P65" s="527"/>
      <c r="Q65" s="528"/>
      <c r="R65" s="529"/>
      <c r="S65" s="530"/>
      <c r="T65" s="439"/>
      <c r="U65" s="441"/>
      <c r="V65" s="514"/>
      <c r="W65" s="531"/>
      <c r="X65" s="532"/>
      <c r="Y65" s="524"/>
      <c r="Z65" s="212">
        <v>300000</v>
      </c>
      <c r="AA65" s="213">
        <f t="shared" ref="AA65" si="44">Z65-(AB65+AC65)</f>
        <v>0</v>
      </c>
      <c r="AB65" s="213">
        <f t="shared" ref="AB65" si="45">IF(I65&lt;$C$1,0,IF(H65&gt;$C$1,Z65-AC65,(I65-$C$1)/(I65-H65)*Z65-AC65))</f>
        <v>0</v>
      </c>
      <c r="AC65" s="213">
        <f t="shared" ref="AC65" si="46">IF(I65&lt;$D$1,0,IF(H65&gt;$D$1,Z65,(I65-$D$1)/(I65-H65)*Z65))</f>
        <v>300000</v>
      </c>
      <c r="AD65" s="720"/>
      <c r="AE65" s="721"/>
      <c r="AF65" s="721"/>
      <c r="AG65" s="722"/>
      <c r="AH65" s="215"/>
    </row>
    <row r="66" spans="2:34" s="69" customFormat="1" ht="40.15" customHeight="1" x14ac:dyDescent="0.2">
      <c r="B66" s="858"/>
      <c r="C66" s="183" t="s">
        <v>254</v>
      </c>
      <c r="D66" s="184"/>
      <c r="E66" s="185" t="s">
        <v>473</v>
      </c>
      <c r="F66" s="184"/>
      <c r="G66" s="443"/>
      <c r="H66" s="187">
        <v>41730</v>
      </c>
      <c r="I66" s="188">
        <v>42094</v>
      </c>
      <c r="J66" s="189" t="s">
        <v>418</v>
      </c>
      <c r="K66" s="190">
        <f t="shared" si="0"/>
        <v>2014</v>
      </c>
      <c r="L66" s="544"/>
      <c r="M66" s="435"/>
      <c r="N66" s="435"/>
      <c r="O66" s="435"/>
      <c r="P66" s="435"/>
      <c r="Q66" s="436"/>
      <c r="R66" s="437"/>
      <c r="S66" s="438"/>
      <c r="T66" s="439"/>
      <c r="U66" s="441"/>
      <c r="V66" s="514"/>
      <c r="W66" s="543"/>
      <c r="X66" s="441"/>
      <c r="Y66" s="442"/>
      <c r="Z66" s="108">
        <v>750000</v>
      </c>
      <c r="AA66" s="217">
        <f t="shared" si="1"/>
        <v>0</v>
      </c>
      <c r="AB66" s="217">
        <f t="shared" si="3"/>
        <v>564560.43956043955</v>
      </c>
      <c r="AC66" s="217">
        <f t="shared" si="4"/>
        <v>185439.56043956045</v>
      </c>
      <c r="AD66" s="719"/>
      <c r="AE66" s="717"/>
      <c r="AF66" s="717"/>
      <c r="AG66" s="718"/>
      <c r="AH66" s="199"/>
    </row>
    <row r="67" spans="2:34" s="69" customFormat="1" ht="40.15" customHeight="1" x14ac:dyDescent="0.2">
      <c r="B67" s="858"/>
      <c r="C67" s="218" t="s">
        <v>254</v>
      </c>
      <c r="D67" s="219"/>
      <c r="E67" s="220" t="s">
        <v>326</v>
      </c>
      <c r="F67" s="219"/>
      <c r="G67" s="552"/>
      <c r="H67" s="221">
        <v>41730</v>
      </c>
      <c r="I67" s="222">
        <v>42004</v>
      </c>
      <c r="J67" s="223" t="s">
        <v>418</v>
      </c>
      <c r="K67" s="224">
        <f t="shared" si="0"/>
        <v>2014</v>
      </c>
      <c r="L67" s="225">
        <f t="shared" ref="L67:Q67" si="47">L42</f>
        <v>10837</v>
      </c>
      <c r="M67" s="226">
        <f t="shared" si="47"/>
        <v>0.43323798099104921</v>
      </c>
      <c r="N67" s="226">
        <f t="shared" si="47"/>
        <v>0.56999999999999995</v>
      </c>
      <c r="O67" s="226">
        <f t="shared" si="47"/>
        <v>0.23798099104918335</v>
      </c>
      <c r="P67" s="226">
        <f t="shared" si="47"/>
        <v>0</v>
      </c>
      <c r="Q67" s="227">
        <f t="shared" si="47"/>
        <v>0.76</v>
      </c>
      <c r="R67" s="228">
        <v>1</v>
      </c>
      <c r="S67" s="229">
        <v>0</v>
      </c>
      <c r="T67" s="195">
        <f>T42</f>
        <v>10837</v>
      </c>
      <c r="U67" s="441"/>
      <c r="V67" s="514"/>
      <c r="W67" s="545"/>
      <c r="X67" s="546"/>
      <c r="Y67" s="547"/>
      <c r="Z67" s="163">
        <v>700000</v>
      </c>
      <c r="AA67" s="217">
        <f t="shared" si="1"/>
        <v>0</v>
      </c>
      <c r="AB67" s="217">
        <f t="shared" si="3"/>
        <v>700000</v>
      </c>
      <c r="AC67" s="217">
        <f t="shared" si="4"/>
        <v>0</v>
      </c>
      <c r="AD67" s="723"/>
      <c r="AE67" s="724"/>
      <c r="AF67" s="724"/>
      <c r="AG67" s="725"/>
      <c r="AH67" s="230"/>
    </row>
    <row r="68" spans="2:34" s="69" customFormat="1" ht="40.15" customHeight="1" thickBot="1" x14ac:dyDescent="0.25">
      <c r="B68" s="859"/>
      <c r="C68" s="231" t="s">
        <v>254</v>
      </c>
      <c r="D68" s="232"/>
      <c r="E68" s="233" t="s">
        <v>326</v>
      </c>
      <c r="F68" s="232"/>
      <c r="G68" s="553"/>
      <c r="H68" s="234">
        <v>41533</v>
      </c>
      <c r="I68" s="235">
        <v>41820</v>
      </c>
      <c r="J68" s="236" t="s">
        <v>418</v>
      </c>
      <c r="K68" s="237">
        <f t="shared" si="0"/>
        <v>2013</v>
      </c>
      <c r="L68" s="238">
        <f>L45+L19</f>
        <v>9940</v>
      </c>
      <c r="M68" s="239">
        <f>2441/L68</f>
        <v>0.24557344064386319</v>
      </c>
      <c r="N68" s="239">
        <v>0.75</v>
      </c>
      <c r="O68" s="239">
        <f>2291/L68</f>
        <v>0.23048289738430583</v>
      </c>
      <c r="P68" s="239">
        <v>0</v>
      </c>
      <c r="Q68" s="240">
        <v>0.77</v>
      </c>
      <c r="R68" s="241">
        <v>1</v>
      </c>
      <c r="S68" s="243">
        <v>0</v>
      </c>
      <c r="T68" s="242">
        <v>5989</v>
      </c>
      <c r="U68" s="259">
        <v>5462</v>
      </c>
      <c r="V68" s="260">
        <v>6137</v>
      </c>
      <c r="W68" s="548"/>
      <c r="X68" s="549"/>
      <c r="Y68" s="550"/>
      <c r="Z68" s="521">
        <v>514030</v>
      </c>
      <c r="AA68" s="520">
        <f t="shared" si="1"/>
        <v>191641.84668989549</v>
      </c>
      <c r="AB68" s="520">
        <f t="shared" si="3"/>
        <v>322388.15331010451</v>
      </c>
      <c r="AC68" s="520">
        <f t="shared" si="4"/>
        <v>0</v>
      </c>
      <c r="AD68" s="726"/>
      <c r="AE68" s="727"/>
      <c r="AF68" s="727"/>
      <c r="AG68" s="728"/>
      <c r="AH68" s="244"/>
    </row>
    <row r="69" spans="2:34" x14ac:dyDescent="0.2">
      <c r="B69" s="245"/>
      <c r="C69" s="245"/>
      <c r="D69" s="245"/>
      <c r="E69" s="245"/>
      <c r="F69" s="245"/>
      <c r="G69" s="245"/>
      <c r="H69" s="245"/>
      <c r="I69" s="245"/>
      <c r="J69" s="245"/>
      <c r="K69" s="245"/>
      <c r="L69" s="245"/>
      <c r="M69" s="246"/>
      <c r="N69" s="246"/>
      <c r="O69" s="246"/>
      <c r="P69" s="246"/>
      <c r="Q69" s="246"/>
      <c r="R69" s="247"/>
      <c r="S69" s="248"/>
      <c r="T69" s="245"/>
      <c r="U69" s="245"/>
      <c r="V69" s="245"/>
      <c r="W69" s="245"/>
      <c r="X69" s="245"/>
      <c r="Y69" s="245"/>
      <c r="Z69" s="246"/>
      <c r="AA69" s="246"/>
      <c r="AB69" s="246"/>
      <c r="AC69" s="246"/>
      <c r="AD69" s="246"/>
      <c r="AE69" s="246"/>
      <c r="AF69" s="246"/>
      <c r="AG69" s="246"/>
      <c r="AH69" s="245"/>
    </row>
    <row r="70" spans="2:34" x14ac:dyDescent="0.2">
      <c r="B70" s="245"/>
      <c r="C70" s="245"/>
      <c r="D70" s="245"/>
      <c r="E70" s="245"/>
      <c r="F70" s="245"/>
      <c r="G70" s="245"/>
      <c r="H70" s="245"/>
      <c r="I70" s="245"/>
      <c r="J70" s="245"/>
      <c r="K70" s="245"/>
      <c r="L70" s="245"/>
      <c r="M70" s="246"/>
      <c r="N70" s="246"/>
      <c r="O70" s="246"/>
      <c r="P70" s="246"/>
      <c r="Q70" s="246"/>
      <c r="R70" s="247"/>
      <c r="S70" s="248"/>
      <c r="T70" s="245"/>
      <c r="U70" s="245"/>
      <c r="V70" s="245"/>
      <c r="W70" s="245"/>
      <c r="X70" s="245"/>
      <c r="Y70" s="245"/>
      <c r="Z70" s="246"/>
      <c r="AA70" s="246"/>
      <c r="AB70" s="246"/>
      <c r="AC70" s="246"/>
      <c r="AD70" s="246"/>
      <c r="AE70" s="246"/>
      <c r="AF70" s="246"/>
      <c r="AG70" s="246"/>
      <c r="AH70" s="245"/>
    </row>
    <row r="71" spans="2:34" x14ac:dyDescent="0.2">
      <c r="B71" s="245"/>
      <c r="C71" s="245"/>
      <c r="D71" s="245"/>
      <c r="E71" s="245"/>
      <c r="F71" s="245"/>
      <c r="G71" s="245"/>
      <c r="H71" s="245"/>
      <c r="I71" s="245"/>
      <c r="J71" s="245"/>
      <c r="K71" s="245"/>
      <c r="L71" s="245"/>
      <c r="M71" s="250"/>
      <c r="N71" s="246"/>
      <c r="O71" s="246"/>
      <c r="P71" s="246"/>
      <c r="Q71" s="246"/>
      <c r="R71" s="247"/>
      <c r="S71" s="248"/>
      <c r="T71" s="245"/>
      <c r="U71" s="245"/>
      <c r="V71" s="245"/>
      <c r="W71" s="245"/>
      <c r="X71" s="245"/>
      <c r="Y71" s="245"/>
      <c r="Z71" s="246"/>
      <c r="AA71" s="246"/>
      <c r="AB71" s="246"/>
      <c r="AC71" s="246"/>
      <c r="AD71" s="246"/>
      <c r="AE71" s="246"/>
      <c r="AF71" s="246"/>
      <c r="AG71" s="246"/>
      <c r="AH71" s="245"/>
    </row>
    <row r="72" spans="2:34" x14ac:dyDescent="0.2">
      <c r="B72" s="245"/>
      <c r="C72" s="245"/>
      <c r="D72" s="245"/>
      <c r="E72" s="245"/>
      <c r="F72" s="245"/>
      <c r="G72" s="245"/>
      <c r="H72" s="245"/>
      <c r="I72" s="245"/>
      <c r="J72" s="245"/>
      <c r="K72" s="245"/>
      <c r="L72" s="245"/>
      <c r="M72" s="246"/>
      <c r="N72" s="246"/>
      <c r="O72" s="246"/>
      <c r="P72" s="246"/>
      <c r="Q72" s="246"/>
      <c r="R72" s="247"/>
      <c r="S72" s="248"/>
      <c r="T72" s="245"/>
      <c r="U72" s="245"/>
      <c r="V72" s="245"/>
      <c r="W72" s="245"/>
      <c r="X72" s="245"/>
      <c r="Y72" s="245"/>
      <c r="Z72" s="246"/>
      <c r="AA72" s="246"/>
      <c r="AB72" s="246"/>
      <c r="AC72" s="246"/>
      <c r="AD72" s="246"/>
      <c r="AE72" s="246"/>
      <c r="AF72" s="246"/>
      <c r="AG72" s="246"/>
      <c r="AH72" s="245"/>
    </row>
    <row r="73" spans="2:34" x14ac:dyDescent="0.2">
      <c r="C73" s="245"/>
      <c r="D73" s="245"/>
      <c r="E73" s="245"/>
      <c r="F73" s="245"/>
      <c r="G73" s="245"/>
      <c r="H73" s="245"/>
      <c r="I73" s="245"/>
      <c r="J73" s="245"/>
      <c r="K73" s="245"/>
      <c r="L73" s="245"/>
      <c r="M73" s="246"/>
      <c r="N73" s="246"/>
      <c r="O73" s="246"/>
      <c r="P73" s="246"/>
      <c r="Q73" s="246"/>
      <c r="R73" s="247"/>
      <c r="S73" s="248"/>
      <c r="T73" s="245"/>
      <c r="U73" s="245"/>
      <c r="V73" s="245"/>
      <c r="W73" s="245"/>
      <c r="X73" s="245"/>
      <c r="Y73" s="245"/>
      <c r="Z73" s="246"/>
      <c r="AA73" s="246"/>
      <c r="AB73" s="246"/>
      <c r="AC73" s="246"/>
      <c r="AD73" s="246"/>
      <c r="AE73" s="246"/>
      <c r="AF73" s="246"/>
      <c r="AG73" s="246"/>
      <c r="AH73" s="245"/>
    </row>
    <row r="74" spans="2:34" x14ac:dyDescent="0.2">
      <c r="C74" s="245"/>
      <c r="D74" s="245"/>
      <c r="E74" s="245"/>
      <c r="F74" s="245"/>
      <c r="G74" s="245"/>
      <c r="H74" s="245"/>
      <c r="I74" s="245"/>
      <c r="J74" s="245"/>
      <c r="K74" s="245"/>
      <c r="L74" s="245"/>
      <c r="M74" s="246"/>
      <c r="N74" s="246"/>
      <c r="O74" s="246"/>
      <c r="P74" s="246"/>
      <c r="Q74" s="246"/>
      <c r="R74" s="247"/>
      <c r="S74" s="248"/>
      <c r="T74" s="245"/>
      <c r="U74" s="245"/>
      <c r="V74" s="245"/>
      <c r="W74" s="245"/>
      <c r="X74" s="245"/>
      <c r="Y74" s="245"/>
      <c r="Z74" s="246"/>
      <c r="AA74" s="246"/>
      <c r="AB74" s="246"/>
      <c r="AC74" s="246"/>
      <c r="AD74" s="246"/>
      <c r="AE74" s="246"/>
      <c r="AF74" s="246"/>
      <c r="AG74" s="246"/>
      <c r="AH74" s="245"/>
    </row>
    <row r="75" spans="2:34" x14ac:dyDescent="0.2">
      <c r="C75" s="245"/>
      <c r="D75" s="245"/>
      <c r="E75" s="245"/>
      <c r="F75" s="245"/>
      <c r="G75" s="245"/>
      <c r="H75" s="245"/>
      <c r="I75" s="245"/>
      <c r="J75" s="245"/>
      <c r="K75" s="245"/>
      <c r="L75" s="245"/>
      <c r="M75" s="246"/>
      <c r="N75" s="246"/>
      <c r="O75" s="246"/>
      <c r="P75" s="246"/>
      <c r="Q75" s="246"/>
      <c r="R75" s="247"/>
      <c r="S75" s="248"/>
      <c r="T75" s="245"/>
      <c r="U75" s="245"/>
      <c r="V75" s="245"/>
      <c r="W75" s="245"/>
      <c r="X75" s="245"/>
      <c r="Y75" s="245"/>
      <c r="Z75" s="246"/>
      <c r="AA75" s="246"/>
      <c r="AB75" s="246"/>
      <c r="AC75" s="246"/>
      <c r="AD75" s="246"/>
      <c r="AE75" s="246"/>
      <c r="AF75" s="246"/>
      <c r="AG75" s="246"/>
      <c r="AH75" s="245"/>
    </row>
    <row r="76" spans="2:34" x14ac:dyDescent="0.2">
      <c r="C76" s="245" t="s">
        <v>428</v>
      </c>
      <c r="D76" s="245"/>
      <c r="E76" s="245"/>
      <c r="F76" s="245"/>
      <c r="G76" s="245"/>
      <c r="H76" s="245"/>
      <c r="I76" s="245"/>
      <c r="J76" s="245"/>
      <c r="K76" s="245"/>
      <c r="L76" s="245"/>
      <c r="M76" s="246"/>
      <c r="N76" s="246"/>
      <c r="O76" s="246"/>
      <c r="P76" s="246"/>
      <c r="Q76" s="246"/>
      <c r="R76" s="247"/>
      <c r="S76" s="248"/>
      <c r="T76" s="245"/>
      <c r="U76" s="245"/>
      <c r="V76" s="245"/>
      <c r="W76" s="245"/>
      <c r="X76" s="245"/>
      <c r="Y76" s="245"/>
      <c r="Z76" s="246"/>
      <c r="AA76" s="246"/>
      <c r="AB76" s="246"/>
      <c r="AC76" s="246"/>
      <c r="AD76" s="246"/>
      <c r="AE76" s="246"/>
      <c r="AF76" s="246"/>
      <c r="AG76" s="246"/>
      <c r="AH76" s="245"/>
    </row>
    <row r="77" spans="2:34" x14ac:dyDescent="0.2">
      <c r="C77" s="245" t="s">
        <v>232</v>
      </c>
      <c r="D77" s="245"/>
      <c r="E77" s="245"/>
      <c r="F77" s="245"/>
      <c r="G77" s="245"/>
      <c r="H77" s="245"/>
      <c r="I77" s="245"/>
      <c r="J77" s="245"/>
      <c r="K77" s="245"/>
      <c r="L77" s="245"/>
      <c r="M77" s="246"/>
      <c r="N77" s="246"/>
      <c r="O77" s="246"/>
      <c r="P77" s="246"/>
      <c r="Q77" s="246"/>
      <c r="R77" s="247"/>
      <c r="S77" s="248"/>
      <c r="T77" s="245"/>
      <c r="U77" s="245"/>
      <c r="V77" s="245"/>
      <c r="W77" s="245"/>
      <c r="X77" s="245"/>
      <c r="Y77" s="245"/>
      <c r="Z77" s="246"/>
      <c r="AA77" s="246"/>
      <c r="AB77" s="246"/>
      <c r="AC77" s="246"/>
      <c r="AD77" s="246"/>
      <c r="AE77" s="246"/>
      <c r="AF77" s="246"/>
      <c r="AG77" s="246"/>
      <c r="AH77" s="245"/>
    </row>
    <row r="78" spans="2:34" x14ac:dyDescent="0.2">
      <c r="C78" s="245" t="s">
        <v>418</v>
      </c>
      <c r="D78" s="245"/>
      <c r="E78" s="245"/>
      <c r="F78" s="245"/>
      <c r="G78" s="245"/>
      <c r="H78" s="245"/>
      <c r="I78" s="245"/>
      <c r="J78" s="245"/>
      <c r="K78" s="245"/>
      <c r="L78" s="245"/>
      <c r="M78" s="246"/>
      <c r="N78" s="246"/>
      <c r="O78" s="246"/>
      <c r="P78" s="246"/>
      <c r="Q78" s="246"/>
      <c r="R78" s="247"/>
      <c r="S78" s="248"/>
      <c r="T78" s="245"/>
      <c r="U78" s="245"/>
      <c r="V78" s="245"/>
      <c r="W78" s="245"/>
      <c r="X78" s="245"/>
      <c r="Y78" s="245"/>
      <c r="Z78" s="246"/>
      <c r="AA78" s="246"/>
      <c r="AB78" s="246"/>
      <c r="AC78" s="246"/>
      <c r="AD78" s="246"/>
      <c r="AE78" s="246"/>
      <c r="AF78" s="246"/>
      <c r="AG78" s="246"/>
      <c r="AH78" s="245"/>
    </row>
    <row r="79" spans="2:34" ht="51" x14ac:dyDescent="0.2">
      <c r="C79" s="245" t="s">
        <v>429</v>
      </c>
      <c r="D79" s="245"/>
      <c r="E79" s="245"/>
      <c r="F79" s="245"/>
      <c r="G79" s="245"/>
      <c r="H79" s="245"/>
      <c r="I79" s="251"/>
      <c r="J79" s="245"/>
      <c r="K79" s="245"/>
      <c r="L79" s="245"/>
      <c r="M79" s="246"/>
      <c r="N79" s="246"/>
      <c r="O79" s="246"/>
      <c r="P79" s="246"/>
      <c r="Q79" s="246"/>
      <c r="R79" s="247"/>
      <c r="S79" s="248"/>
      <c r="T79" s="245"/>
      <c r="U79" s="245"/>
      <c r="V79" s="245"/>
      <c r="W79" s="245" t="s">
        <v>430</v>
      </c>
      <c r="X79" s="245"/>
      <c r="Y79" s="245"/>
      <c r="Z79" s="246"/>
      <c r="AA79" s="246"/>
      <c r="AB79" s="246"/>
      <c r="AC79" s="246"/>
      <c r="AD79" s="246"/>
      <c r="AE79" s="246"/>
      <c r="AF79" s="246"/>
      <c r="AG79" s="246"/>
      <c r="AH79" s="245"/>
    </row>
    <row r="80" spans="2:34" x14ac:dyDescent="0.2">
      <c r="C80" s="245"/>
      <c r="D80" s="245"/>
      <c r="E80" s="245"/>
      <c r="F80" s="245"/>
      <c r="G80" s="245"/>
      <c r="H80" s="245"/>
      <c r="I80" s="251"/>
      <c r="J80" s="245"/>
      <c r="K80" s="245"/>
      <c r="L80" s="245"/>
      <c r="M80" s="246"/>
      <c r="N80" s="246"/>
      <c r="O80" s="246"/>
      <c r="P80" s="246"/>
      <c r="Q80" s="246"/>
      <c r="R80" s="247"/>
      <c r="S80" s="248"/>
      <c r="T80" s="245"/>
      <c r="U80" s="245"/>
      <c r="V80" s="245"/>
      <c r="W80" s="245"/>
      <c r="X80" s="245"/>
      <c r="Y80" s="245"/>
      <c r="Z80" s="246"/>
      <c r="AA80" s="246"/>
      <c r="AB80" s="246"/>
      <c r="AC80" s="246"/>
      <c r="AD80" s="246"/>
      <c r="AE80" s="246"/>
      <c r="AF80" s="246"/>
      <c r="AG80" s="246"/>
      <c r="AH80" s="245"/>
    </row>
    <row r="81" spans="3:34" x14ac:dyDescent="0.2">
      <c r="C81" s="245"/>
      <c r="D81" s="245"/>
      <c r="E81" s="245"/>
      <c r="F81" s="245"/>
      <c r="G81" s="245"/>
      <c r="H81" s="245"/>
      <c r="I81" s="251"/>
      <c r="J81" s="245"/>
      <c r="K81" s="245"/>
      <c r="L81" s="245"/>
      <c r="M81" s="246"/>
      <c r="N81" s="246"/>
      <c r="O81" s="246"/>
      <c r="P81" s="246"/>
      <c r="Q81" s="246"/>
      <c r="R81" s="247"/>
      <c r="S81" s="248"/>
      <c r="T81" s="245"/>
      <c r="U81" s="245"/>
      <c r="V81" s="245"/>
      <c r="W81" s="245"/>
      <c r="X81" s="245"/>
      <c r="Y81" s="245"/>
      <c r="Z81" s="246"/>
      <c r="AA81" s="246"/>
      <c r="AB81" s="246"/>
      <c r="AC81" s="246"/>
      <c r="AD81" s="246"/>
      <c r="AE81" s="246"/>
      <c r="AF81" s="246"/>
      <c r="AG81" s="246"/>
      <c r="AH81" s="245"/>
    </row>
    <row r="82" spans="3:34" x14ac:dyDescent="0.2">
      <c r="C82" s="245"/>
      <c r="D82" s="245"/>
      <c r="E82" s="245"/>
      <c r="F82" s="245"/>
      <c r="G82" s="245"/>
      <c r="H82" s="245"/>
      <c r="I82" s="251"/>
      <c r="J82" s="245"/>
      <c r="K82" s="245"/>
      <c r="L82" s="245"/>
      <c r="M82" s="246"/>
      <c r="N82" s="246"/>
      <c r="O82" s="246"/>
      <c r="P82" s="246"/>
      <c r="Q82" s="246"/>
      <c r="R82" s="247"/>
      <c r="S82" s="248"/>
      <c r="T82" s="245"/>
      <c r="U82" s="245"/>
      <c r="V82" s="245"/>
      <c r="W82" s="245"/>
      <c r="X82" s="245"/>
      <c r="Y82" s="245"/>
      <c r="Z82" s="246"/>
      <c r="AA82" s="246"/>
      <c r="AB82" s="246"/>
      <c r="AC82" s="246"/>
      <c r="AD82" s="246"/>
      <c r="AE82" s="246"/>
      <c r="AF82" s="246"/>
      <c r="AG82" s="246"/>
      <c r="AH82" s="245"/>
    </row>
    <row r="83" spans="3:34" x14ac:dyDescent="0.2">
      <c r="C83" s="245"/>
      <c r="D83" s="245"/>
      <c r="E83" s="245"/>
      <c r="F83" s="245"/>
      <c r="G83" s="245"/>
      <c r="H83" s="245"/>
      <c r="I83" s="251"/>
      <c r="J83" s="245"/>
      <c r="K83" s="245"/>
      <c r="L83" s="245"/>
      <c r="M83" s="246"/>
      <c r="N83" s="246"/>
      <c r="O83" s="246"/>
      <c r="P83" s="246"/>
      <c r="Q83" s="246"/>
      <c r="R83" s="247"/>
      <c r="S83" s="248"/>
      <c r="T83" s="245"/>
      <c r="U83" s="245"/>
      <c r="V83" s="245"/>
      <c r="W83" s="245"/>
      <c r="X83" s="245"/>
      <c r="Y83" s="245"/>
      <c r="Z83" s="246"/>
      <c r="AA83" s="246"/>
      <c r="AB83" s="246"/>
      <c r="AC83" s="246"/>
      <c r="AD83" s="246"/>
      <c r="AE83" s="246"/>
      <c r="AF83" s="246"/>
      <c r="AG83" s="246"/>
      <c r="AH83" s="245"/>
    </row>
    <row r="84" spans="3:34" x14ac:dyDescent="0.2">
      <c r="C84" s="245"/>
      <c r="D84" s="245"/>
      <c r="E84" s="245"/>
      <c r="F84" s="245"/>
      <c r="G84" s="245"/>
      <c r="H84" s="245"/>
      <c r="I84" s="251"/>
      <c r="J84" s="245"/>
      <c r="K84" s="245"/>
      <c r="L84" s="245"/>
      <c r="M84" s="246"/>
      <c r="N84" s="246"/>
      <c r="O84" s="246"/>
      <c r="P84" s="246"/>
      <c r="Q84" s="246"/>
      <c r="R84" s="247"/>
      <c r="S84" s="248"/>
      <c r="T84" s="245"/>
      <c r="U84" s="245"/>
      <c r="V84" s="245"/>
      <c r="W84" s="245"/>
      <c r="X84" s="245"/>
      <c r="Y84" s="245"/>
      <c r="Z84" s="246"/>
      <c r="AA84" s="246"/>
      <c r="AB84" s="246"/>
      <c r="AC84" s="246"/>
      <c r="AD84" s="246"/>
      <c r="AE84" s="246"/>
      <c r="AF84" s="246"/>
      <c r="AG84" s="246"/>
      <c r="AH84" s="245"/>
    </row>
    <row r="85" spans="3:34" x14ac:dyDescent="0.2">
      <c r="C85" s="245"/>
      <c r="D85" s="245"/>
      <c r="E85" s="245"/>
      <c r="F85" s="245"/>
      <c r="G85" s="245"/>
      <c r="H85" s="245"/>
      <c r="I85" s="251"/>
      <c r="J85" s="245"/>
      <c r="K85" s="245"/>
      <c r="L85" s="245"/>
      <c r="M85" s="246"/>
      <c r="N85" s="246"/>
      <c r="O85" s="246"/>
      <c r="P85" s="246"/>
      <c r="Q85" s="246"/>
      <c r="R85" s="247"/>
      <c r="S85" s="248"/>
      <c r="T85" s="245"/>
      <c r="U85" s="245"/>
      <c r="V85" s="245"/>
      <c r="W85" s="245"/>
      <c r="X85" s="245"/>
      <c r="Y85" s="245"/>
      <c r="Z85" s="246"/>
      <c r="AA85" s="246"/>
      <c r="AB85" s="246"/>
      <c r="AC85" s="246"/>
      <c r="AD85" s="246"/>
      <c r="AE85" s="246"/>
      <c r="AF85" s="246"/>
      <c r="AG85" s="246"/>
      <c r="AH85" s="245"/>
    </row>
    <row r="86" spans="3:34" x14ac:dyDescent="0.2">
      <c r="C86" s="245"/>
      <c r="D86" s="245"/>
      <c r="E86" s="245"/>
      <c r="F86" s="245"/>
      <c r="G86" s="245"/>
      <c r="H86" s="245"/>
      <c r="I86" s="251"/>
      <c r="J86" s="245"/>
      <c r="K86" s="245"/>
      <c r="L86" s="245"/>
      <c r="M86" s="246"/>
      <c r="N86" s="246"/>
      <c r="O86" s="246"/>
      <c r="P86" s="246"/>
      <c r="Q86" s="246"/>
      <c r="R86" s="247"/>
      <c r="S86" s="248"/>
      <c r="T86" s="245"/>
      <c r="U86" s="245"/>
      <c r="V86" s="245"/>
      <c r="W86" s="245"/>
      <c r="X86" s="245"/>
      <c r="Y86" s="245"/>
      <c r="Z86" s="246"/>
      <c r="AA86" s="246"/>
      <c r="AB86" s="246"/>
      <c r="AC86" s="246"/>
      <c r="AD86" s="246"/>
      <c r="AE86" s="246"/>
      <c r="AF86" s="246"/>
      <c r="AG86" s="246"/>
      <c r="AH86" s="245"/>
    </row>
    <row r="87" spans="3:34" x14ac:dyDescent="0.2">
      <c r="C87" s="245"/>
      <c r="D87" s="245"/>
      <c r="E87" s="245"/>
      <c r="F87" s="245"/>
      <c r="G87" s="245"/>
      <c r="H87" s="245"/>
      <c r="I87" s="251"/>
      <c r="J87" s="245"/>
      <c r="K87" s="245"/>
      <c r="L87" s="245"/>
      <c r="M87" s="246"/>
      <c r="N87" s="246"/>
      <c r="O87" s="246"/>
      <c r="P87" s="246"/>
      <c r="Q87" s="246"/>
      <c r="R87" s="247"/>
      <c r="S87" s="248"/>
      <c r="T87" s="245"/>
      <c r="U87" s="245"/>
      <c r="V87" s="245"/>
      <c r="W87" s="245"/>
      <c r="X87" s="245"/>
      <c r="Y87" s="245"/>
      <c r="Z87" s="246"/>
      <c r="AA87" s="246"/>
      <c r="AB87" s="246"/>
      <c r="AC87" s="246"/>
      <c r="AD87" s="246"/>
      <c r="AE87" s="246"/>
      <c r="AF87" s="246"/>
      <c r="AG87" s="246"/>
      <c r="AH87" s="245"/>
    </row>
    <row r="88" spans="3:34" x14ac:dyDescent="0.2">
      <c r="C88" s="245"/>
      <c r="D88" s="245"/>
      <c r="E88" s="245"/>
      <c r="F88" s="245"/>
      <c r="G88" s="245"/>
      <c r="H88" s="245"/>
      <c r="I88" s="251"/>
      <c r="J88" s="245"/>
      <c r="K88" s="245"/>
      <c r="L88" s="245"/>
      <c r="M88" s="246"/>
      <c r="N88" s="246"/>
      <c r="O88" s="246"/>
      <c r="P88" s="246"/>
      <c r="Q88" s="246"/>
      <c r="R88" s="247"/>
      <c r="S88" s="248"/>
      <c r="T88" s="245"/>
      <c r="U88" s="245"/>
      <c r="V88" s="245"/>
      <c r="W88" s="245"/>
      <c r="X88" s="245"/>
      <c r="Y88" s="245"/>
      <c r="Z88" s="246"/>
      <c r="AA88" s="246"/>
      <c r="AB88" s="246"/>
      <c r="AC88" s="246"/>
      <c r="AD88" s="246"/>
      <c r="AE88" s="246"/>
      <c r="AF88" s="246"/>
      <c r="AG88" s="246"/>
      <c r="AH88" s="245"/>
    </row>
    <row r="89" spans="3:34" x14ac:dyDescent="0.2">
      <c r="C89" s="245"/>
      <c r="D89" s="245"/>
      <c r="E89" s="245"/>
      <c r="F89" s="245"/>
      <c r="G89" s="245"/>
      <c r="H89" s="245"/>
      <c r="I89" s="251"/>
      <c r="J89" s="245"/>
      <c r="K89" s="245"/>
      <c r="L89" s="245"/>
      <c r="M89" s="246"/>
      <c r="N89" s="246"/>
      <c r="O89" s="246"/>
      <c r="P89" s="246"/>
      <c r="Q89" s="246"/>
      <c r="R89" s="247"/>
      <c r="S89" s="248"/>
      <c r="T89" s="245"/>
      <c r="U89" s="245"/>
      <c r="V89" s="245"/>
      <c r="W89" s="245"/>
      <c r="X89" s="245"/>
      <c r="Y89" s="245"/>
      <c r="Z89" s="246"/>
      <c r="AA89" s="246"/>
      <c r="AB89" s="246"/>
      <c r="AC89" s="246"/>
      <c r="AD89" s="246"/>
      <c r="AE89" s="246"/>
      <c r="AF89" s="246"/>
      <c r="AG89" s="246"/>
      <c r="AH89" s="245"/>
    </row>
    <row r="90" spans="3:34" x14ac:dyDescent="0.2">
      <c r="C90" s="245"/>
      <c r="D90" s="245"/>
      <c r="E90" s="245"/>
      <c r="F90" s="245"/>
      <c r="G90" s="245"/>
      <c r="H90" s="245"/>
      <c r="I90" s="251"/>
      <c r="J90" s="245"/>
      <c r="K90" s="245"/>
      <c r="L90" s="245"/>
      <c r="M90" s="246"/>
      <c r="N90" s="246"/>
      <c r="O90" s="246"/>
      <c r="P90" s="246"/>
      <c r="Q90" s="246"/>
      <c r="R90" s="247"/>
      <c r="S90" s="248"/>
      <c r="T90" s="245"/>
      <c r="U90" s="245"/>
      <c r="V90" s="245"/>
      <c r="W90" s="245"/>
      <c r="X90" s="245"/>
      <c r="Y90" s="245"/>
      <c r="Z90" s="246"/>
      <c r="AA90" s="246"/>
      <c r="AB90" s="246"/>
      <c r="AC90" s="246"/>
      <c r="AD90" s="246"/>
      <c r="AE90" s="246"/>
      <c r="AF90" s="246"/>
      <c r="AG90" s="246"/>
      <c r="AH90" s="245"/>
    </row>
    <row r="91" spans="3:34" x14ac:dyDescent="0.2">
      <c r="C91" s="245"/>
      <c r="D91" s="245"/>
      <c r="E91" s="245"/>
      <c r="F91" s="245"/>
      <c r="G91" s="245"/>
      <c r="H91" s="245"/>
      <c r="I91" s="251"/>
      <c r="J91" s="245"/>
      <c r="K91" s="245"/>
      <c r="L91" s="245"/>
      <c r="M91" s="246"/>
      <c r="N91" s="246"/>
      <c r="O91" s="246"/>
      <c r="P91" s="246"/>
      <c r="Q91" s="246"/>
      <c r="R91" s="247"/>
      <c r="S91" s="248"/>
      <c r="T91" s="245"/>
      <c r="U91" s="245"/>
      <c r="V91" s="245"/>
      <c r="W91" s="245"/>
      <c r="X91" s="245"/>
      <c r="Y91" s="245"/>
      <c r="Z91" s="246"/>
      <c r="AA91" s="246"/>
      <c r="AB91" s="246"/>
      <c r="AC91" s="246"/>
      <c r="AD91" s="246"/>
      <c r="AE91" s="246"/>
      <c r="AF91" s="246"/>
      <c r="AG91" s="246"/>
      <c r="AH91" s="245"/>
    </row>
    <row r="92" spans="3:34" x14ac:dyDescent="0.2">
      <c r="C92" s="245"/>
      <c r="D92" s="245"/>
      <c r="E92" s="245"/>
      <c r="F92" s="245"/>
      <c r="G92" s="245"/>
      <c r="H92" s="245"/>
      <c r="I92" s="251"/>
      <c r="J92" s="245"/>
      <c r="K92" s="245"/>
      <c r="L92" s="245"/>
      <c r="M92" s="246"/>
      <c r="N92" s="246"/>
      <c r="O92" s="246"/>
      <c r="P92" s="246"/>
      <c r="Q92" s="246"/>
      <c r="R92" s="247"/>
      <c r="S92" s="248"/>
      <c r="T92" s="245"/>
      <c r="U92" s="245"/>
      <c r="V92" s="245"/>
      <c r="W92" s="245"/>
      <c r="X92" s="245"/>
      <c r="Y92" s="245"/>
      <c r="Z92" s="246"/>
      <c r="AA92" s="246"/>
      <c r="AB92" s="246"/>
      <c r="AC92" s="246"/>
      <c r="AD92" s="246"/>
      <c r="AE92" s="246"/>
      <c r="AF92" s="246"/>
      <c r="AG92" s="246"/>
      <c r="AH92" s="245"/>
    </row>
    <row r="93" spans="3:34" x14ac:dyDescent="0.2">
      <c r="C93" s="245"/>
      <c r="D93" s="245"/>
      <c r="E93" s="245"/>
      <c r="F93" s="245"/>
      <c r="G93" s="245"/>
      <c r="H93" s="245"/>
      <c r="I93" s="251"/>
      <c r="J93" s="245"/>
      <c r="K93" s="245"/>
      <c r="L93" s="245"/>
      <c r="M93" s="246"/>
      <c r="N93" s="246"/>
      <c r="O93" s="246"/>
      <c r="P93" s="246"/>
      <c r="Q93" s="246"/>
      <c r="R93" s="247"/>
      <c r="S93" s="248"/>
      <c r="T93" s="245"/>
      <c r="U93" s="245"/>
      <c r="V93" s="245"/>
      <c r="W93" s="245"/>
      <c r="X93" s="245"/>
      <c r="Y93" s="245"/>
      <c r="Z93" s="246"/>
      <c r="AA93" s="246"/>
      <c r="AB93" s="246"/>
      <c r="AC93" s="246"/>
      <c r="AD93" s="246"/>
      <c r="AE93" s="246"/>
      <c r="AF93" s="246"/>
      <c r="AG93" s="246"/>
      <c r="AH93" s="245"/>
    </row>
    <row r="94" spans="3:34" x14ac:dyDescent="0.2">
      <c r="C94" s="245"/>
      <c r="D94" s="245"/>
      <c r="E94" s="245"/>
      <c r="F94" s="245"/>
      <c r="G94" s="245"/>
      <c r="H94" s="245"/>
      <c r="I94" s="245"/>
      <c r="J94" s="245"/>
      <c r="K94" s="245"/>
      <c r="L94" s="245"/>
      <c r="M94" s="246"/>
      <c r="N94" s="246"/>
      <c r="O94" s="246"/>
      <c r="P94" s="246"/>
      <c r="Q94" s="246"/>
      <c r="R94" s="247"/>
      <c r="S94" s="248"/>
      <c r="T94" s="245"/>
      <c r="U94" s="245"/>
      <c r="V94" s="245"/>
      <c r="W94" s="245"/>
      <c r="X94" s="245"/>
      <c r="Y94" s="245"/>
      <c r="Z94" s="246"/>
      <c r="AA94" s="246"/>
      <c r="AB94" s="246"/>
      <c r="AC94" s="246"/>
      <c r="AD94" s="246"/>
      <c r="AE94" s="246"/>
      <c r="AF94" s="246"/>
      <c r="AG94" s="246"/>
      <c r="AH94" s="245"/>
    </row>
    <row r="95" spans="3:34" x14ac:dyDescent="0.2">
      <c r="C95" s="245"/>
      <c r="D95" s="245"/>
      <c r="E95" s="245"/>
      <c r="F95" s="245"/>
      <c r="G95" s="245"/>
      <c r="H95" s="245"/>
      <c r="I95" s="245"/>
      <c r="J95" s="245"/>
      <c r="K95" s="245"/>
      <c r="L95" s="245"/>
      <c r="M95" s="246"/>
      <c r="N95" s="246"/>
      <c r="O95" s="246"/>
      <c r="P95" s="246"/>
      <c r="Q95" s="246"/>
      <c r="R95" s="247"/>
      <c r="S95" s="248"/>
      <c r="T95" s="245"/>
      <c r="U95" s="245"/>
      <c r="V95" s="245"/>
      <c r="W95" s="245"/>
      <c r="X95" s="245"/>
      <c r="Y95" s="245"/>
      <c r="Z95" s="246"/>
      <c r="AA95" s="246"/>
      <c r="AB95" s="246"/>
      <c r="AC95" s="246"/>
      <c r="AD95" s="246"/>
      <c r="AE95" s="246"/>
      <c r="AF95" s="246"/>
      <c r="AG95" s="246"/>
      <c r="AH95" s="245"/>
    </row>
    <row r="96" spans="3:34" x14ac:dyDescent="0.2">
      <c r="C96" s="245"/>
      <c r="D96" s="245"/>
      <c r="E96" s="245"/>
      <c r="F96" s="245"/>
      <c r="G96" s="245"/>
      <c r="H96" s="245"/>
      <c r="I96" s="245"/>
      <c r="J96" s="245"/>
      <c r="K96" s="245"/>
      <c r="L96" s="245"/>
      <c r="M96" s="246"/>
      <c r="N96" s="246"/>
      <c r="O96" s="246"/>
      <c r="P96" s="246"/>
      <c r="Q96" s="246"/>
      <c r="R96" s="247"/>
      <c r="S96" s="248"/>
      <c r="T96" s="245"/>
      <c r="U96" s="245"/>
      <c r="V96" s="245"/>
      <c r="W96" s="245"/>
      <c r="X96" s="245"/>
      <c r="Y96" s="245"/>
      <c r="Z96" s="246"/>
      <c r="AA96" s="246"/>
      <c r="AB96" s="246"/>
      <c r="AC96" s="246"/>
      <c r="AD96" s="246"/>
      <c r="AE96" s="246"/>
      <c r="AF96" s="246"/>
      <c r="AG96" s="246"/>
      <c r="AH96" s="245"/>
    </row>
    <row r="97" spans="3:34" x14ac:dyDescent="0.2">
      <c r="C97" s="245"/>
      <c r="D97" s="245"/>
      <c r="E97" s="245"/>
      <c r="F97" s="245"/>
      <c r="G97" s="245"/>
      <c r="H97" s="245"/>
      <c r="I97" s="245"/>
      <c r="J97" s="245"/>
      <c r="K97" s="245"/>
      <c r="L97" s="245"/>
      <c r="M97" s="246"/>
      <c r="N97" s="246"/>
      <c r="O97" s="246"/>
      <c r="P97" s="246"/>
      <c r="Q97" s="246"/>
      <c r="R97" s="247"/>
      <c r="S97" s="248"/>
      <c r="T97" s="245"/>
      <c r="U97" s="245"/>
      <c r="V97" s="245"/>
      <c r="W97" s="245"/>
      <c r="X97" s="245"/>
      <c r="Y97" s="245"/>
      <c r="Z97" s="246"/>
      <c r="AA97" s="246"/>
      <c r="AB97" s="246"/>
      <c r="AC97" s="246"/>
      <c r="AD97" s="246"/>
      <c r="AE97" s="246"/>
      <c r="AF97" s="246"/>
      <c r="AG97" s="246"/>
      <c r="AH97" s="245"/>
    </row>
    <row r="98" spans="3:34" x14ac:dyDescent="0.2">
      <c r="C98" s="245"/>
      <c r="D98" s="245"/>
      <c r="E98" s="245"/>
      <c r="F98" s="245"/>
      <c r="G98" s="245"/>
      <c r="H98" s="245"/>
      <c r="I98" s="245"/>
      <c r="J98" s="245"/>
      <c r="K98" s="245"/>
      <c r="L98" s="245"/>
      <c r="M98" s="246"/>
      <c r="N98" s="246"/>
      <c r="O98" s="246"/>
      <c r="P98" s="246"/>
      <c r="Q98" s="246"/>
      <c r="R98" s="247"/>
      <c r="S98" s="248"/>
      <c r="T98" s="245"/>
      <c r="U98" s="245"/>
      <c r="V98" s="245"/>
      <c r="W98" s="245"/>
      <c r="X98" s="245"/>
      <c r="Y98" s="245"/>
      <c r="Z98" s="246"/>
      <c r="AA98" s="246"/>
      <c r="AB98" s="246"/>
      <c r="AC98" s="246"/>
      <c r="AD98" s="246"/>
      <c r="AE98" s="246"/>
      <c r="AF98" s="246"/>
      <c r="AG98" s="246"/>
      <c r="AH98" s="245"/>
    </row>
    <row r="99" spans="3:34" x14ac:dyDescent="0.2">
      <c r="C99" s="245"/>
      <c r="D99" s="245"/>
      <c r="E99" s="245"/>
      <c r="F99" s="245"/>
      <c r="G99" s="245"/>
      <c r="H99" s="245"/>
      <c r="I99" s="245"/>
      <c r="J99" s="245"/>
      <c r="K99" s="245"/>
      <c r="L99" s="245"/>
      <c r="M99" s="246"/>
      <c r="N99" s="246"/>
      <c r="O99" s="246"/>
      <c r="P99" s="246"/>
      <c r="Q99" s="246"/>
      <c r="R99" s="247"/>
      <c r="S99" s="248"/>
      <c r="T99" s="245"/>
      <c r="U99" s="245"/>
      <c r="V99" s="245"/>
      <c r="W99" s="245"/>
      <c r="X99" s="245"/>
      <c r="Y99" s="245"/>
      <c r="Z99" s="246"/>
      <c r="AA99" s="246"/>
      <c r="AB99" s="246"/>
      <c r="AC99" s="246"/>
      <c r="AD99" s="246"/>
      <c r="AE99" s="246"/>
      <c r="AF99" s="246"/>
      <c r="AG99" s="246"/>
      <c r="AH99" s="245"/>
    </row>
    <row r="100" spans="3:34" x14ac:dyDescent="0.2">
      <c r="C100" s="245"/>
      <c r="D100" s="245"/>
      <c r="E100" s="245"/>
      <c r="F100" s="245"/>
      <c r="G100" s="245"/>
      <c r="H100" s="245"/>
      <c r="I100" s="245"/>
      <c r="J100" s="245"/>
      <c r="K100" s="245"/>
      <c r="L100" s="245"/>
      <c r="M100" s="246"/>
      <c r="N100" s="246"/>
      <c r="O100" s="246"/>
      <c r="P100" s="246"/>
      <c r="Q100" s="246"/>
      <c r="R100" s="247"/>
      <c r="S100" s="248"/>
      <c r="T100" s="245"/>
      <c r="U100" s="245"/>
      <c r="V100" s="245"/>
      <c r="W100" s="245"/>
      <c r="X100" s="245"/>
      <c r="Y100" s="245"/>
      <c r="Z100" s="246"/>
      <c r="AA100" s="246"/>
      <c r="AB100" s="246"/>
      <c r="AC100" s="246"/>
      <c r="AD100" s="246"/>
      <c r="AE100" s="246"/>
      <c r="AF100" s="246"/>
      <c r="AG100" s="246"/>
      <c r="AH100" s="245"/>
    </row>
    <row r="101" spans="3:34" x14ac:dyDescent="0.2">
      <c r="C101" s="245"/>
      <c r="D101" s="245"/>
      <c r="E101" s="245"/>
      <c r="F101" s="245"/>
      <c r="G101" s="245"/>
      <c r="H101" s="245"/>
      <c r="I101" s="245"/>
      <c r="J101" s="245"/>
      <c r="K101" s="245"/>
      <c r="L101" s="245"/>
      <c r="M101" s="246"/>
      <c r="N101" s="246"/>
      <c r="O101" s="246"/>
      <c r="P101" s="246"/>
      <c r="Q101" s="246"/>
      <c r="R101" s="247"/>
      <c r="S101" s="248"/>
      <c r="T101" s="245"/>
      <c r="U101" s="245"/>
      <c r="V101" s="245"/>
      <c r="W101" s="245"/>
      <c r="X101" s="245"/>
      <c r="Y101" s="245"/>
      <c r="Z101" s="246"/>
      <c r="AA101" s="246"/>
      <c r="AB101" s="246"/>
      <c r="AC101" s="246"/>
      <c r="AD101" s="246"/>
      <c r="AE101" s="246"/>
      <c r="AF101" s="246"/>
      <c r="AG101" s="246"/>
      <c r="AH101" s="245"/>
    </row>
    <row r="102" spans="3:34" x14ac:dyDescent="0.2">
      <c r="C102" s="245"/>
      <c r="D102" s="245"/>
      <c r="E102" s="245"/>
      <c r="F102" s="245"/>
      <c r="G102" s="245"/>
      <c r="H102" s="245"/>
      <c r="I102" s="245"/>
      <c r="J102" s="245"/>
      <c r="K102" s="245"/>
      <c r="L102" s="245"/>
      <c r="M102" s="246"/>
      <c r="N102" s="246"/>
      <c r="O102" s="246"/>
      <c r="P102" s="246"/>
      <c r="Q102" s="246"/>
      <c r="R102" s="247"/>
      <c r="S102" s="248"/>
      <c r="T102" s="245"/>
      <c r="U102" s="245"/>
      <c r="V102" s="245"/>
      <c r="W102" s="245"/>
      <c r="X102" s="245"/>
      <c r="Y102" s="245"/>
      <c r="Z102" s="246"/>
      <c r="AA102" s="246"/>
      <c r="AB102" s="246"/>
      <c r="AC102" s="246"/>
      <c r="AD102" s="246"/>
      <c r="AE102" s="246"/>
      <c r="AF102" s="246"/>
      <c r="AG102" s="246"/>
      <c r="AH102" s="245"/>
    </row>
    <row r="103" spans="3:34" x14ac:dyDescent="0.2">
      <c r="C103" s="245"/>
      <c r="D103" s="245"/>
      <c r="E103" s="245"/>
      <c r="F103" s="245"/>
      <c r="G103" s="245"/>
      <c r="H103" s="245"/>
      <c r="I103" s="245"/>
      <c r="J103" s="245"/>
      <c r="K103" s="245"/>
      <c r="L103" s="245"/>
      <c r="M103" s="246"/>
      <c r="N103" s="246"/>
      <c r="O103" s="246"/>
      <c r="P103" s="246"/>
      <c r="Q103" s="246"/>
      <c r="R103" s="247"/>
      <c r="S103" s="248"/>
      <c r="T103" s="245"/>
      <c r="U103" s="245"/>
      <c r="V103" s="245"/>
      <c r="W103" s="245"/>
      <c r="X103" s="245"/>
      <c r="Y103" s="245"/>
      <c r="Z103" s="246"/>
      <c r="AA103" s="246"/>
      <c r="AB103" s="246"/>
      <c r="AC103" s="246"/>
      <c r="AD103" s="246"/>
      <c r="AE103" s="246"/>
      <c r="AF103" s="246"/>
      <c r="AG103" s="246"/>
      <c r="AH103" s="245"/>
    </row>
    <row r="104" spans="3:34" x14ac:dyDescent="0.2">
      <c r="C104" s="245"/>
      <c r="D104" s="245"/>
      <c r="E104" s="245"/>
      <c r="F104" s="245"/>
      <c r="G104" s="245"/>
      <c r="H104" s="245"/>
      <c r="I104" s="245"/>
      <c r="J104" s="245"/>
      <c r="K104" s="245"/>
      <c r="L104" s="245"/>
      <c r="M104" s="246"/>
      <c r="N104" s="246"/>
      <c r="O104" s="246"/>
      <c r="P104" s="246"/>
      <c r="Q104" s="246"/>
      <c r="R104" s="247"/>
      <c r="S104" s="248"/>
      <c r="T104" s="245"/>
      <c r="U104" s="245"/>
      <c r="V104" s="245"/>
      <c r="W104" s="245"/>
      <c r="X104" s="245"/>
      <c r="Y104" s="245"/>
      <c r="Z104" s="246"/>
      <c r="AA104" s="246"/>
      <c r="AB104" s="246"/>
      <c r="AC104" s="246"/>
      <c r="AD104" s="246"/>
      <c r="AE104" s="246"/>
      <c r="AF104" s="246"/>
      <c r="AG104" s="246"/>
      <c r="AH104" s="245"/>
    </row>
    <row r="105" spans="3:34" x14ac:dyDescent="0.2">
      <c r="C105" s="245"/>
      <c r="D105" s="245"/>
      <c r="E105" s="245"/>
      <c r="F105" s="245"/>
      <c r="G105" s="245"/>
      <c r="H105" s="245"/>
      <c r="I105" s="245"/>
      <c r="J105" s="245"/>
      <c r="K105" s="245"/>
      <c r="L105" s="245"/>
      <c r="M105" s="246"/>
      <c r="N105" s="246"/>
      <c r="O105" s="246"/>
      <c r="P105" s="246"/>
      <c r="Q105" s="246"/>
      <c r="R105" s="247"/>
      <c r="S105" s="248"/>
      <c r="T105" s="245"/>
      <c r="U105" s="245"/>
      <c r="V105" s="245"/>
      <c r="W105" s="245"/>
      <c r="X105" s="245"/>
      <c r="Y105" s="245"/>
      <c r="Z105" s="246"/>
      <c r="AA105" s="246"/>
      <c r="AB105" s="246"/>
      <c r="AC105" s="246"/>
      <c r="AD105" s="246"/>
      <c r="AE105" s="246"/>
      <c r="AF105" s="246"/>
      <c r="AG105" s="246"/>
      <c r="AH105" s="245"/>
    </row>
    <row r="106" spans="3:34" x14ac:dyDescent="0.2">
      <c r="C106" s="245"/>
      <c r="D106" s="245"/>
      <c r="E106" s="245"/>
      <c r="F106" s="245"/>
      <c r="G106" s="245"/>
      <c r="H106" s="245"/>
      <c r="I106" s="245"/>
      <c r="J106" s="245"/>
      <c r="K106" s="245"/>
      <c r="L106" s="245"/>
      <c r="M106" s="246"/>
      <c r="N106" s="246"/>
      <c r="O106" s="246"/>
      <c r="P106" s="246"/>
      <c r="Q106" s="246"/>
      <c r="R106" s="247"/>
      <c r="S106" s="248"/>
      <c r="T106" s="245"/>
      <c r="U106" s="245"/>
      <c r="V106" s="245"/>
      <c r="W106" s="245"/>
      <c r="X106" s="245"/>
      <c r="Y106" s="245"/>
      <c r="Z106" s="246"/>
      <c r="AA106" s="246"/>
      <c r="AB106" s="246"/>
      <c r="AC106" s="246"/>
      <c r="AD106" s="246"/>
      <c r="AE106" s="246"/>
      <c r="AF106" s="246"/>
      <c r="AG106" s="246"/>
      <c r="AH106" s="245"/>
    </row>
    <row r="107" spans="3:34" x14ac:dyDescent="0.2">
      <c r="C107" s="245"/>
      <c r="D107" s="245"/>
      <c r="E107" s="245"/>
      <c r="F107" s="245"/>
      <c r="G107" s="245"/>
      <c r="H107" s="245"/>
      <c r="I107" s="245"/>
      <c r="J107" s="245"/>
      <c r="K107" s="245"/>
      <c r="L107" s="245"/>
      <c r="M107" s="246"/>
      <c r="N107" s="246"/>
      <c r="O107" s="246"/>
      <c r="P107" s="246"/>
      <c r="Q107" s="246"/>
      <c r="R107" s="247"/>
      <c r="S107" s="248"/>
      <c r="T107" s="245"/>
      <c r="U107" s="245"/>
      <c r="V107" s="245"/>
      <c r="W107" s="245"/>
      <c r="X107" s="245"/>
      <c r="Y107" s="245"/>
      <c r="Z107" s="246"/>
      <c r="AA107" s="246"/>
      <c r="AB107" s="246"/>
      <c r="AC107" s="246"/>
      <c r="AD107" s="246"/>
      <c r="AE107" s="246"/>
      <c r="AF107" s="246"/>
      <c r="AG107" s="246"/>
      <c r="AH107" s="245"/>
    </row>
    <row r="108" spans="3:34" x14ac:dyDescent="0.2">
      <c r="C108" s="245"/>
      <c r="D108" s="245"/>
      <c r="E108" s="245"/>
      <c r="F108" s="245"/>
      <c r="G108" s="245"/>
      <c r="H108" s="245"/>
      <c r="I108" s="245"/>
      <c r="J108" s="245"/>
      <c r="K108" s="245"/>
      <c r="L108" s="245"/>
      <c r="M108" s="246"/>
      <c r="N108" s="246"/>
      <c r="O108" s="246"/>
      <c r="P108" s="246"/>
      <c r="Q108" s="246"/>
      <c r="R108" s="247"/>
      <c r="S108" s="248"/>
      <c r="T108" s="245"/>
      <c r="U108" s="245"/>
      <c r="V108" s="245"/>
      <c r="W108" s="245"/>
      <c r="X108" s="245"/>
      <c r="Y108" s="245"/>
      <c r="Z108" s="246"/>
      <c r="AA108" s="246"/>
      <c r="AB108" s="246"/>
      <c r="AC108" s="246"/>
      <c r="AD108" s="246"/>
      <c r="AE108" s="246"/>
      <c r="AF108" s="246"/>
      <c r="AG108" s="246"/>
      <c r="AH108" s="245"/>
    </row>
    <row r="109" spans="3:34" x14ac:dyDescent="0.2">
      <c r="C109" s="245"/>
      <c r="D109" s="245"/>
      <c r="E109" s="245"/>
      <c r="F109" s="245"/>
      <c r="G109" s="245"/>
      <c r="H109" s="245"/>
      <c r="I109" s="245"/>
      <c r="J109" s="245"/>
      <c r="K109" s="245"/>
      <c r="L109" s="245"/>
      <c r="M109" s="246"/>
      <c r="N109" s="246"/>
      <c r="O109" s="246"/>
      <c r="P109" s="246"/>
      <c r="Q109" s="246"/>
      <c r="R109" s="247"/>
      <c r="S109" s="248"/>
      <c r="T109" s="245"/>
      <c r="U109" s="245"/>
      <c r="V109" s="245"/>
      <c r="W109" s="245"/>
      <c r="X109" s="245"/>
      <c r="Y109" s="245"/>
      <c r="Z109" s="246"/>
      <c r="AA109" s="246"/>
      <c r="AB109" s="246"/>
      <c r="AC109" s="246"/>
      <c r="AD109" s="246"/>
      <c r="AE109" s="246"/>
      <c r="AF109" s="246"/>
      <c r="AG109" s="246"/>
      <c r="AH109" s="245"/>
    </row>
    <row r="110" spans="3:34" x14ac:dyDescent="0.2">
      <c r="C110" s="245"/>
      <c r="D110" s="245"/>
      <c r="E110" s="245"/>
      <c r="F110" s="245"/>
      <c r="G110" s="245"/>
      <c r="H110" s="245"/>
      <c r="I110" s="245"/>
      <c r="J110" s="245"/>
      <c r="K110" s="245"/>
      <c r="L110" s="245"/>
      <c r="M110" s="246"/>
      <c r="N110" s="246"/>
      <c r="O110" s="246"/>
      <c r="P110" s="246"/>
      <c r="Q110" s="246"/>
      <c r="R110" s="247"/>
      <c r="S110" s="248"/>
      <c r="T110" s="245"/>
      <c r="U110" s="245"/>
      <c r="V110" s="245"/>
      <c r="W110" s="245"/>
      <c r="X110" s="245"/>
      <c r="Y110" s="245"/>
      <c r="Z110" s="246"/>
      <c r="AA110" s="246"/>
      <c r="AB110" s="246"/>
      <c r="AC110" s="246"/>
      <c r="AD110" s="246"/>
      <c r="AE110" s="246"/>
      <c r="AF110" s="246"/>
      <c r="AG110" s="246"/>
      <c r="AH110" s="245"/>
    </row>
    <row r="111" spans="3:34" x14ac:dyDescent="0.2">
      <c r="C111" s="245"/>
      <c r="D111" s="245"/>
      <c r="E111" s="245"/>
      <c r="F111" s="245"/>
      <c r="G111" s="245"/>
      <c r="H111" s="245"/>
      <c r="I111" s="245"/>
      <c r="J111" s="245"/>
      <c r="K111" s="245"/>
      <c r="L111" s="245"/>
      <c r="M111" s="246"/>
      <c r="N111" s="246"/>
      <c r="O111" s="246"/>
      <c r="P111" s="246"/>
      <c r="Q111" s="246"/>
      <c r="R111" s="247"/>
      <c r="S111" s="248"/>
      <c r="T111" s="245"/>
      <c r="U111" s="245"/>
      <c r="V111" s="245"/>
      <c r="W111" s="245"/>
      <c r="X111" s="245"/>
      <c r="Y111" s="245"/>
      <c r="Z111" s="246"/>
      <c r="AA111" s="246"/>
      <c r="AB111" s="246"/>
      <c r="AC111" s="246"/>
      <c r="AD111" s="246"/>
      <c r="AE111" s="246"/>
      <c r="AF111" s="246"/>
      <c r="AG111" s="246"/>
      <c r="AH111" s="245"/>
    </row>
    <row r="112" spans="3:34" x14ac:dyDescent="0.2">
      <c r="C112" s="245"/>
      <c r="D112" s="245"/>
      <c r="E112" s="245"/>
      <c r="F112" s="245"/>
      <c r="G112" s="245"/>
      <c r="H112" s="245"/>
      <c r="I112" s="245"/>
      <c r="J112" s="245"/>
      <c r="K112" s="245"/>
      <c r="L112" s="245"/>
      <c r="M112" s="246"/>
      <c r="N112" s="246"/>
      <c r="O112" s="246"/>
      <c r="P112" s="246"/>
      <c r="Q112" s="246"/>
      <c r="R112" s="247"/>
      <c r="S112" s="248"/>
      <c r="T112" s="245"/>
      <c r="U112" s="245"/>
      <c r="V112" s="245"/>
      <c r="W112" s="245"/>
      <c r="X112" s="245"/>
      <c r="Y112" s="245"/>
      <c r="Z112" s="246"/>
      <c r="AA112" s="246"/>
      <c r="AB112" s="246"/>
      <c r="AC112" s="246"/>
      <c r="AD112" s="246"/>
      <c r="AE112" s="246"/>
      <c r="AF112" s="246"/>
      <c r="AG112" s="246"/>
      <c r="AH112" s="245"/>
    </row>
    <row r="113" spans="3:34" x14ac:dyDescent="0.2">
      <c r="C113" s="245"/>
      <c r="D113" s="245"/>
      <c r="E113" s="245"/>
      <c r="F113" s="245"/>
      <c r="G113" s="245"/>
      <c r="H113" s="245"/>
      <c r="I113" s="245"/>
      <c r="J113" s="245"/>
      <c r="K113" s="245"/>
      <c r="L113" s="245"/>
      <c r="M113" s="246"/>
      <c r="N113" s="246"/>
      <c r="O113" s="246"/>
      <c r="P113" s="246"/>
      <c r="Q113" s="246"/>
      <c r="R113" s="247"/>
      <c r="S113" s="248"/>
      <c r="T113" s="245"/>
      <c r="U113" s="245"/>
      <c r="V113" s="245"/>
      <c r="W113" s="245"/>
      <c r="X113" s="245"/>
      <c r="Y113" s="245"/>
      <c r="Z113" s="246"/>
      <c r="AA113" s="246"/>
      <c r="AB113" s="246"/>
      <c r="AC113" s="246"/>
      <c r="AD113" s="246"/>
      <c r="AE113" s="246"/>
      <c r="AF113" s="246"/>
      <c r="AG113" s="246"/>
      <c r="AH113" s="245"/>
    </row>
    <row r="114" spans="3:34" x14ac:dyDescent="0.2">
      <c r="C114" s="245"/>
      <c r="D114" s="245"/>
      <c r="E114" s="245"/>
      <c r="F114" s="245"/>
      <c r="G114" s="245"/>
      <c r="H114" s="245"/>
      <c r="I114" s="245"/>
      <c r="J114" s="245"/>
      <c r="K114" s="245"/>
      <c r="L114" s="245"/>
      <c r="M114" s="246"/>
      <c r="N114" s="246"/>
      <c r="O114" s="246"/>
      <c r="P114" s="246"/>
      <c r="Q114" s="246"/>
      <c r="R114" s="247"/>
      <c r="S114" s="248"/>
      <c r="T114" s="245"/>
      <c r="U114" s="245"/>
      <c r="V114" s="245"/>
      <c r="W114" s="245"/>
      <c r="X114" s="245"/>
      <c r="Y114" s="245"/>
      <c r="Z114" s="246"/>
      <c r="AA114" s="246"/>
      <c r="AB114" s="246"/>
      <c r="AC114" s="246"/>
      <c r="AD114" s="246"/>
      <c r="AE114" s="246"/>
      <c r="AF114" s="246"/>
      <c r="AG114" s="246"/>
      <c r="AH114" s="245"/>
    </row>
    <row r="115" spans="3:34" x14ac:dyDescent="0.2">
      <c r="C115" s="245"/>
      <c r="D115" s="245"/>
      <c r="E115" s="245"/>
      <c r="F115" s="245"/>
      <c r="G115" s="245"/>
      <c r="H115" s="245"/>
      <c r="I115" s="245"/>
      <c r="J115" s="245"/>
      <c r="K115" s="245"/>
      <c r="L115" s="245"/>
      <c r="M115" s="246"/>
      <c r="N115" s="246"/>
      <c r="O115" s="246"/>
      <c r="P115" s="246"/>
      <c r="Q115" s="246"/>
      <c r="R115" s="247"/>
      <c r="S115" s="248"/>
      <c r="T115" s="245"/>
      <c r="U115" s="245"/>
      <c r="V115" s="245"/>
      <c r="W115" s="245"/>
      <c r="X115" s="245"/>
      <c r="Y115" s="245"/>
      <c r="Z115" s="246"/>
      <c r="AA115" s="246"/>
      <c r="AB115" s="246"/>
      <c r="AC115" s="246"/>
      <c r="AD115" s="246"/>
      <c r="AE115" s="246"/>
      <c r="AF115" s="246"/>
      <c r="AG115" s="246"/>
      <c r="AH115" s="245"/>
    </row>
    <row r="116" spans="3:34" x14ac:dyDescent="0.2">
      <c r="C116" s="245"/>
      <c r="D116" s="245"/>
      <c r="E116" s="245"/>
      <c r="F116" s="245"/>
      <c r="G116" s="245"/>
      <c r="H116" s="245"/>
      <c r="I116" s="245"/>
      <c r="J116" s="245"/>
      <c r="K116" s="245"/>
      <c r="L116" s="245"/>
      <c r="M116" s="246"/>
      <c r="N116" s="246"/>
      <c r="O116" s="246"/>
      <c r="P116" s="246"/>
      <c r="Q116" s="246"/>
      <c r="R116" s="247"/>
      <c r="S116" s="248"/>
      <c r="T116" s="245"/>
      <c r="U116" s="245"/>
      <c r="V116" s="245"/>
      <c r="W116" s="245"/>
      <c r="X116" s="245"/>
      <c r="Y116" s="245"/>
      <c r="Z116" s="246"/>
      <c r="AA116" s="246"/>
      <c r="AB116" s="246"/>
      <c r="AC116" s="246"/>
      <c r="AD116" s="246"/>
      <c r="AE116" s="246"/>
      <c r="AF116" s="246"/>
      <c r="AG116" s="246"/>
      <c r="AH116" s="245"/>
    </row>
    <row r="117" spans="3:34" x14ac:dyDescent="0.2">
      <c r="C117" s="245"/>
      <c r="D117" s="245"/>
      <c r="E117" s="245"/>
      <c r="F117" s="245"/>
      <c r="G117" s="245"/>
      <c r="H117" s="245"/>
      <c r="I117" s="245"/>
      <c r="J117" s="245"/>
      <c r="K117" s="245"/>
      <c r="L117" s="245"/>
      <c r="M117" s="246"/>
      <c r="N117" s="246"/>
      <c r="O117" s="246"/>
      <c r="P117" s="246"/>
      <c r="Q117" s="246"/>
      <c r="R117" s="247"/>
      <c r="S117" s="248"/>
      <c r="T117" s="245"/>
      <c r="U117" s="245"/>
      <c r="V117" s="245"/>
      <c r="W117" s="245"/>
      <c r="X117" s="245"/>
      <c r="Y117" s="245"/>
      <c r="Z117" s="246"/>
      <c r="AA117" s="246"/>
      <c r="AB117" s="246"/>
      <c r="AC117" s="246"/>
      <c r="AD117" s="246"/>
      <c r="AE117" s="246"/>
      <c r="AF117" s="246"/>
      <c r="AG117" s="246"/>
      <c r="AH117" s="245"/>
    </row>
    <row r="118" spans="3:34" x14ac:dyDescent="0.2">
      <c r="C118" s="245"/>
      <c r="D118" s="245"/>
      <c r="E118" s="245"/>
      <c r="F118" s="245"/>
      <c r="G118" s="245"/>
      <c r="H118" s="245"/>
      <c r="I118" s="245"/>
      <c r="J118" s="245"/>
      <c r="K118" s="245"/>
      <c r="L118" s="245"/>
      <c r="M118" s="246"/>
      <c r="N118" s="246"/>
      <c r="O118" s="246"/>
      <c r="P118" s="246"/>
      <c r="Q118" s="246"/>
      <c r="R118" s="247"/>
      <c r="S118" s="248"/>
      <c r="T118" s="245"/>
      <c r="U118" s="245"/>
      <c r="V118" s="245"/>
      <c r="W118" s="245"/>
      <c r="X118" s="245"/>
      <c r="Y118" s="245"/>
      <c r="Z118" s="246"/>
      <c r="AA118" s="246"/>
      <c r="AB118" s="246"/>
      <c r="AC118" s="246"/>
      <c r="AD118" s="246"/>
      <c r="AE118" s="246"/>
      <c r="AF118" s="246"/>
      <c r="AG118" s="246"/>
      <c r="AH118" s="245"/>
    </row>
    <row r="119" spans="3:34" x14ac:dyDescent="0.2">
      <c r="C119" s="245"/>
      <c r="D119" s="245"/>
      <c r="E119" s="245"/>
      <c r="F119" s="245"/>
      <c r="G119" s="245"/>
      <c r="H119" s="245"/>
      <c r="I119" s="245"/>
      <c r="J119" s="245"/>
      <c r="K119" s="245"/>
      <c r="L119" s="245"/>
      <c r="M119" s="246"/>
      <c r="N119" s="246"/>
      <c r="O119" s="246"/>
      <c r="P119" s="246"/>
      <c r="Q119" s="246"/>
      <c r="R119" s="247"/>
      <c r="S119" s="248"/>
      <c r="T119" s="245"/>
      <c r="U119" s="245"/>
      <c r="V119" s="245"/>
      <c r="W119" s="245"/>
      <c r="X119" s="245"/>
      <c r="Y119" s="245"/>
      <c r="Z119" s="246"/>
      <c r="AA119" s="246"/>
      <c r="AB119" s="246"/>
      <c r="AC119" s="246"/>
      <c r="AD119" s="246"/>
      <c r="AE119" s="246"/>
      <c r="AF119" s="246"/>
      <c r="AG119" s="246"/>
      <c r="AH119" s="245"/>
    </row>
    <row r="120" spans="3:34" x14ac:dyDescent="0.2">
      <c r="C120" s="252"/>
      <c r="D120" s="252"/>
      <c r="E120" s="252"/>
      <c r="F120" s="252"/>
      <c r="G120" s="252"/>
      <c r="H120" s="252"/>
      <c r="I120" s="252"/>
      <c r="J120" s="252"/>
      <c r="K120" s="252"/>
      <c r="L120" s="252"/>
      <c r="M120" s="253"/>
      <c r="N120" s="253"/>
      <c r="O120" s="253"/>
      <c r="P120" s="253"/>
      <c r="Q120" s="253"/>
      <c r="R120" s="254"/>
      <c r="S120" s="255"/>
      <c r="T120" s="252"/>
      <c r="U120" s="252"/>
      <c r="V120" s="252"/>
      <c r="W120" s="252"/>
      <c r="X120" s="252"/>
      <c r="Y120" s="252"/>
      <c r="Z120" s="253"/>
      <c r="AA120" s="253"/>
      <c r="AB120" s="253"/>
      <c r="AC120" s="253"/>
      <c r="AD120" s="253"/>
      <c r="AE120" s="253"/>
      <c r="AF120" s="253"/>
      <c r="AG120" s="253"/>
      <c r="AH120" s="252"/>
    </row>
    <row r="121" spans="3:34" x14ac:dyDescent="0.2">
      <c r="C121" s="252"/>
      <c r="D121" s="252"/>
      <c r="E121" s="252"/>
      <c r="F121" s="252"/>
      <c r="G121" s="252"/>
      <c r="H121" s="252"/>
      <c r="I121" s="252"/>
      <c r="J121" s="252"/>
      <c r="K121" s="252"/>
      <c r="L121" s="252"/>
      <c r="M121" s="253"/>
      <c r="N121" s="253"/>
      <c r="O121" s="253"/>
      <c r="P121" s="253"/>
      <c r="Q121" s="253"/>
      <c r="R121" s="254"/>
      <c r="S121" s="255"/>
      <c r="T121" s="252"/>
      <c r="U121" s="252"/>
      <c r="V121" s="252"/>
      <c r="W121" s="252"/>
      <c r="X121" s="252"/>
      <c r="Y121" s="252"/>
      <c r="Z121" s="253"/>
      <c r="AA121" s="253"/>
      <c r="AB121" s="253"/>
      <c r="AC121" s="253"/>
      <c r="AD121" s="253"/>
      <c r="AE121" s="253"/>
      <c r="AF121" s="253"/>
      <c r="AG121" s="253"/>
      <c r="AH121" s="252"/>
    </row>
    <row r="122" spans="3:34" x14ac:dyDescent="0.2">
      <c r="C122" s="252"/>
      <c r="D122" s="252"/>
      <c r="E122" s="252"/>
      <c r="F122" s="252"/>
      <c r="G122" s="252"/>
      <c r="H122" s="252"/>
      <c r="I122" s="252"/>
      <c r="J122" s="252"/>
      <c r="K122" s="252"/>
      <c r="L122" s="252"/>
      <c r="M122" s="253"/>
      <c r="N122" s="253"/>
      <c r="O122" s="253"/>
      <c r="P122" s="253"/>
      <c r="Q122" s="253"/>
      <c r="R122" s="254"/>
      <c r="S122" s="255"/>
      <c r="T122" s="252"/>
      <c r="U122" s="252"/>
      <c r="V122" s="252"/>
      <c r="W122" s="252"/>
      <c r="X122" s="252"/>
      <c r="Y122" s="252"/>
      <c r="Z122" s="253"/>
      <c r="AA122" s="253"/>
      <c r="AB122" s="253"/>
      <c r="AC122" s="253"/>
      <c r="AD122" s="253"/>
      <c r="AE122" s="253"/>
      <c r="AF122" s="253"/>
      <c r="AG122" s="253"/>
      <c r="AH122" s="252"/>
    </row>
    <row r="123" spans="3:34" x14ac:dyDescent="0.2">
      <c r="C123" s="252"/>
      <c r="D123" s="252"/>
      <c r="E123" s="252"/>
      <c r="F123" s="252"/>
      <c r="G123" s="252"/>
      <c r="H123" s="252"/>
      <c r="I123" s="252"/>
      <c r="J123" s="252"/>
      <c r="K123" s="252"/>
      <c r="L123" s="252"/>
      <c r="M123" s="253"/>
      <c r="N123" s="253"/>
      <c r="O123" s="253"/>
      <c r="P123" s="253"/>
      <c r="Q123" s="253"/>
      <c r="R123" s="254"/>
      <c r="S123" s="255"/>
      <c r="T123" s="252"/>
      <c r="U123" s="252"/>
      <c r="V123" s="252"/>
      <c r="W123" s="252"/>
      <c r="X123" s="252"/>
      <c r="Y123" s="252"/>
      <c r="Z123" s="253"/>
      <c r="AA123" s="253"/>
      <c r="AB123" s="253"/>
      <c r="AC123" s="253"/>
      <c r="AD123" s="253"/>
      <c r="AE123" s="253"/>
      <c r="AF123" s="253"/>
      <c r="AG123" s="253"/>
      <c r="AH123" s="252"/>
    </row>
    <row r="124" spans="3:34" x14ac:dyDescent="0.2">
      <c r="C124" s="252"/>
      <c r="D124" s="252"/>
      <c r="E124" s="252"/>
      <c r="F124" s="252"/>
      <c r="G124" s="252"/>
      <c r="H124" s="252"/>
      <c r="I124" s="252"/>
      <c r="J124" s="252"/>
      <c r="K124" s="252"/>
      <c r="L124" s="252"/>
      <c r="M124" s="253"/>
      <c r="N124" s="253"/>
      <c r="O124" s="253"/>
      <c r="P124" s="253"/>
      <c r="Q124" s="253"/>
      <c r="R124" s="254"/>
      <c r="S124" s="255"/>
      <c r="T124" s="252"/>
      <c r="U124" s="252"/>
      <c r="V124" s="252"/>
      <c r="W124" s="252"/>
      <c r="X124" s="252"/>
      <c r="Y124" s="252"/>
      <c r="Z124" s="253"/>
      <c r="AA124" s="253"/>
      <c r="AB124" s="253"/>
      <c r="AC124" s="253"/>
      <c r="AD124" s="253"/>
      <c r="AE124" s="253"/>
      <c r="AF124" s="253"/>
      <c r="AG124" s="253"/>
      <c r="AH124" s="252"/>
    </row>
    <row r="125" spans="3:34" x14ac:dyDescent="0.2">
      <c r="C125" s="252"/>
      <c r="D125" s="252"/>
      <c r="E125" s="252"/>
      <c r="F125" s="252"/>
      <c r="G125" s="252"/>
      <c r="H125" s="252"/>
      <c r="I125" s="252"/>
      <c r="J125" s="252"/>
      <c r="K125" s="252"/>
      <c r="L125" s="252"/>
      <c r="M125" s="253"/>
      <c r="N125" s="253"/>
      <c r="O125" s="253"/>
      <c r="P125" s="253"/>
      <c r="Q125" s="253"/>
      <c r="R125" s="254"/>
      <c r="S125" s="255"/>
      <c r="T125" s="252"/>
      <c r="U125" s="252"/>
      <c r="V125" s="252"/>
      <c r="W125" s="252"/>
      <c r="X125" s="252"/>
      <c r="Y125" s="252"/>
      <c r="Z125" s="253"/>
      <c r="AA125" s="253"/>
      <c r="AB125" s="253"/>
      <c r="AC125" s="253"/>
      <c r="AD125" s="253"/>
      <c r="AE125" s="253"/>
      <c r="AF125" s="253"/>
      <c r="AG125" s="253"/>
      <c r="AH125" s="252"/>
    </row>
    <row r="126" spans="3:34" x14ac:dyDescent="0.2">
      <c r="C126" s="252"/>
      <c r="D126" s="252"/>
      <c r="E126" s="252"/>
      <c r="F126" s="252"/>
      <c r="G126" s="252"/>
      <c r="H126" s="252"/>
      <c r="I126" s="252"/>
      <c r="J126" s="252"/>
      <c r="K126" s="252"/>
      <c r="L126" s="252"/>
      <c r="M126" s="253"/>
      <c r="N126" s="253"/>
      <c r="O126" s="253"/>
      <c r="P126" s="253"/>
      <c r="Q126" s="253"/>
      <c r="R126" s="254"/>
      <c r="S126" s="255"/>
      <c r="T126" s="252"/>
      <c r="U126" s="252"/>
      <c r="V126" s="252"/>
      <c r="W126" s="252"/>
      <c r="X126" s="252"/>
      <c r="Y126" s="252"/>
      <c r="Z126" s="253"/>
      <c r="AA126" s="253"/>
      <c r="AB126" s="253"/>
      <c r="AC126" s="253"/>
      <c r="AD126" s="253"/>
      <c r="AE126" s="253"/>
      <c r="AF126" s="253"/>
      <c r="AG126" s="253"/>
      <c r="AH126" s="252"/>
    </row>
    <row r="127" spans="3:34" x14ac:dyDescent="0.2">
      <c r="C127" s="252"/>
      <c r="D127" s="252"/>
      <c r="E127" s="252"/>
      <c r="F127" s="252"/>
      <c r="G127" s="252"/>
      <c r="H127" s="252"/>
      <c r="I127" s="252"/>
      <c r="J127" s="252"/>
      <c r="K127" s="252"/>
      <c r="L127" s="252"/>
      <c r="M127" s="253"/>
      <c r="N127" s="253"/>
      <c r="O127" s="253"/>
      <c r="P127" s="253"/>
      <c r="Q127" s="253"/>
      <c r="R127" s="254"/>
      <c r="S127" s="255"/>
      <c r="T127" s="252"/>
      <c r="U127" s="252"/>
      <c r="V127" s="252"/>
      <c r="W127" s="252"/>
      <c r="X127" s="252"/>
      <c r="Y127" s="252"/>
      <c r="Z127" s="253"/>
      <c r="AA127" s="253"/>
      <c r="AB127" s="253"/>
      <c r="AC127" s="253"/>
      <c r="AD127" s="253"/>
      <c r="AE127" s="253"/>
      <c r="AF127" s="253"/>
      <c r="AG127" s="253"/>
      <c r="AH127" s="252"/>
    </row>
    <row r="128" spans="3:34" x14ac:dyDescent="0.2">
      <c r="C128" s="252"/>
      <c r="D128" s="252"/>
      <c r="E128" s="252"/>
      <c r="F128" s="252"/>
      <c r="G128" s="252"/>
      <c r="H128" s="252"/>
      <c r="I128" s="252"/>
      <c r="J128" s="252"/>
      <c r="K128" s="252"/>
      <c r="L128" s="252"/>
      <c r="M128" s="253"/>
      <c r="N128" s="253"/>
      <c r="O128" s="253"/>
      <c r="P128" s="253"/>
      <c r="Q128" s="253"/>
      <c r="R128" s="254"/>
      <c r="S128" s="255"/>
      <c r="T128" s="252"/>
      <c r="U128" s="252"/>
      <c r="V128" s="252"/>
      <c r="W128" s="252"/>
      <c r="X128" s="252"/>
      <c r="Y128" s="252"/>
      <c r="Z128" s="253"/>
      <c r="AA128" s="253"/>
      <c r="AB128" s="253"/>
      <c r="AC128" s="253"/>
      <c r="AD128" s="253"/>
      <c r="AE128" s="253"/>
      <c r="AF128" s="253"/>
      <c r="AG128" s="253"/>
      <c r="AH128" s="252"/>
    </row>
    <row r="129" spans="3:34" x14ac:dyDescent="0.2">
      <c r="C129" s="252"/>
      <c r="D129" s="252"/>
      <c r="E129" s="252"/>
      <c r="F129" s="252"/>
      <c r="G129" s="252"/>
      <c r="H129" s="252"/>
      <c r="I129" s="252"/>
      <c r="J129" s="252"/>
      <c r="K129" s="252"/>
      <c r="L129" s="252"/>
      <c r="M129" s="253"/>
      <c r="N129" s="253"/>
      <c r="O129" s="253"/>
      <c r="P129" s="253"/>
      <c r="Q129" s="253"/>
      <c r="R129" s="254"/>
      <c r="S129" s="255"/>
      <c r="T129" s="252"/>
      <c r="U129" s="252"/>
      <c r="V129" s="252"/>
      <c r="W129" s="252"/>
      <c r="X129" s="252"/>
      <c r="Y129" s="252"/>
      <c r="Z129" s="253"/>
      <c r="AA129" s="253"/>
      <c r="AB129" s="253"/>
      <c r="AC129" s="253"/>
      <c r="AD129" s="253"/>
      <c r="AE129" s="253"/>
      <c r="AF129" s="253"/>
      <c r="AG129" s="253"/>
      <c r="AH129" s="252"/>
    </row>
    <row r="130" spans="3:34" x14ac:dyDescent="0.2">
      <c r="C130" s="252"/>
      <c r="D130" s="252"/>
      <c r="E130" s="252"/>
      <c r="F130" s="252"/>
      <c r="G130" s="252"/>
      <c r="H130" s="252"/>
      <c r="I130" s="252"/>
      <c r="J130" s="252"/>
      <c r="K130" s="252"/>
      <c r="L130" s="252"/>
      <c r="M130" s="253"/>
      <c r="N130" s="253"/>
      <c r="O130" s="253"/>
      <c r="P130" s="253"/>
      <c r="Q130" s="253"/>
      <c r="R130" s="254"/>
      <c r="S130" s="255"/>
      <c r="T130" s="252"/>
      <c r="U130" s="252"/>
      <c r="V130" s="252"/>
      <c r="W130" s="252"/>
      <c r="X130" s="252"/>
      <c r="Y130" s="252"/>
      <c r="Z130" s="253"/>
      <c r="AA130" s="253"/>
      <c r="AB130" s="253"/>
      <c r="AC130" s="253"/>
      <c r="AD130" s="253"/>
      <c r="AE130" s="253"/>
      <c r="AF130" s="253"/>
      <c r="AG130" s="253"/>
      <c r="AH130" s="252"/>
    </row>
    <row r="131" spans="3:34" x14ac:dyDescent="0.2">
      <c r="C131" s="252"/>
      <c r="D131" s="252"/>
      <c r="E131" s="252"/>
      <c r="F131" s="252"/>
      <c r="G131" s="252"/>
      <c r="H131" s="252"/>
      <c r="I131" s="252"/>
      <c r="J131" s="252"/>
      <c r="K131" s="252"/>
      <c r="L131" s="252"/>
      <c r="M131" s="253"/>
      <c r="N131" s="253"/>
      <c r="O131" s="253"/>
      <c r="P131" s="253"/>
      <c r="Q131" s="253"/>
      <c r="R131" s="254"/>
      <c r="S131" s="255"/>
      <c r="T131" s="252"/>
      <c r="U131" s="252"/>
      <c r="V131" s="252"/>
      <c r="W131" s="252"/>
      <c r="X131" s="252"/>
      <c r="Y131" s="252"/>
      <c r="Z131" s="253"/>
      <c r="AA131" s="253"/>
      <c r="AB131" s="253"/>
      <c r="AC131" s="253"/>
      <c r="AD131" s="253"/>
      <c r="AE131" s="253"/>
      <c r="AF131" s="253"/>
      <c r="AG131" s="253"/>
      <c r="AH131" s="252"/>
    </row>
    <row r="132" spans="3:34" x14ac:dyDescent="0.2">
      <c r="C132" s="252"/>
      <c r="D132" s="252"/>
      <c r="E132" s="252"/>
      <c r="F132" s="252"/>
      <c r="G132" s="252"/>
      <c r="H132" s="252"/>
      <c r="I132" s="252"/>
      <c r="J132" s="252"/>
      <c r="K132" s="252"/>
      <c r="L132" s="252"/>
      <c r="M132" s="253"/>
      <c r="N132" s="253"/>
      <c r="O132" s="253"/>
      <c r="P132" s="253"/>
      <c r="Q132" s="253"/>
      <c r="R132" s="254"/>
      <c r="S132" s="255"/>
      <c r="T132" s="252"/>
      <c r="U132" s="252"/>
      <c r="V132" s="252"/>
      <c r="W132" s="252"/>
      <c r="X132" s="252"/>
      <c r="Y132" s="252"/>
      <c r="Z132" s="253"/>
      <c r="AA132" s="253"/>
      <c r="AB132" s="253"/>
      <c r="AC132" s="253"/>
      <c r="AD132" s="253"/>
      <c r="AE132" s="253"/>
      <c r="AF132" s="253"/>
      <c r="AG132" s="253"/>
      <c r="AH132" s="252"/>
    </row>
    <row r="133" spans="3:34" x14ac:dyDescent="0.2">
      <c r="C133" s="252"/>
      <c r="D133" s="252"/>
      <c r="E133" s="252"/>
      <c r="F133" s="252"/>
      <c r="G133" s="252"/>
      <c r="H133" s="252"/>
      <c r="I133" s="252"/>
      <c r="J133" s="252"/>
      <c r="K133" s="252"/>
      <c r="L133" s="252"/>
      <c r="M133" s="253"/>
      <c r="N133" s="253"/>
      <c r="O133" s="253"/>
      <c r="P133" s="253"/>
      <c r="Q133" s="253"/>
      <c r="R133" s="254"/>
      <c r="S133" s="255"/>
      <c r="T133" s="252"/>
      <c r="U133" s="252"/>
      <c r="V133" s="252"/>
      <c r="W133" s="252"/>
      <c r="X133" s="252"/>
      <c r="Y133" s="252"/>
      <c r="Z133" s="253"/>
      <c r="AA133" s="253"/>
      <c r="AB133" s="253"/>
      <c r="AC133" s="253"/>
      <c r="AD133" s="253"/>
      <c r="AE133" s="253"/>
      <c r="AF133" s="253"/>
      <c r="AG133" s="253"/>
      <c r="AH133" s="252"/>
    </row>
    <row r="134" spans="3:34" x14ac:dyDescent="0.2">
      <c r="C134" s="252"/>
      <c r="D134" s="252"/>
      <c r="E134" s="252"/>
      <c r="F134" s="252"/>
      <c r="G134" s="252"/>
      <c r="H134" s="252"/>
      <c r="I134" s="252"/>
      <c r="J134" s="252"/>
      <c r="K134" s="252"/>
      <c r="L134" s="252"/>
      <c r="M134" s="253"/>
      <c r="N134" s="253"/>
      <c r="O134" s="253"/>
      <c r="P134" s="253"/>
      <c r="Q134" s="253"/>
      <c r="R134" s="254"/>
      <c r="S134" s="255"/>
      <c r="T134" s="252"/>
      <c r="U134" s="252"/>
      <c r="V134" s="252"/>
      <c r="W134" s="252"/>
      <c r="X134" s="252"/>
      <c r="Y134" s="252"/>
      <c r="Z134" s="253"/>
      <c r="AA134" s="253"/>
      <c r="AB134" s="253"/>
      <c r="AC134" s="253"/>
      <c r="AD134" s="253"/>
      <c r="AE134" s="253"/>
      <c r="AF134" s="253"/>
      <c r="AG134" s="253"/>
      <c r="AH134" s="252"/>
    </row>
    <row r="135" spans="3:34" x14ac:dyDescent="0.2">
      <c r="C135" s="252"/>
      <c r="D135" s="252"/>
      <c r="E135" s="252"/>
      <c r="F135" s="252"/>
      <c r="G135" s="252"/>
      <c r="H135" s="252"/>
      <c r="I135" s="252"/>
      <c r="J135" s="252"/>
      <c r="K135" s="252"/>
      <c r="L135" s="252"/>
      <c r="M135" s="253"/>
      <c r="N135" s="253"/>
      <c r="O135" s="253"/>
      <c r="P135" s="253"/>
      <c r="Q135" s="253"/>
      <c r="R135" s="254"/>
      <c r="S135" s="255"/>
      <c r="T135" s="252"/>
      <c r="U135" s="252"/>
      <c r="V135" s="252"/>
      <c r="W135" s="252"/>
      <c r="X135" s="252"/>
      <c r="Y135" s="252"/>
      <c r="Z135" s="253"/>
      <c r="AA135" s="253"/>
      <c r="AB135" s="253"/>
      <c r="AC135" s="253"/>
      <c r="AD135" s="253"/>
      <c r="AE135" s="253"/>
      <c r="AF135" s="253"/>
      <c r="AG135" s="253"/>
      <c r="AH135" s="252"/>
    </row>
    <row r="136" spans="3:34" x14ac:dyDescent="0.2">
      <c r="C136" s="252"/>
      <c r="D136" s="252"/>
      <c r="E136" s="252"/>
      <c r="F136" s="252"/>
      <c r="G136" s="252"/>
      <c r="H136" s="252"/>
      <c r="I136" s="252"/>
      <c r="J136" s="252"/>
      <c r="K136" s="252"/>
      <c r="L136" s="252"/>
      <c r="M136" s="253"/>
      <c r="N136" s="253"/>
      <c r="O136" s="253"/>
      <c r="P136" s="253"/>
      <c r="Q136" s="253"/>
      <c r="R136" s="254"/>
      <c r="S136" s="255"/>
      <c r="T136" s="252"/>
      <c r="U136" s="252"/>
      <c r="V136" s="252"/>
      <c r="W136" s="252"/>
      <c r="X136" s="252"/>
      <c r="Y136" s="252"/>
      <c r="Z136" s="253"/>
      <c r="AA136" s="253"/>
      <c r="AB136" s="253"/>
      <c r="AC136" s="253"/>
      <c r="AD136" s="253"/>
      <c r="AE136" s="253"/>
      <c r="AF136" s="253"/>
      <c r="AG136" s="253"/>
      <c r="AH136" s="252"/>
    </row>
    <row r="137" spans="3:34" x14ac:dyDescent="0.2">
      <c r="C137" s="252"/>
      <c r="D137" s="252"/>
      <c r="E137" s="252"/>
      <c r="F137" s="252"/>
      <c r="G137" s="252"/>
      <c r="H137" s="252"/>
      <c r="I137" s="252"/>
      <c r="J137" s="252"/>
      <c r="K137" s="252"/>
      <c r="L137" s="252"/>
      <c r="M137" s="253"/>
      <c r="N137" s="253"/>
      <c r="O137" s="253"/>
      <c r="P137" s="253"/>
      <c r="Q137" s="253"/>
      <c r="R137" s="254"/>
      <c r="S137" s="255"/>
      <c r="T137" s="252"/>
      <c r="U137" s="252"/>
      <c r="V137" s="252"/>
      <c r="W137" s="252"/>
      <c r="X137" s="252"/>
      <c r="Y137" s="252"/>
      <c r="Z137" s="253"/>
      <c r="AA137" s="253"/>
      <c r="AB137" s="253"/>
      <c r="AC137" s="253"/>
      <c r="AD137" s="253"/>
      <c r="AE137" s="253"/>
      <c r="AF137" s="253"/>
      <c r="AG137" s="253"/>
      <c r="AH137" s="252"/>
    </row>
    <row r="138" spans="3:34" x14ac:dyDescent="0.2">
      <c r="C138" s="252"/>
      <c r="D138" s="252"/>
      <c r="E138" s="252"/>
      <c r="F138" s="252"/>
      <c r="G138" s="252"/>
      <c r="H138" s="252"/>
      <c r="I138" s="252"/>
      <c r="J138" s="252"/>
      <c r="K138" s="252"/>
      <c r="L138" s="252"/>
      <c r="M138" s="253"/>
      <c r="N138" s="253"/>
      <c r="O138" s="253"/>
      <c r="P138" s="253"/>
      <c r="Q138" s="253"/>
      <c r="R138" s="254"/>
      <c r="S138" s="255"/>
      <c r="T138" s="252"/>
      <c r="U138" s="252"/>
      <c r="V138" s="252"/>
      <c r="W138" s="252"/>
      <c r="X138" s="252"/>
      <c r="Y138" s="252"/>
      <c r="Z138" s="253"/>
      <c r="AA138" s="253"/>
      <c r="AB138" s="253"/>
      <c r="AC138" s="253"/>
      <c r="AD138" s="253"/>
      <c r="AE138" s="253"/>
      <c r="AF138" s="253"/>
      <c r="AG138" s="253"/>
      <c r="AH138" s="252"/>
    </row>
    <row r="139" spans="3:34" x14ac:dyDescent="0.2">
      <c r="C139" s="252"/>
      <c r="D139" s="252"/>
      <c r="E139" s="252"/>
      <c r="F139" s="252"/>
      <c r="G139" s="252"/>
      <c r="H139" s="252"/>
      <c r="I139" s="252"/>
      <c r="J139" s="252"/>
      <c r="K139" s="252"/>
      <c r="L139" s="252"/>
      <c r="M139" s="253"/>
      <c r="N139" s="253"/>
      <c r="O139" s="253"/>
      <c r="P139" s="253"/>
      <c r="Q139" s="253"/>
      <c r="R139" s="254"/>
      <c r="S139" s="255"/>
      <c r="T139" s="252"/>
      <c r="U139" s="252"/>
      <c r="V139" s="252"/>
      <c r="W139" s="252"/>
      <c r="X139" s="252"/>
      <c r="Y139" s="252"/>
      <c r="Z139" s="253"/>
      <c r="AA139" s="253"/>
      <c r="AB139" s="253"/>
      <c r="AC139" s="253"/>
      <c r="AD139" s="253"/>
      <c r="AE139" s="253"/>
      <c r="AF139" s="253"/>
      <c r="AG139" s="253"/>
      <c r="AH139" s="252"/>
    </row>
    <row r="140" spans="3:34" x14ac:dyDescent="0.2">
      <c r="C140" s="252"/>
      <c r="D140" s="252"/>
      <c r="E140" s="252"/>
      <c r="F140" s="252"/>
      <c r="G140" s="252"/>
      <c r="H140" s="252"/>
      <c r="I140" s="252"/>
      <c r="J140" s="252"/>
      <c r="K140" s="252"/>
      <c r="L140" s="252"/>
      <c r="M140" s="253"/>
      <c r="N140" s="253"/>
      <c r="O140" s="253"/>
      <c r="P140" s="253"/>
      <c r="Q140" s="253"/>
      <c r="R140" s="254"/>
      <c r="S140" s="255"/>
      <c r="T140" s="252"/>
      <c r="U140" s="252"/>
      <c r="V140" s="252"/>
      <c r="W140" s="252"/>
      <c r="X140" s="252"/>
      <c r="Y140" s="252"/>
      <c r="Z140" s="253"/>
      <c r="AA140" s="253"/>
      <c r="AB140" s="253"/>
      <c r="AC140" s="253"/>
      <c r="AD140" s="253"/>
      <c r="AE140" s="253"/>
      <c r="AF140" s="253"/>
      <c r="AG140" s="253"/>
      <c r="AH140" s="252"/>
    </row>
    <row r="141" spans="3:34" x14ac:dyDescent="0.2">
      <c r="C141" s="252"/>
      <c r="D141" s="252"/>
      <c r="E141" s="252"/>
      <c r="F141" s="252"/>
      <c r="G141" s="252"/>
      <c r="H141" s="252"/>
      <c r="I141" s="252"/>
      <c r="J141" s="252"/>
      <c r="K141" s="252"/>
      <c r="L141" s="252"/>
      <c r="M141" s="253"/>
      <c r="N141" s="253"/>
      <c r="O141" s="253"/>
      <c r="P141" s="253"/>
      <c r="Q141" s="253"/>
      <c r="R141" s="254"/>
      <c r="S141" s="255"/>
      <c r="T141" s="252"/>
      <c r="U141" s="252"/>
      <c r="V141" s="252"/>
      <c r="W141" s="252"/>
      <c r="X141" s="252"/>
      <c r="Y141" s="252"/>
      <c r="Z141" s="253"/>
      <c r="AA141" s="253"/>
      <c r="AB141" s="253"/>
      <c r="AC141" s="253"/>
      <c r="AD141" s="253"/>
      <c r="AE141" s="253"/>
      <c r="AF141" s="253"/>
      <c r="AG141" s="253"/>
      <c r="AH141" s="252"/>
    </row>
    <row r="142" spans="3:34" x14ac:dyDescent="0.2">
      <c r="C142" s="252"/>
      <c r="D142" s="252"/>
      <c r="E142" s="252"/>
      <c r="F142" s="252"/>
      <c r="G142" s="252"/>
      <c r="H142" s="252"/>
      <c r="I142" s="252"/>
      <c r="J142" s="252"/>
      <c r="K142" s="252"/>
      <c r="L142" s="252"/>
      <c r="M142" s="253"/>
      <c r="N142" s="253"/>
      <c r="O142" s="253"/>
      <c r="P142" s="253"/>
      <c r="Q142" s="253"/>
      <c r="R142" s="254"/>
      <c r="S142" s="255"/>
      <c r="T142" s="252"/>
      <c r="U142" s="252"/>
      <c r="V142" s="252"/>
      <c r="W142" s="252"/>
      <c r="X142" s="252"/>
      <c r="Y142" s="252"/>
      <c r="Z142" s="253"/>
      <c r="AA142" s="253"/>
      <c r="AB142" s="253"/>
      <c r="AC142" s="253"/>
      <c r="AD142" s="253"/>
      <c r="AE142" s="253"/>
      <c r="AF142" s="253"/>
      <c r="AG142" s="253"/>
      <c r="AH142" s="252"/>
    </row>
    <row r="143" spans="3:34" x14ac:dyDescent="0.2">
      <c r="C143" s="252"/>
      <c r="D143" s="252"/>
      <c r="E143" s="252"/>
      <c r="F143" s="252"/>
      <c r="G143" s="252"/>
      <c r="H143" s="252"/>
      <c r="I143" s="252"/>
      <c r="J143" s="252"/>
      <c r="K143" s="252"/>
      <c r="L143" s="252"/>
      <c r="M143" s="253"/>
      <c r="N143" s="253"/>
      <c r="O143" s="253"/>
      <c r="P143" s="253"/>
      <c r="Q143" s="253"/>
      <c r="R143" s="254"/>
      <c r="S143" s="255"/>
      <c r="T143" s="252"/>
      <c r="U143" s="252"/>
      <c r="V143" s="252"/>
      <c r="W143" s="252"/>
      <c r="X143" s="252"/>
      <c r="Y143" s="252"/>
      <c r="Z143" s="253"/>
      <c r="AA143" s="253"/>
      <c r="AB143" s="253"/>
      <c r="AC143" s="253"/>
      <c r="AD143" s="253"/>
      <c r="AE143" s="253"/>
      <c r="AF143" s="253"/>
      <c r="AG143" s="253"/>
      <c r="AH143" s="252"/>
    </row>
    <row r="144" spans="3:34" x14ac:dyDescent="0.2">
      <c r="C144" s="252"/>
      <c r="D144" s="252"/>
      <c r="E144" s="252"/>
      <c r="F144" s="252"/>
      <c r="G144" s="252"/>
      <c r="H144" s="252"/>
      <c r="I144" s="252"/>
      <c r="J144" s="252"/>
      <c r="K144" s="252"/>
      <c r="L144" s="252"/>
      <c r="M144" s="253"/>
      <c r="N144" s="253"/>
      <c r="O144" s="253"/>
      <c r="P144" s="253"/>
      <c r="Q144" s="253"/>
      <c r="R144" s="254"/>
      <c r="S144" s="255"/>
      <c r="T144" s="252"/>
      <c r="U144" s="252"/>
      <c r="V144" s="252"/>
      <c r="W144" s="252"/>
      <c r="X144" s="252"/>
      <c r="Y144" s="252"/>
      <c r="Z144" s="253"/>
      <c r="AA144" s="253"/>
      <c r="AB144" s="253"/>
      <c r="AC144" s="253"/>
      <c r="AD144" s="253"/>
      <c r="AE144" s="253"/>
      <c r="AF144" s="253"/>
      <c r="AG144" s="253"/>
      <c r="AH144" s="252"/>
    </row>
    <row r="145" spans="3:34" x14ac:dyDescent="0.2">
      <c r="C145" s="252"/>
      <c r="D145" s="252"/>
      <c r="E145" s="252"/>
      <c r="F145" s="252"/>
      <c r="G145" s="252"/>
      <c r="H145" s="252"/>
      <c r="I145" s="252"/>
      <c r="J145" s="252"/>
      <c r="K145" s="252"/>
      <c r="L145" s="252"/>
      <c r="M145" s="253"/>
      <c r="N145" s="253"/>
      <c r="O145" s="253"/>
      <c r="P145" s="253"/>
      <c r="Q145" s="253"/>
      <c r="R145" s="254"/>
      <c r="S145" s="255"/>
      <c r="T145" s="252"/>
      <c r="U145" s="252"/>
      <c r="V145" s="252"/>
      <c r="W145" s="252"/>
      <c r="X145" s="252"/>
      <c r="Y145" s="252"/>
      <c r="Z145" s="253"/>
      <c r="AA145" s="253"/>
      <c r="AB145" s="253"/>
      <c r="AC145" s="253"/>
      <c r="AD145" s="253"/>
      <c r="AE145" s="253"/>
      <c r="AF145" s="253"/>
      <c r="AG145" s="253"/>
      <c r="AH145" s="252"/>
    </row>
    <row r="146" spans="3:34" x14ac:dyDescent="0.2">
      <c r="C146" s="252"/>
      <c r="D146" s="252"/>
      <c r="E146" s="252"/>
      <c r="F146" s="252"/>
      <c r="G146" s="252"/>
      <c r="H146" s="252"/>
      <c r="I146" s="252"/>
      <c r="J146" s="252"/>
      <c r="K146" s="252"/>
      <c r="L146" s="252"/>
      <c r="M146" s="253"/>
      <c r="N146" s="253"/>
      <c r="O146" s="253"/>
      <c r="P146" s="253"/>
      <c r="Q146" s="253"/>
      <c r="R146" s="254"/>
      <c r="S146" s="255"/>
      <c r="T146" s="252"/>
      <c r="U146" s="252"/>
      <c r="V146" s="252"/>
      <c r="W146" s="252"/>
      <c r="X146" s="252"/>
      <c r="Y146" s="252"/>
      <c r="Z146" s="253"/>
      <c r="AA146" s="253"/>
      <c r="AB146" s="253"/>
      <c r="AC146" s="253"/>
      <c r="AD146" s="253"/>
      <c r="AE146" s="253"/>
      <c r="AF146" s="253"/>
      <c r="AG146" s="253"/>
      <c r="AH146" s="252"/>
    </row>
    <row r="147" spans="3:34" x14ac:dyDescent="0.2">
      <c r="C147" s="252"/>
      <c r="D147" s="252"/>
      <c r="E147" s="252"/>
      <c r="F147" s="252"/>
      <c r="G147" s="252"/>
      <c r="H147" s="252"/>
      <c r="I147" s="252"/>
      <c r="J147" s="252"/>
      <c r="K147" s="252"/>
      <c r="L147" s="252"/>
      <c r="M147" s="253"/>
      <c r="N147" s="253"/>
      <c r="O147" s="253"/>
      <c r="P147" s="253"/>
      <c r="Q147" s="253"/>
      <c r="R147" s="254"/>
      <c r="S147" s="255"/>
      <c r="T147" s="252"/>
      <c r="U147" s="252"/>
      <c r="V147" s="252"/>
      <c r="W147" s="252"/>
      <c r="X147" s="252"/>
      <c r="Y147" s="252"/>
      <c r="Z147" s="253"/>
      <c r="AA147" s="253"/>
      <c r="AB147" s="253"/>
      <c r="AC147" s="253"/>
      <c r="AD147" s="253"/>
      <c r="AE147" s="253"/>
      <c r="AF147" s="253"/>
      <c r="AG147" s="253"/>
      <c r="AH147" s="252"/>
    </row>
    <row r="148" spans="3:34" x14ac:dyDescent="0.2">
      <c r="C148" s="252"/>
      <c r="D148" s="252"/>
      <c r="E148" s="252"/>
      <c r="F148" s="252"/>
      <c r="G148" s="252"/>
      <c r="H148" s="252"/>
      <c r="I148" s="252"/>
      <c r="J148" s="252"/>
      <c r="K148" s="252"/>
      <c r="L148" s="252"/>
      <c r="M148" s="253"/>
      <c r="N148" s="253"/>
      <c r="O148" s="253"/>
      <c r="P148" s="253"/>
      <c r="Q148" s="253"/>
      <c r="R148" s="254"/>
      <c r="S148" s="255"/>
      <c r="T148" s="252"/>
      <c r="U148" s="252"/>
      <c r="V148" s="252"/>
      <c r="W148" s="252"/>
      <c r="X148" s="252"/>
      <c r="Y148" s="252"/>
      <c r="Z148" s="253"/>
      <c r="AA148" s="253"/>
      <c r="AB148" s="253"/>
      <c r="AC148" s="253"/>
      <c r="AD148" s="253"/>
      <c r="AE148" s="253"/>
      <c r="AF148" s="253"/>
      <c r="AG148" s="253"/>
      <c r="AH148" s="252"/>
    </row>
    <row r="149" spans="3:34" x14ac:dyDescent="0.2">
      <c r="C149" s="252"/>
      <c r="D149" s="252"/>
      <c r="E149" s="252"/>
      <c r="F149" s="252"/>
      <c r="G149" s="252"/>
      <c r="H149" s="252"/>
      <c r="I149" s="252"/>
      <c r="J149" s="252"/>
      <c r="K149" s="252"/>
      <c r="L149" s="252"/>
      <c r="M149" s="253"/>
      <c r="N149" s="253"/>
      <c r="O149" s="253"/>
      <c r="P149" s="253"/>
      <c r="Q149" s="253"/>
      <c r="R149" s="254"/>
      <c r="S149" s="255"/>
      <c r="T149" s="252"/>
      <c r="U149" s="252"/>
      <c r="V149" s="252"/>
      <c r="W149" s="252"/>
      <c r="X149" s="252"/>
      <c r="Y149" s="252"/>
      <c r="Z149" s="253"/>
      <c r="AA149" s="253"/>
      <c r="AB149" s="253"/>
      <c r="AC149" s="253"/>
      <c r="AD149" s="253"/>
      <c r="AE149" s="253"/>
      <c r="AF149" s="253"/>
      <c r="AG149" s="253"/>
      <c r="AH149" s="252"/>
    </row>
    <row r="150" spans="3:34" x14ac:dyDescent="0.2">
      <c r="C150" s="252"/>
      <c r="D150" s="252"/>
      <c r="E150" s="252"/>
      <c r="F150" s="252"/>
      <c r="G150" s="252"/>
      <c r="H150" s="252"/>
      <c r="I150" s="252"/>
      <c r="J150" s="252"/>
      <c r="K150" s="252"/>
      <c r="L150" s="252"/>
      <c r="M150" s="253"/>
      <c r="N150" s="253"/>
      <c r="O150" s="253"/>
      <c r="P150" s="253"/>
      <c r="Q150" s="253"/>
      <c r="R150" s="254"/>
      <c r="S150" s="255"/>
      <c r="T150" s="252"/>
      <c r="U150" s="252"/>
      <c r="V150" s="252"/>
      <c r="W150" s="252"/>
      <c r="X150" s="252"/>
      <c r="Y150" s="252"/>
      <c r="Z150" s="253"/>
      <c r="AA150" s="253"/>
      <c r="AB150" s="253"/>
      <c r="AC150" s="253"/>
      <c r="AD150" s="253"/>
      <c r="AE150" s="253"/>
      <c r="AF150" s="253"/>
      <c r="AG150" s="253"/>
      <c r="AH150" s="252"/>
    </row>
    <row r="151" spans="3:34" x14ac:dyDescent="0.2">
      <c r="C151" s="252"/>
      <c r="D151" s="252"/>
      <c r="E151" s="252"/>
      <c r="F151" s="252"/>
      <c r="G151" s="252"/>
      <c r="H151" s="252"/>
      <c r="I151" s="252"/>
      <c r="J151" s="252"/>
      <c r="K151" s="252"/>
      <c r="L151" s="252"/>
      <c r="M151" s="253"/>
      <c r="N151" s="253"/>
      <c r="O151" s="253"/>
      <c r="P151" s="253"/>
      <c r="Q151" s="253"/>
      <c r="R151" s="254"/>
      <c r="S151" s="255"/>
      <c r="T151" s="252"/>
      <c r="U151" s="252"/>
      <c r="V151" s="252"/>
      <c r="W151" s="252"/>
      <c r="X151" s="252"/>
      <c r="Y151" s="252"/>
      <c r="Z151" s="253"/>
      <c r="AA151" s="253"/>
      <c r="AB151" s="253"/>
      <c r="AC151" s="253"/>
      <c r="AD151" s="253"/>
      <c r="AE151" s="253"/>
      <c r="AF151" s="253"/>
      <c r="AG151" s="253"/>
      <c r="AH151" s="252"/>
    </row>
    <row r="152" spans="3:34" x14ac:dyDescent="0.2">
      <c r="C152" s="252"/>
      <c r="D152" s="252"/>
      <c r="E152" s="252"/>
      <c r="F152" s="252"/>
      <c r="G152" s="252"/>
      <c r="H152" s="252"/>
      <c r="I152" s="252"/>
      <c r="J152" s="252"/>
      <c r="K152" s="252"/>
      <c r="L152" s="252"/>
      <c r="M152" s="253"/>
      <c r="N152" s="253"/>
      <c r="O152" s="253"/>
      <c r="P152" s="253"/>
      <c r="Q152" s="253"/>
      <c r="R152" s="254"/>
      <c r="S152" s="255"/>
      <c r="T152" s="252"/>
      <c r="U152" s="252"/>
      <c r="V152" s="252"/>
      <c r="W152" s="252"/>
      <c r="X152" s="252"/>
      <c r="Y152" s="252"/>
      <c r="Z152" s="253"/>
      <c r="AA152" s="253"/>
      <c r="AB152" s="253"/>
      <c r="AC152" s="253"/>
      <c r="AD152" s="253"/>
      <c r="AE152" s="253"/>
      <c r="AF152" s="253"/>
      <c r="AG152" s="253"/>
      <c r="AH152" s="252"/>
    </row>
    <row r="153" spans="3:34" x14ac:dyDescent="0.2">
      <c r="C153" s="252"/>
      <c r="D153" s="252"/>
      <c r="E153" s="252"/>
      <c r="F153" s="252"/>
      <c r="G153" s="252"/>
      <c r="H153" s="252"/>
      <c r="I153" s="252"/>
      <c r="J153" s="252"/>
      <c r="K153" s="252"/>
      <c r="L153" s="252"/>
      <c r="M153" s="253"/>
      <c r="N153" s="253"/>
      <c r="O153" s="253"/>
      <c r="P153" s="253"/>
      <c r="Q153" s="253"/>
      <c r="R153" s="254"/>
      <c r="S153" s="255"/>
      <c r="T153" s="252"/>
      <c r="U153" s="252"/>
      <c r="V153" s="252"/>
      <c r="W153" s="252"/>
      <c r="X153" s="252"/>
      <c r="Y153" s="252"/>
      <c r="Z153" s="253"/>
      <c r="AA153" s="253"/>
      <c r="AB153" s="253"/>
      <c r="AC153" s="253"/>
      <c r="AD153" s="253"/>
      <c r="AE153" s="253"/>
      <c r="AF153" s="253"/>
      <c r="AG153" s="253"/>
      <c r="AH153" s="252"/>
    </row>
    <row r="154" spans="3:34" x14ac:dyDescent="0.2">
      <c r="C154" s="252"/>
      <c r="D154" s="252"/>
      <c r="E154" s="252"/>
      <c r="F154" s="252"/>
      <c r="G154" s="252"/>
      <c r="H154" s="252"/>
      <c r="I154" s="252"/>
      <c r="J154" s="252"/>
      <c r="K154" s="252"/>
      <c r="L154" s="252"/>
      <c r="M154" s="253"/>
      <c r="N154" s="253"/>
      <c r="O154" s="253"/>
      <c r="P154" s="253"/>
      <c r="Q154" s="253"/>
      <c r="R154" s="254"/>
      <c r="S154" s="255"/>
      <c r="T154" s="252"/>
      <c r="U154" s="252"/>
      <c r="V154" s="252"/>
      <c r="W154" s="252"/>
      <c r="X154" s="252"/>
      <c r="Y154" s="252"/>
      <c r="Z154" s="253"/>
      <c r="AA154" s="253"/>
      <c r="AB154" s="253"/>
      <c r="AC154" s="253"/>
      <c r="AD154" s="253"/>
      <c r="AE154" s="253"/>
      <c r="AF154" s="253"/>
      <c r="AG154" s="253"/>
      <c r="AH154" s="252"/>
    </row>
    <row r="155" spans="3:34" x14ac:dyDescent="0.2">
      <c r="C155" s="252"/>
      <c r="D155" s="252"/>
      <c r="E155" s="252"/>
      <c r="F155" s="252"/>
      <c r="G155" s="252"/>
      <c r="H155" s="252"/>
      <c r="I155" s="252"/>
      <c r="J155" s="252"/>
      <c r="K155" s="252"/>
      <c r="L155" s="252"/>
      <c r="M155" s="253"/>
      <c r="N155" s="253"/>
      <c r="O155" s="253"/>
      <c r="P155" s="253"/>
      <c r="Q155" s="253"/>
      <c r="R155" s="254"/>
      <c r="S155" s="255"/>
      <c r="T155" s="252"/>
      <c r="U155" s="252"/>
      <c r="V155" s="252"/>
      <c r="W155" s="252"/>
      <c r="X155" s="252"/>
      <c r="Y155" s="252"/>
      <c r="Z155" s="253"/>
      <c r="AA155" s="253"/>
      <c r="AB155" s="253"/>
      <c r="AC155" s="253"/>
      <c r="AD155" s="253"/>
      <c r="AE155" s="253"/>
      <c r="AF155" s="253"/>
      <c r="AG155" s="253"/>
      <c r="AH155" s="252"/>
    </row>
    <row r="156" spans="3:34" x14ac:dyDescent="0.2">
      <c r="C156" s="252"/>
      <c r="D156" s="252"/>
      <c r="E156" s="252"/>
      <c r="F156" s="252"/>
      <c r="G156" s="252"/>
      <c r="H156" s="252"/>
      <c r="I156" s="252"/>
      <c r="J156" s="252"/>
      <c r="K156" s="252"/>
      <c r="L156" s="252"/>
      <c r="M156" s="253"/>
      <c r="N156" s="253"/>
      <c r="O156" s="253"/>
      <c r="P156" s="253"/>
      <c r="Q156" s="253"/>
      <c r="R156" s="254"/>
      <c r="S156" s="255"/>
      <c r="T156" s="252"/>
      <c r="U156" s="252"/>
      <c r="V156" s="252"/>
      <c r="W156" s="252"/>
      <c r="X156" s="252"/>
      <c r="Y156" s="252"/>
      <c r="Z156" s="253"/>
      <c r="AA156" s="253"/>
      <c r="AB156" s="253"/>
      <c r="AC156" s="253"/>
      <c r="AD156" s="253"/>
      <c r="AE156" s="253"/>
      <c r="AF156" s="253"/>
      <c r="AG156" s="253"/>
      <c r="AH156" s="252"/>
    </row>
    <row r="157" spans="3:34" x14ac:dyDescent="0.2">
      <c r="C157" s="252"/>
      <c r="D157" s="252"/>
      <c r="E157" s="252"/>
      <c r="F157" s="252"/>
      <c r="G157" s="252"/>
      <c r="H157" s="252"/>
      <c r="I157" s="252"/>
      <c r="J157" s="252"/>
      <c r="K157" s="252"/>
      <c r="L157" s="252"/>
      <c r="M157" s="253"/>
      <c r="N157" s="253"/>
      <c r="O157" s="253"/>
      <c r="P157" s="253"/>
      <c r="Q157" s="253"/>
      <c r="R157" s="254"/>
      <c r="S157" s="255"/>
      <c r="T157" s="252"/>
      <c r="U157" s="252"/>
      <c r="V157" s="252"/>
      <c r="W157" s="252"/>
      <c r="X157" s="252"/>
      <c r="Y157" s="252"/>
      <c r="Z157" s="253"/>
      <c r="AA157" s="253"/>
      <c r="AB157" s="253"/>
      <c r="AC157" s="253"/>
      <c r="AD157" s="253"/>
      <c r="AE157" s="253"/>
      <c r="AF157" s="253"/>
      <c r="AG157" s="253"/>
      <c r="AH157" s="252"/>
    </row>
    <row r="158" spans="3:34" x14ac:dyDescent="0.2">
      <c r="C158" s="252"/>
      <c r="D158" s="252"/>
      <c r="E158" s="252"/>
      <c r="F158" s="252"/>
      <c r="G158" s="252"/>
      <c r="H158" s="252"/>
      <c r="I158" s="252"/>
      <c r="J158" s="252"/>
      <c r="K158" s="252"/>
      <c r="L158" s="252"/>
      <c r="M158" s="253"/>
      <c r="N158" s="253"/>
      <c r="O158" s="253"/>
      <c r="P158" s="253"/>
      <c r="Q158" s="253"/>
      <c r="R158" s="254"/>
      <c r="S158" s="255"/>
      <c r="T158" s="252"/>
      <c r="U158" s="252"/>
      <c r="V158" s="252"/>
      <c r="W158" s="252"/>
      <c r="X158" s="252"/>
      <c r="Y158" s="252"/>
      <c r="Z158" s="253"/>
      <c r="AA158" s="253"/>
      <c r="AB158" s="253"/>
      <c r="AC158" s="253"/>
      <c r="AD158" s="253"/>
      <c r="AE158" s="253"/>
      <c r="AF158" s="253"/>
      <c r="AG158" s="253"/>
      <c r="AH158" s="252"/>
    </row>
    <row r="159" spans="3:34" x14ac:dyDescent="0.2">
      <c r="C159" s="252"/>
      <c r="D159" s="252"/>
      <c r="E159" s="252"/>
      <c r="F159" s="252"/>
      <c r="G159" s="252"/>
      <c r="H159" s="252"/>
      <c r="I159" s="252"/>
      <c r="J159" s="252"/>
      <c r="K159" s="252"/>
      <c r="L159" s="252"/>
      <c r="M159" s="253"/>
      <c r="N159" s="253"/>
      <c r="O159" s="253"/>
      <c r="P159" s="253"/>
      <c r="Q159" s="253"/>
      <c r="R159" s="254"/>
      <c r="S159" s="255"/>
      <c r="T159" s="252"/>
      <c r="U159" s="252"/>
      <c r="V159" s="252"/>
      <c r="W159" s="252"/>
      <c r="X159" s="252"/>
      <c r="Y159" s="252"/>
      <c r="Z159" s="253"/>
      <c r="AA159" s="253"/>
      <c r="AB159" s="253"/>
      <c r="AC159" s="253"/>
      <c r="AD159" s="253"/>
      <c r="AE159" s="253"/>
      <c r="AF159" s="253"/>
      <c r="AG159" s="253"/>
      <c r="AH159" s="252"/>
    </row>
    <row r="160" spans="3:34" x14ac:dyDescent="0.2">
      <c r="C160" s="252"/>
      <c r="D160" s="252"/>
      <c r="E160" s="252"/>
      <c r="F160" s="252"/>
      <c r="G160" s="252"/>
      <c r="H160" s="252"/>
      <c r="I160" s="252"/>
      <c r="J160" s="252"/>
      <c r="K160" s="252"/>
      <c r="L160" s="252"/>
      <c r="M160" s="253"/>
      <c r="N160" s="253"/>
      <c r="O160" s="253"/>
      <c r="P160" s="253"/>
      <c r="Q160" s="253"/>
      <c r="R160" s="254"/>
      <c r="S160" s="255"/>
      <c r="T160" s="252"/>
      <c r="U160" s="252"/>
      <c r="V160" s="252"/>
      <c r="W160" s="252"/>
      <c r="X160" s="252"/>
      <c r="Y160" s="252"/>
      <c r="Z160" s="253"/>
      <c r="AA160" s="253"/>
      <c r="AB160" s="253"/>
      <c r="AC160" s="253"/>
      <c r="AD160" s="253"/>
      <c r="AE160" s="253"/>
      <c r="AF160" s="253"/>
      <c r="AG160" s="253"/>
      <c r="AH160" s="252"/>
    </row>
    <row r="161" spans="3:34" x14ac:dyDescent="0.2">
      <c r="C161" s="252"/>
      <c r="D161" s="252"/>
      <c r="E161" s="252"/>
      <c r="F161" s="252"/>
      <c r="G161" s="252"/>
      <c r="H161" s="252"/>
      <c r="I161" s="252"/>
      <c r="J161" s="252"/>
      <c r="K161" s="252"/>
      <c r="L161" s="252"/>
      <c r="M161" s="253"/>
      <c r="N161" s="253"/>
      <c r="O161" s="253"/>
      <c r="P161" s="253"/>
      <c r="Q161" s="253"/>
      <c r="R161" s="254"/>
      <c r="S161" s="255"/>
      <c r="T161" s="252"/>
      <c r="U161" s="252"/>
      <c r="V161" s="252"/>
      <c r="W161" s="252"/>
      <c r="X161" s="252"/>
      <c r="Y161" s="252"/>
      <c r="Z161" s="253"/>
      <c r="AA161" s="253"/>
      <c r="AB161" s="253"/>
      <c r="AC161" s="253"/>
      <c r="AD161" s="253"/>
      <c r="AE161" s="253"/>
      <c r="AF161" s="253"/>
      <c r="AG161" s="253"/>
      <c r="AH161" s="252"/>
    </row>
    <row r="162" spans="3:34" x14ac:dyDescent="0.2">
      <c r="C162" s="252"/>
      <c r="D162" s="252"/>
      <c r="E162" s="252"/>
      <c r="F162" s="252"/>
      <c r="G162" s="252"/>
      <c r="H162" s="252"/>
      <c r="I162" s="252"/>
      <c r="J162" s="252"/>
      <c r="K162" s="252"/>
      <c r="L162" s="252"/>
      <c r="M162" s="253"/>
      <c r="N162" s="253"/>
      <c r="O162" s="253"/>
      <c r="P162" s="253"/>
      <c r="Q162" s="253"/>
      <c r="R162" s="254"/>
      <c r="S162" s="255"/>
      <c r="T162" s="252"/>
      <c r="U162" s="252"/>
      <c r="V162" s="252"/>
      <c r="W162" s="252"/>
      <c r="X162" s="252"/>
      <c r="Y162" s="252"/>
      <c r="Z162" s="253"/>
      <c r="AA162" s="253"/>
      <c r="AB162" s="253"/>
      <c r="AC162" s="253"/>
      <c r="AD162" s="253"/>
      <c r="AE162" s="253"/>
      <c r="AF162" s="253"/>
      <c r="AG162" s="253"/>
      <c r="AH162" s="252"/>
    </row>
    <row r="163" spans="3:34" x14ac:dyDescent="0.2">
      <c r="C163" s="252"/>
      <c r="D163" s="252"/>
      <c r="E163" s="252"/>
      <c r="F163" s="252"/>
      <c r="G163" s="252"/>
      <c r="H163" s="252"/>
      <c r="I163" s="252"/>
      <c r="J163" s="252"/>
      <c r="K163" s="252"/>
      <c r="L163" s="252"/>
      <c r="M163" s="253"/>
      <c r="N163" s="253"/>
      <c r="O163" s="253"/>
      <c r="P163" s="253"/>
      <c r="Q163" s="253"/>
      <c r="R163" s="254"/>
      <c r="S163" s="255"/>
      <c r="T163" s="252"/>
      <c r="U163" s="252"/>
      <c r="V163" s="252"/>
      <c r="W163" s="252"/>
      <c r="X163" s="252"/>
      <c r="Y163" s="252"/>
      <c r="Z163" s="253"/>
      <c r="AA163" s="253"/>
      <c r="AB163" s="253"/>
      <c r="AC163" s="253"/>
      <c r="AD163" s="253"/>
      <c r="AE163" s="253"/>
      <c r="AF163" s="253"/>
      <c r="AG163" s="253"/>
      <c r="AH163" s="252"/>
    </row>
    <row r="164" spans="3:34" x14ac:dyDescent="0.2">
      <c r="C164" s="252"/>
      <c r="D164" s="252"/>
      <c r="E164" s="252"/>
      <c r="F164" s="252"/>
      <c r="G164" s="252"/>
      <c r="H164" s="252"/>
      <c r="I164" s="252"/>
      <c r="J164" s="252"/>
      <c r="K164" s="252"/>
      <c r="L164" s="252"/>
      <c r="M164" s="253"/>
      <c r="N164" s="253"/>
      <c r="O164" s="253"/>
      <c r="P164" s="253"/>
      <c r="Q164" s="253"/>
      <c r="R164" s="254"/>
      <c r="S164" s="255"/>
      <c r="T164" s="252"/>
      <c r="U164" s="252"/>
      <c r="V164" s="252"/>
      <c r="W164" s="252"/>
      <c r="X164" s="252"/>
      <c r="Y164" s="252"/>
      <c r="Z164" s="253"/>
      <c r="AA164" s="253"/>
      <c r="AB164" s="253"/>
      <c r="AC164" s="253"/>
      <c r="AD164" s="253"/>
      <c r="AE164" s="253"/>
      <c r="AF164" s="253"/>
      <c r="AG164" s="253"/>
      <c r="AH164" s="252"/>
    </row>
    <row r="165" spans="3:34" x14ac:dyDescent="0.2">
      <c r="C165" s="252"/>
      <c r="D165" s="252"/>
      <c r="E165" s="252"/>
      <c r="F165" s="252"/>
      <c r="G165" s="252"/>
      <c r="H165" s="252"/>
      <c r="I165" s="252"/>
      <c r="J165" s="252"/>
      <c r="K165" s="252"/>
      <c r="L165" s="252"/>
      <c r="M165" s="253"/>
      <c r="N165" s="253"/>
      <c r="O165" s="253"/>
      <c r="P165" s="253"/>
      <c r="Q165" s="253"/>
      <c r="R165" s="254"/>
      <c r="S165" s="255"/>
      <c r="T165" s="252"/>
      <c r="U165" s="252"/>
      <c r="V165" s="252"/>
      <c r="W165" s="252"/>
      <c r="X165" s="252"/>
      <c r="Y165" s="252"/>
      <c r="Z165" s="253"/>
      <c r="AA165" s="253"/>
      <c r="AB165" s="253"/>
      <c r="AC165" s="253"/>
      <c r="AD165" s="253"/>
      <c r="AE165" s="253"/>
      <c r="AF165" s="253"/>
      <c r="AG165" s="253"/>
      <c r="AH165" s="252"/>
    </row>
    <row r="166" spans="3:34" x14ac:dyDescent="0.2">
      <c r="C166" s="252"/>
      <c r="D166" s="252"/>
      <c r="E166" s="252"/>
      <c r="F166" s="252"/>
      <c r="G166" s="252"/>
      <c r="H166" s="252"/>
      <c r="I166" s="252"/>
      <c r="J166" s="252"/>
      <c r="K166" s="252"/>
      <c r="L166" s="252"/>
      <c r="M166" s="253"/>
      <c r="N166" s="253"/>
      <c r="O166" s="253"/>
      <c r="P166" s="253"/>
      <c r="Q166" s="253"/>
      <c r="R166" s="254"/>
      <c r="S166" s="255"/>
      <c r="T166" s="252"/>
      <c r="U166" s="252"/>
      <c r="V166" s="252"/>
      <c r="W166" s="252"/>
      <c r="X166" s="252"/>
      <c r="Y166" s="252"/>
      <c r="Z166" s="253"/>
      <c r="AA166" s="253"/>
      <c r="AB166" s="253"/>
      <c r="AC166" s="253"/>
      <c r="AD166" s="253"/>
      <c r="AE166" s="253"/>
      <c r="AF166" s="253"/>
      <c r="AG166" s="253"/>
      <c r="AH166" s="252"/>
    </row>
    <row r="167" spans="3:34" x14ac:dyDescent="0.2">
      <c r="C167" s="252"/>
      <c r="D167" s="252"/>
      <c r="E167" s="252"/>
      <c r="F167" s="252"/>
      <c r="G167" s="252"/>
      <c r="H167" s="252"/>
      <c r="I167" s="252"/>
      <c r="J167" s="252"/>
      <c r="K167" s="252"/>
      <c r="L167" s="252"/>
      <c r="M167" s="253"/>
      <c r="N167" s="253"/>
      <c r="O167" s="253"/>
      <c r="P167" s="253"/>
      <c r="Q167" s="253"/>
      <c r="R167" s="254"/>
      <c r="S167" s="255"/>
      <c r="T167" s="252"/>
      <c r="U167" s="252"/>
      <c r="V167" s="252"/>
      <c r="W167" s="252"/>
      <c r="X167" s="252"/>
      <c r="Y167" s="252"/>
      <c r="Z167" s="253"/>
      <c r="AA167" s="253"/>
      <c r="AB167" s="253"/>
      <c r="AC167" s="253"/>
      <c r="AD167" s="253"/>
      <c r="AE167" s="253"/>
      <c r="AF167" s="253"/>
      <c r="AG167" s="253"/>
      <c r="AH167" s="252"/>
    </row>
    <row r="168" spans="3:34" x14ac:dyDescent="0.2">
      <c r="C168" s="252"/>
      <c r="D168" s="252"/>
      <c r="E168" s="252"/>
      <c r="F168" s="252"/>
      <c r="G168" s="252"/>
      <c r="H168" s="252"/>
      <c r="I168" s="252"/>
      <c r="J168" s="252"/>
      <c r="K168" s="252"/>
      <c r="L168" s="252"/>
      <c r="M168" s="253"/>
      <c r="N168" s="253"/>
      <c r="O168" s="253"/>
      <c r="P168" s="253"/>
      <c r="Q168" s="253"/>
      <c r="R168" s="254"/>
      <c r="S168" s="255"/>
      <c r="T168" s="252"/>
      <c r="U168" s="252"/>
      <c r="V168" s="252"/>
      <c r="W168" s="252"/>
      <c r="X168" s="252"/>
      <c r="Y168" s="252"/>
      <c r="Z168" s="253"/>
      <c r="AA168" s="253"/>
      <c r="AB168" s="253"/>
      <c r="AC168" s="253"/>
      <c r="AD168" s="253"/>
      <c r="AE168" s="253"/>
      <c r="AF168" s="253"/>
      <c r="AG168" s="253"/>
      <c r="AH168" s="252"/>
    </row>
    <row r="169" spans="3:34" x14ac:dyDescent="0.2">
      <c r="C169" s="252"/>
      <c r="D169" s="252"/>
      <c r="E169" s="252"/>
      <c r="F169" s="252"/>
      <c r="G169" s="252"/>
      <c r="H169" s="252"/>
      <c r="I169" s="252"/>
      <c r="J169" s="252"/>
      <c r="K169" s="252"/>
      <c r="L169" s="252"/>
      <c r="M169" s="253"/>
      <c r="N169" s="253"/>
      <c r="O169" s="253"/>
      <c r="P169" s="253"/>
      <c r="Q169" s="253"/>
      <c r="R169" s="254"/>
      <c r="S169" s="255"/>
      <c r="T169" s="252"/>
      <c r="U169" s="252"/>
      <c r="V169" s="252"/>
      <c r="W169" s="252"/>
      <c r="X169" s="252"/>
      <c r="Y169" s="252"/>
      <c r="Z169" s="253"/>
      <c r="AA169" s="253"/>
      <c r="AB169" s="253"/>
      <c r="AC169" s="253"/>
      <c r="AD169" s="253"/>
      <c r="AE169" s="253"/>
      <c r="AF169" s="253"/>
      <c r="AG169" s="253"/>
      <c r="AH169" s="252"/>
    </row>
    <row r="170" spans="3:34" x14ac:dyDescent="0.2">
      <c r="C170" s="252"/>
      <c r="D170" s="252"/>
      <c r="E170" s="252"/>
      <c r="F170" s="252"/>
      <c r="G170" s="252"/>
      <c r="H170" s="252"/>
      <c r="I170" s="252"/>
      <c r="J170" s="252"/>
      <c r="K170" s="252"/>
      <c r="L170" s="252"/>
      <c r="M170" s="253"/>
      <c r="N170" s="253"/>
      <c r="O170" s="253"/>
      <c r="P170" s="253"/>
      <c r="Q170" s="253"/>
      <c r="R170" s="254"/>
      <c r="S170" s="255"/>
      <c r="T170" s="252"/>
      <c r="U170" s="252"/>
      <c r="V170" s="252"/>
      <c r="W170" s="252"/>
      <c r="X170" s="252"/>
      <c r="Y170" s="252"/>
      <c r="Z170" s="253"/>
      <c r="AA170" s="253"/>
      <c r="AB170" s="253"/>
      <c r="AC170" s="253"/>
      <c r="AD170" s="253"/>
      <c r="AE170" s="253"/>
      <c r="AF170" s="253"/>
      <c r="AG170" s="253"/>
      <c r="AH170" s="252"/>
    </row>
    <row r="171" spans="3:34" x14ac:dyDescent="0.2">
      <c r="C171" s="252"/>
      <c r="D171" s="252"/>
      <c r="E171" s="252"/>
      <c r="F171" s="252"/>
      <c r="G171" s="252"/>
      <c r="H171" s="252"/>
      <c r="I171" s="252"/>
      <c r="J171" s="252"/>
      <c r="K171" s="252"/>
      <c r="L171" s="252"/>
      <c r="M171" s="253"/>
      <c r="N171" s="253"/>
      <c r="O171" s="253"/>
      <c r="P171" s="253"/>
      <c r="Q171" s="253"/>
      <c r="R171" s="254"/>
      <c r="S171" s="255"/>
      <c r="T171" s="252"/>
      <c r="U171" s="252"/>
      <c r="V171" s="252"/>
      <c r="W171" s="252"/>
      <c r="X171" s="252"/>
      <c r="Y171" s="252"/>
      <c r="Z171" s="253"/>
      <c r="AA171" s="253"/>
      <c r="AB171" s="253"/>
      <c r="AC171" s="253"/>
      <c r="AD171" s="253"/>
      <c r="AE171" s="253"/>
      <c r="AF171" s="253"/>
      <c r="AG171" s="253"/>
      <c r="AH171" s="252"/>
    </row>
    <row r="172" spans="3:34" x14ac:dyDescent="0.2">
      <c r="C172" s="252"/>
      <c r="D172" s="252"/>
      <c r="E172" s="252"/>
      <c r="F172" s="252"/>
      <c r="G172" s="252"/>
      <c r="H172" s="252"/>
      <c r="I172" s="252"/>
      <c r="J172" s="252"/>
      <c r="K172" s="252"/>
      <c r="L172" s="252"/>
      <c r="M172" s="253"/>
      <c r="N172" s="253"/>
      <c r="O172" s="253"/>
      <c r="P172" s="253"/>
      <c r="Q172" s="253"/>
      <c r="R172" s="254"/>
      <c r="S172" s="255"/>
      <c r="T172" s="252"/>
      <c r="U172" s="252"/>
      <c r="V172" s="252"/>
      <c r="W172" s="252"/>
      <c r="X172" s="252"/>
      <c r="Y172" s="252"/>
      <c r="Z172" s="253"/>
      <c r="AA172" s="253"/>
      <c r="AB172" s="253"/>
      <c r="AC172" s="253"/>
      <c r="AD172" s="253"/>
      <c r="AE172" s="253"/>
      <c r="AF172" s="253"/>
      <c r="AG172" s="253"/>
      <c r="AH172" s="252"/>
    </row>
    <row r="173" spans="3:34" x14ac:dyDescent="0.2">
      <c r="C173" s="252"/>
      <c r="D173" s="252"/>
      <c r="E173" s="252"/>
      <c r="F173" s="252"/>
      <c r="G173" s="252"/>
      <c r="H173" s="252"/>
      <c r="I173" s="252"/>
      <c r="J173" s="252"/>
      <c r="K173" s="252"/>
      <c r="L173" s="252"/>
      <c r="M173" s="253"/>
      <c r="N173" s="253"/>
      <c r="O173" s="253"/>
      <c r="P173" s="253"/>
      <c r="Q173" s="253"/>
      <c r="R173" s="254"/>
      <c r="S173" s="255"/>
      <c r="T173" s="252"/>
      <c r="U173" s="252"/>
      <c r="V173" s="252"/>
      <c r="W173" s="252"/>
      <c r="X173" s="252"/>
      <c r="Y173" s="252"/>
      <c r="Z173" s="253"/>
      <c r="AA173" s="253"/>
      <c r="AB173" s="253"/>
      <c r="AC173" s="253"/>
      <c r="AD173" s="253"/>
      <c r="AE173" s="253"/>
      <c r="AF173" s="253"/>
      <c r="AG173" s="253"/>
      <c r="AH173" s="252"/>
    </row>
    <row r="174" spans="3:34" x14ac:dyDescent="0.2">
      <c r="C174" s="252"/>
      <c r="D174" s="252"/>
      <c r="E174" s="252"/>
      <c r="F174" s="252"/>
      <c r="G174" s="252"/>
      <c r="H174" s="252"/>
      <c r="I174" s="252"/>
      <c r="J174" s="252"/>
      <c r="K174" s="252"/>
      <c r="L174" s="252"/>
      <c r="M174" s="253"/>
      <c r="N174" s="253"/>
      <c r="O174" s="253"/>
      <c r="P174" s="253"/>
      <c r="Q174" s="253"/>
      <c r="R174" s="254"/>
      <c r="S174" s="255"/>
      <c r="T174" s="252"/>
      <c r="U174" s="252"/>
      <c r="V174" s="252"/>
      <c r="W174" s="252"/>
      <c r="X174" s="252"/>
      <c r="Y174" s="252"/>
      <c r="Z174" s="253"/>
      <c r="AA174" s="253"/>
      <c r="AB174" s="253"/>
      <c r="AC174" s="253"/>
      <c r="AD174" s="253"/>
      <c r="AE174" s="253"/>
      <c r="AF174" s="253"/>
      <c r="AG174" s="253"/>
      <c r="AH174" s="252"/>
    </row>
    <row r="175" spans="3:34" x14ac:dyDescent="0.2">
      <c r="C175" s="252"/>
      <c r="D175" s="252"/>
      <c r="E175" s="252"/>
      <c r="F175" s="252"/>
      <c r="G175" s="252"/>
      <c r="H175" s="252"/>
      <c r="I175" s="252"/>
      <c r="J175" s="252"/>
      <c r="K175" s="252"/>
      <c r="L175" s="252"/>
      <c r="M175" s="253"/>
      <c r="N175" s="253"/>
      <c r="O175" s="253"/>
      <c r="P175" s="253"/>
      <c r="Q175" s="253"/>
      <c r="R175" s="254"/>
      <c r="S175" s="255"/>
      <c r="T175" s="252"/>
      <c r="U175" s="252"/>
      <c r="V175" s="252"/>
      <c r="W175" s="252"/>
      <c r="X175" s="252"/>
      <c r="Y175" s="252"/>
      <c r="Z175" s="253"/>
      <c r="AA175" s="253"/>
      <c r="AB175" s="253"/>
      <c r="AC175" s="253"/>
      <c r="AD175" s="253"/>
      <c r="AE175" s="253"/>
      <c r="AF175" s="253"/>
      <c r="AG175" s="253"/>
      <c r="AH175" s="252"/>
    </row>
    <row r="176" spans="3:34" x14ac:dyDescent="0.2">
      <c r="C176" s="252"/>
      <c r="D176" s="252"/>
      <c r="E176" s="252"/>
      <c r="F176" s="252"/>
      <c r="G176" s="252"/>
      <c r="H176" s="252"/>
      <c r="I176" s="252"/>
      <c r="J176" s="252"/>
      <c r="K176" s="252"/>
      <c r="L176" s="252"/>
      <c r="M176" s="253"/>
      <c r="N176" s="253"/>
      <c r="O176" s="253"/>
      <c r="P176" s="253"/>
      <c r="Q176" s="253"/>
      <c r="R176" s="254"/>
      <c r="S176" s="255"/>
      <c r="T176" s="252"/>
      <c r="U176" s="252"/>
      <c r="V176" s="252"/>
      <c r="W176" s="252"/>
      <c r="X176" s="252"/>
      <c r="Y176" s="252"/>
      <c r="Z176" s="253"/>
      <c r="AA176" s="253"/>
      <c r="AB176" s="253"/>
      <c r="AC176" s="253"/>
      <c r="AD176" s="253"/>
      <c r="AE176" s="253"/>
      <c r="AF176" s="253"/>
      <c r="AG176" s="253"/>
      <c r="AH176" s="252"/>
    </row>
    <row r="177" spans="3:34" x14ac:dyDescent="0.2">
      <c r="C177" s="252"/>
      <c r="D177" s="252"/>
      <c r="E177" s="252"/>
      <c r="F177" s="252"/>
      <c r="G177" s="252"/>
      <c r="H177" s="252"/>
      <c r="I177" s="252"/>
      <c r="J177" s="252"/>
      <c r="K177" s="252"/>
      <c r="L177" s="252"/>
      <c r="M177" s="253"/>
      <c r="N177" s="253"/>
      <c r="O177" s="253"/>
      <c r="P177" s="253"/>
      <c r="Q177" s="253"/>
      <c r="R177" s="254"/>
      <c r="S177" s="255"/>
      <c r="T177" s="252"/>
      <c r="U177" s="252"/>
      <c r="V177" s="252"/>
      <c r="W177" s="252"/>
      <c r="X177" s="252"/>
      <c r="Y177" s="252"/>
      <c r="Z177" s="253"/>
      <c r="AA177" s="253"/>
      <c r="AB177" s="253"/>
      <c r="AC177" s="253"/>
      <c r="AD177" s="253"/>
      <c r="AE177" s="253"/>
      <c r="AF177" s="253"/>
      <c r="AG177" s="253"/>
      <c r="AH177" s="252"/>
    </row>
    <row r="178" spans="3:34" x14ac:dyDescent="0.2">
      <c r="C178" s="252"/>
      <c r="D178" s="252"/>
      <c r="E178" s="252"/>
      <c r="F178" s="252"/>
      <c r="G178" s="252"/>
      <c r="H178" s="252"/>
      <c r="I178" s="252"/>
      <c r="J178" s="252"/>
      <c r="K178" s="252"/>
      <c r="L178" s="252"/>
      <c r="M178" s="253"/>
      <c r="N178" s="253"/>
      <c r="O178" s="253"/>
      <c r="P178" s="253"/>
      <c r="Q178" s="253"/>
      <c r="R178" s="254"/>
      <c r="S178" s="255"/>
      <c r="T178" s="252"/>
      <c r="U178" s="252"/>
      <c r="V178" s="252"/>
      <c r="W178" s="252"/>
      <c r="X178" s="252"/>
      <c r="Y178" s="252"/>
      <c r="Z178" s="253"/>
      <c r="AA178" s="253"/>
      <c r="AB178" s="253"/>
      <c r="AC178" s="253"/>
      <c r="AD178" s="253"/>
      <c r="AE178" s="253"/>
      <c r="AF178" s="253"/>
      <c r="AG178" s="253"/>
      <c r="AH178" s="252"/>
    </row>
    <row r="179" spans="3:34" x14ac:dyDescent="0.2">
      <c r="C179" s="252"/>
      <c r="D179" s="252"/>
      <c r="E179" s="252"/>
      <c r="F179" s="252"/>
      <c r="G179" s="252"/>
      <c r="H179" s="252"/>
      <c r="I179" s="252"/>
      <c r="J179" s="252"/>
      <c r="K179" s="252"/>
      <c r="L179" s="252"/>
      <c r="M179" s="253"/>
      <c r="N179" s="253"/>
      <c r="O179" s="253"/>
      <c r="P179" s="253"/>
      <c r="Q179" s="253"/>
      <c r="R179" s="254"/>
      <c r="S179" s="255"/>
      <c r="T179" s="252"/>
      <c r="U179" s="252"/>
      <c r="V179" s="252"/>
      <c r="W179" s="252"/>
      <c r="X179" s="252"/>
      <c r="Y179" s="252"/>
      <c r="Z179" s="253"/>
      <c r="AA179" s="253"/>
      <c r="AB179" s="253"/>
      <c r="AC179" s="253"/>
      <c r="AD179" s="253"/>
      <c r="AE179" s="253"/>
      <c r="AF179" s="253"/>
      <c r="AG179" s="253"/>
      <c r="AH179" s="252"/>
    </row>
    <row r="180" spans="3:34" x14ac:dyDescent="0.2">
      <c r="C180" s="252"/>
      <c r="D180" s="252"/>
      <c r="E180" s="252"/>
      <c r="F180" s="252"/>
      <c r="G180" s="252"/>
      <c r="H180" s="252"/>
      <c r="I180" s="252"/>
      <c r="J180" s="252"/>
      <c r="K180" s="252"/>
      <c r="L180" s="252"/>
      <c r="M180" s="253"/>
      <c r="N180" s="253"/>
      <c r="O180" s="253"/>
      <c r="P180" s="253"/>
      <c r="Q180" s="253"/>
      <c r="R180" s="254"/>
      <c r="S180" s="255"/>
      <c r="T180" s="252"/>
      <c r="U180" s="252"/>
      <c r="V180" s="252"/>
      <c r="W180" s="252"/>
      <c r="X180" s="252"/>
      <c r="Y180" s="252"/>
      <c r="Z180" s="253"/>
      <c r="AA180" s="253"/>
      <c r="AB180" s="253"/>
      <c r="AC180" s="253"/>
      <c r="AD180" s="253"/>
      <c r="AE180" s="253"/>
      <c r="AF180" s="253"/>
      <c r="AG180" s="253"/>
      <c r="AH180" s="252"/>
    </row>
    <row r="181" spans="3:34" x14ac:dyDescent="0.2">
      <c r="C181" s="252"/>
      <c r="D181" s="252"/>
      <c r="E181" s="252"/>
      <c r="F181" s="252"/>
      <c r="G181" s="252"/>
      <c r="H181" s="252"/>
      <c r="I181" s="252"/>
      <c r="J181" s="252"/>
      <c r="K181" s="252"/>
      <c r="L181" s="252"/>
      <c r="M181" s="253"/>
      <c r="N181" s="253"/>
      <c r="O181" s="253"/>
      <c r="P181" s="253"/>
      <c r="Q181" s="253"/>
      <c r="R181" s="254"/>
      <c r="S181" s="255"/>
      <c r="T181" s="252"/>
      <c r="U181" s="252"/>
      <c r="V181" s="252"/>
      <c r="W181" s="252"/>
      <c r="X181" s="252"/>
      <c r="Y181" s="252"/>
      <c r="Z181" s="253"/>
      <c r="AA181" s="253"/>
      <c r="AB181" s="253"/>
      <c r="AC181" s="253"/>
      <c r="AD181" s="253"/>
      <c r="AE181" s="253"/>
      <c r="AF181" s="253"/>
      <c r="AG181" s="253"/>
      <c r="AH181" s="252"/>
    </row>
    <row r="182" spans="3:34" x14ac:dyDescent="0.2">
      <c r="C182" s="252"/>
      <c r="D182" s="252"/>
      <c r="E182" s="252"/>
      <c r="F182" s="252"/>
      <c r="G182" s="252"/>
      <c r="H182" s="252"/>
      <c r="I182" s="252"/>
      <c r="J182" s="252"/>
      <c r="K182" s="252"/>
      <c r="L182" s="252"/>
      <c r="M182" s="253"/>
      <c r="N182" s="253"/>
      <c r="O182" s="253"/>
      <c r="P182" s="253"/>
      <c r="Q182" s="253"/>
      <c r="R182" s="254"/>
      <c r="S182" s="255"/>
      <c r="T182" s="252"/>
      <c r="U182" s="252"/>
      <c r="V182" s="252"/>
      <c r="W182" s="252"/>
      <c r="X182" s="252"/>
      <c r="Y182" s="252"/>
      <c r="Z182" s="253"/>
      <c r="AA182" s="253"/>
      <c r="AB182" s="253"/>
      <c r="AC182" s="253"/>
      <c r="AD182" s="253"/>
      <c r="AE182" s="253"/>
      <c r="AF182" s="253"/>
      <c r="AG182" s="253"/>
      <c r="AH182" s="252"/>
    </row>
    <row r="183" spans="3:34" x14ac:dyDescent="0.2">
      <c r="C183" s="252"/>
      <c r="D183" s="252"/>
      <c r="E183" s="252"/>
      <c r="F183" s="252"/>
      <c r="G183" s="252"/>
      <c r="H183" s="252"/>
      <c r="I183" s="252"/>
      <c r="J183" s="252"/>
      <c r="K183" s="252"/>
      <c r="L183" s="252"/>
      <c r="M183" s="253"/>
      <c r="N183" s="253"/>
      <c r="O183" s="253"/>
      <c r="P183" s="253"/>
      <c r="Q183" s="253"/>
      <c r="R183" s="254"/>
      <c r="S183" s="255"/>
      <c r="T183" s="252"/>
      <c r="U183" s="252"/>
      <c r="V183" s="252"/>
      <c r="W183" s="252"/>
      <c r="X183" s="252"/>
      <c r="Y183" s="252"/>
      <c r="Z183" s="253"/>
      <c r="AA183" s="253"/>
      <c r="AB183" s="253"/>
      <c r="AC183" s="253"/>
      <c r="AD183" s="253"/>
      <c r="AE183" s="253"/>
      <c r="AF183" s="253"/>
      <c r="AG183" s="253"/>
      <c r="AH183" s="252"/>
    </row>
    <row r="184" spans="3:34" x14ac:dyDescent="0.2">
      <c r="C184" s="252"/>
      <c r="D184" s="252"/>
      <c r="E184" s="252"/>
      <c r="F184" s="252"/>
      <c r="G184" s="252"/>
      <c r="H184" s="252"/>
      <c r="I184" s="252"/>
      <c r="J184" s="252"/>
      <c r="K184" s="252"/>
      <c r="L184" s="252"/>
      <c r="M184" s="253"/>
      <c r="N184" s="253"/>
      <c r="O184" s="253"/>
      <c r="P184" s="253"/>
      <c r="Q184" s="253"/>
      <c r="R184" s="254"/>
      <c r="S184" s="255"/>
      <c r="T184" s="252"/>
      <c r="U184" s="252"/>
      <c r="V184" s="252"/>
      <c r="W184" s="252"/>
      <c r="X184" s="252"/>
      <c r="Y184" s="252"/>
      <c r="Z184" s="253"/>
      <c r="AA184" s="253"/>
      <c r="AB184" s="253"/>
      <c r="AC184" s="253"/>
      <c r="AD184" s="253"/>
      <c r="AE184" s="253"/>
      <c r="AF184" s="253"/>
      <c r="AG184" s="253"/>
      <c r="AH184" s="252"/>
    </row>
    <row r="185" spans="3:34" x14ac:dyDescent="0.2">
      <c r="C185" s="252"/>
      <c r="D185" s="252"/>
      <c r="E185" s="252"/>
      <c r="F185" s="252"/>
      <c r="G185" s="252"/>
      <c r="H185" s="252"/>
      <c r="I185" s="252"/>
      <c r="J185" s="252"/>
      <c r="K185" s="252"/>
      <c r="L185" s="252"/>
      <c r="M185" s="253"/>
      <c r="N185" s="253"/>
      <c r="O185" s="253"/>
      <c r="P185" s="253"/>
      <c r="Q185" s="253"/>
      <c r="R185" s="254"/>
      <c r="S185" s="255"/>
      <c r="T185" s="252"/>
      <c r="U185" s="252"/>
      <c r="V185" s="252"/>
      <c r="W185" s="252"/>
      <c r="X185" s="252"/>
      <c r="Y185" s="252"/>
      <c r="Z185" s="253"/>
      <c r="AA185" s="253"/>
      <c r="AB185" s="253"/>
      <c r="AC185" s="253"/>
      <c r="AD185" s="253"/>
      <c r="AE185" s="253"/>
      <c r="AF185" s="253"/>
      <c r="AG185" s="253"/>
      <c r="AH185" s="252"/>
    </row>
    <row r="186" spans="3:34" x14ac:dyDescent="0.2">
      <c r="C186" s="252"/>
      <c r="D186" s="252"/>
      <c r="E186" s="252"/>
      <c r="F186" s="252"/>
      <c r="G186" s="252"/>
      <c r="H186" s="252"/>
      <c r="I186" s="252"/>
      <c r="J186" s="252"/>
      <c r="K186" s="252"/>
      <c r="L186" s="252"/>
      <c r="M186" s="253"/>
      <c r="N186" s="253"/>
      <c r="O186" s="253"/>
      <c r="P186" s="253"/>
      <c r="Q186" s="253"/>
      <c r="R186" s="254"/>
      <c r="S186" s="255"/>
      <c r="T186" s="252"/>
      <c r="U186" s="252"/>
      <c r="V186" s="252"/>
      <c r="W186" s="252"/>
      <c r="X186" s="252"/>
      <c r="Y186" s="252"/>
      <c r="Z186" s="253"/>
      <c r="AA186" s="253"/>
      <c r="AB186" s="253"/>
      <c r="AC186" s="253"/>
      <c r="AD186" s="253"/>
      <c r="AE186" s="253"/>
      <c r="AF186" s="253"/>
      <c r="AG186" s="253"/>
      <c r="AH186" s="252"/>
    </row>
    <row r="187" spans="3:34" x14ac:dyDescent="0.2">
      <c r="C187" s="252"/>
      <c r="D187" s="252"/>
      <c r="E187" s="252"/>
      <c r="F187" s="252"/>
      <c r="G187" s="252"/>
      <c r="H187" s="252"/>
      <c r="I187" s="252"/>
      <c r="J187" s="252"/>
      <c r="K187" s="252"/>
      <c r="L187" s="252"/>
      <c r="M187" s="253"/>
      <c r="N187" s="253"/>
      <c r="O187" s="253"/>
      <c r="P187" s="253"/>
      <c r="Q187" s="253"/>
      <c r="R187" s="254"/>
      <c r="S187" s="255"/>
      <c r="T187" s="252"/>
      <c r="U187" s="252"/>
      <c r="V187" s="252"/>
      <c r="W187" s="252"/>
      <c r="X187" s="252"/>
      <c r="Y187" s="252"/>
      <c r="Z187" s="253"/>
      <c r="AA187" s="253"/>
      <c r="AB187" s="253"/>
      <c r="AC187" s="253"/>
      <c r="AD187" s="253"/>
      <c r="AE187" s="253"/>
      <c r="AF187" s="253"/>
      <c r="AG187" s="253"/>
      <c r="AH187" s="252"/>
    </row>
    <row r="188" spans="3:34" x14ac:dyDescent="0.2">
      <c r="C188" s="252"/>
      <c r="D188" s="252"/>
      <c r="E188" s="252"/>
      <c r="F188" s="252"/>
      <c r="G188" s="252"/>
      <c r="H188" s="252"/>
      <c r="I188" s="252"/>
      <c r="J188" s="252"/>
      <c r="K188" s="252"/>
      <c r="L188" s="252"/>
      <c r="M188" s="253"/>
      <c r="N188" s="253"/>
      <c r="O188" s="253"/>
      <c r="P188" s="253"/>
      <c r="Q188" s="253"/>
      <c r="R188" s="254"/>
      <c r="S188" s="255"/>
      <c r="T188" s="252"/>
      <c r="U188" s="252"/>
      <c r="V188" s="252"/>
      <c r="W188" s="252"/>
      <c r="X188" s="252"/>
      <c r="Y188" s="252"/>
      <c r="Z188" s="253"/>
      <c r="AA188" s="253"/>
      <c r="AB188" s="253"/>
      <c r="AC188" s="253"/>
      <c r="AD188" s="253"/>
      <c r="AE188" s="253"/>
      <c r="AF188" s="253"/>
      <c r="AG188" s="253"/>
      <c r="AH188" s="252"/>
    </row>
    <row r="189" spans="3:34" x14ac:dyDescent="0.2">
      <c r="C189" s="252"/>
      <c r="D189" s="252"/>
      <c r="E189" s="252"/>
      <c r="F189" s="252"/>
      <c r="G189" s="252"/>
      <c r="H189" s="252"/>
      <c r="I189" s="252"/>
      <c r="J189" s="252"/>
      <c r="K189" s="252"/>
      <c r="L189" s="252"/>
      <c r="M189" s="253"/>
      <c r="N189" s="253"/>
      <c r="O189" s="253"/>
      <c r="P189" s="253"/>
      <c r="Q189" s="253"/>
      <c r="R189" s="254"/>
      <c r="S189" s="255"/>
      <c r="T189" s="252"/>
      <c r="U189" s="252"/>
      <c r="V189" s="252"/>
      <c r="W189" s="252"/>
      <c r="X189" s="252"/>
      <c r="Y189" s="252"/>
      <c r="Z189" s="253"/>
      <c r="AA189" s="253"/>
      <c r="AB189" s="253"/>
      <c r="AC189" s="253"/>
      <c r="AD189" s="253"/>
      <c r="AE189" s="253"/>
      <c r="AF189" s="253"/>
      <c r="AG189" s="253"/>
      <c r="AH189" s="252"/>
    </row>
    <row r="190" spans="3:34" x14ac:dyDescent="0.2">
      <c r="C190" s="252"/>
      <c r="D190" s="252"/>
      <c r="E190" s="252"/>
      <c r="F190" s="252"/>
      <c r="G190" s="252"/>
      <c r="H190" s="252"/>
      <c r="I190" s="252"/>
      <c r="J190" s="252"/>
      <c r="K190" s="252"/>
      <c r="L190" s="252"/>
      <c r="M190" s="253"/>
      <c r="N190" s="253"/>
      <c r="O190" s="253"/>
      <c r="P190" s="253"/>
      <c r="Q190" s="253"/>
      <c r="R190" s="254"/>
      <c r="S190" s="255"/>
      <c r="T190" s="252"/>
      <c r="U190" s="252"/>
      <c r="V190" s="252"/>
      <c r="W190" s="252"/>
      <c r="X190" s="252"/>
      <c r="Y190" s="252"/>
      <c r="Z190" s="253"/>
      <c r="AA190" s="253"/>
      <c r="AB190" s="253"/>
      <c r="AC190" s="253"/>
      <c r="AD190" s="253"/>
      <c r="AE190" s="253"/>
      <c r="AF190" s="253"/>
      <c r="AG190" s="253"/>
      <c r="AH190" s="252"/>
    </row>
    <row r="191" spans="3:34" x14ac:dyDescent="0.2">
      <c r="C191" s="252"/>
      <c r="D191" s="252"/>
      <c r="E191" s="252"/>
      <c r="F191" s="252"/>
      <c r="G191" s="252"/>
      <c r="H191" s="252"/>
      <c r="I191" s="252"/>
      <c r="J191" s="252"/>
      <c r="K191" s="252"/>
      <c r="L191" s="252"/>
      <c r="M191" s="253"/>
      <c r="N191" s="253"/>
      <c r="O191" s="253"/>
      <c r="P191" s="253"/>
      <c r="Q191" s="253"/>
      <c r="R191" s="254"/>
      <c r="S191" s="255"/>
      <c r="T191" s="252"/>
      <c r="U191" s="252"/>
      <c r="V191" s="252"/>
      <c r="W191" s="252"/>
      <c r="X191" s="252"/>
      <c r="Y191" s="252"/>
      <c r="Z191" s="253"/>
      <c r="AA191" s="253"/>
      <c r="AB191" s="253"/>
      <c r="AC191" s="253"/>
      <c r="AD191" s="253"/>
      <c r="AE191" s="253"/>
      <c r="AF191" s="253"/>
      <c r="AG191" s="253"/>
      <c r="AH191" s="252"/>
    </row>
    <row r="192" spans="3:34" x14ac:dyDescent="0.2">
      <c r="C192" s="252"/>
      <c r="D192" s="252"/>
      <c r="E192" s="252"/>
      <c r="F192" s="252"/>
      <c r="G192" s="252"/>
      <c r="H192" s="252"/>
      <c r="I192" s="252"/>
      <c r="J192" s="252"/>
      <c r="K192" s="252"/>
      <c r="L192" s="252"/>
      <c r="M192" s="253"/>
      <c r="N192" s="253"/>
      <c r="O192" s="253"/>
      <c r="P192" s="253"/>
      <c r="Q192" s="253"/>
      <c r="R192" s="254"/>
      <c r="S192" s="255"/>
      <c r="T192" s="252"/>
      <c r="U192" s="252"/>
      <c r="V192" s="252"/>
      <c r="W192" s="252"/>
      <c r="X192" s="252"/>
      <c r="Y192" s="252"/>
      <c r="Z192" s="253"/>
      <c r="AA192" s="253"/>
      <c r="AB192" s="253"/>
      <c r="AC192" s="253"/>
      <c r="AD192" s="253"/>
      <c r="AE192" s="253"/>
      <c r="AF192" s="253"/>
      <c r="AG192" s="253"/>
      <c r="AH192" s="252"/>
    </row>
    <row r="193" spans="3:34" x14ac:dyDescent="0.2">
      <c r="C193" s="252"/>
      <c r="D193" s="252"/>
      <c r="E193" s="252"/>
      <c r="F193" s="252"/>
      <c r="G193" s="252"/>
      <c r="H193" s="252"/>
      <c r="I193" s="252"/>
      <c r="J193" s="252"/>
      <c r="K193" s="252"/>
      <c r="L193" s="252"/>
      <c r="M193" s="253"/>
      <c r="N193" s="253"/>
      <c r="O193" s="253"/>
      <c r="P193" s="253"/>
      <c r="Q193" s="253"/>
      <c r="R193" s="254"/>
      <c r="S193" s="255"/>
      <c r="T193" s="252"/>
      <c r="U193" s="252"/>
      <c r="V193" s="252"/>
      <c r="W193" s="252"/>
      <c r="X193" s="252"/>
      <c r="Y193" s="252"/>
      <c r="Z193" s="253"/>
      <c r="AA193" s="253"/>
      <c r="AB193" s="253"/>
      <c r="AC193" s="253"/>
      <c r="AD193" s="253"/>
      <c r="AE193" s="253"/>
      <c r="AF193" s="253"/>
      <c r="AG193" s="253"/>
      <c r="AH193" s="252"/>
    </row>
    <row r="194" spans="3:34" x14ac:dyDescent="0.2">
      <c r="C194" s="252"/>
      <c r="D194" s="252"/>
      <c r="E194" s="252"/>
      <c r="F194" s="252"/>
      <c r="G194" s="252"/>
      <c r="H194" s="252"/>
      <c r="I194" s="252"/>
      <c r="J194" s="252"/>
      <c r="K194" s="252"/>
      <c r="L194" s="252"/>
      <c r="M194" s="253"/>
      <c r="N194" s="253"/>
      <c r="O194" s="253"/>
      <c r="P194" s="253"/>
      <c r="Q194" s="253"/>
      <c r="R194" s="254"/>
      <c r="S194" s="255"/>
      <c r="T194" s="252"/>
      <c r="U194" s="252"/>
      <c r="V194" s="252"/>
      <c r="W194" s="252"/>
      <c r="X194" s="252"/>
      <c r="Y194" s="252"/>
      <c r="Z194" s="253"/>
      <c r="AA194" s="253"/>
      <c r="AB194" s="253"/>
      <c r="AC194" s="253"/>
      <c r="AD194" s="253"/>
      <c r="AE194" s="253"/>
      <c r="AF194" s="253"/>
      <c r="AG194" s="253"/>
      <c r="AH194" s="252"/>
    </row>
    <row r="195" spans="3:34" x14ac:dyDescent="0.2">
      <c r="C195" s="252"/>
      <c r="D195" s="252"/>
      <c r="E195" s="252"/>
      <c r="F195" s="252"/>
      <c r="G195" s="252"/>
      <c r="H195" s="252"/>
      <c r="I195" s="252"/>
      <c r="J195" s="252"/>
      <c r="K195" s="252"/>
      <c r="L195" s="252"/>
      <c r="M195" s="253"/>
      <c r="N195" s="253"/>
      <c r="O195" s="253"/>
      <c r="P195" s="253"/>
      <c r="Q195" s="253"/>
      <c r="R195" s="254"/>
      <c r="S195" s="255"/>
      <c r="T195" s="252"/>
      <c r="U195" s="252"/>
      <c r="V195" s="252"/>
      <c r="W195" s="252"/>
      <c r="X195" s="252"/>
      <c r="Y195" s="252"/>
      <c r="Z195" s="253"/>
      <c r="AA195" s="253"/>
      <c r="AB195" s="253"/>
      <c r="AC195" s="253"/>
      <c r="AD195" s="253"/>
      <c r="AE195" s="253"/>
      <c r="AF195" s="253"/>
      <c r="AG195" s="253"/>
      <c r="AH195" s="252"/>
    </row>
    <row r="196" spans="3:34" x14ac:dyDescent="0.2">
      <c r="C196" s="252"/>
      <c r="D196" s="252"/>
      <c r="E196" s="252"/>
      <c r="F196" s="252"/>
      <c r="G196" s="252"/>
      <c r="H196" s="252"/>
      <c r="I196" s="252"/>
      <c r="J196" s="252"/>
      <c r="K196" s="252"/>
      <c r="L196" s="252"/>
      <c r="M196" s="253"/>
      <c r="N196" s="253"/>
      <c r="O196" s="253"/>
      <c r="P196" s="253"/>
      <c r="Q196" s="253"/>
      <c r="R196" s="254"/>
      <c r="S196" s="255"/>
      <c r="T196" s="252"/>
      <c r="U196" s="252"/>
      <c r="V196" s="252"/>
      <c r="W196" s="252"/>
      <c r="X196" s="252"/>
      <c r="Y196" s="252"/>
      <c r="Z196" s="253"/>
      <c r="AA196" s="253"/>
      <c r="AB196" s="253"/>
      <c r="AC196" s="253"/>
      <c r="AD196" s="253"/>
      <c r="AE196" s="253"/>
      <c r="AF196" s="253"/>
      <c r="AG196" s="253"/>
      <c r="AH196" s="252"/>
    </row>
    <row r="197" spans="3:34" x14ac:dyDescent="0.2">
      <c r="C197" s="252"/>
      <c r="D197" s="252"/>
      <c r="E197" s="252"/>
      <c r="F197" s="252"/>
      <c r="G197" s="252"/>
      <c r="H197" s="252"/>
      <c r="I197" s="252"/>
      <c r="J197" s="252"/>
      <c r="K197" s="252"/>
      <c r="L197" s="252"/>
      <c r="M197" s="253"/>
      <c r="N197" s="253"/>
      <c r="O197" s="253"/>
      <c r="P197" s="253"/>
      <c r="Q197" s="253"/>
      <c r="R197" s="254"/>
      <c r="S197" s="255"/>
      <c r="T197" s="252"/>
      <c r="U197" s="252"/>
      <c r="V197" s="252"/>
      <c r="W197" s="252"/>
      <c r="X197" s="252"/>
      <c r="Y197" s="252"/>
      <c r="Z197" s="253"/>
      <c r="AA197" s="253"/>
      <c r="AB197" s="253"/>
      <c r="AC197" s="253"/>
      <c r="AD197" s="253"/>
      <c r="AE197" s="253"/>
      <c r="AF197" s="253"/>
      <c r="AG197" s="253"/>
      <c r="AH197" s="252"/>
    </row>
    <row r="198" spans="3:34" x14ac:dyDescent="0.2">
      <c r="C198" s="252"/>
      <c r="D198" s="252"/>
      <c r="E198" s="252"/>
      <c r="F198" s="252"/>
      <c r="G198" s="252"/>
      <c r="H198" s="252"/>
      <c r="I198" s="252"/>
      <c r="J198" s="252"/>
      <c r="K198" s="252"/>
      <c r="L198" s="252"/>
      <c r="M198" s="253"/>
      <c r="N198" s="253"/>
      <c r="O198" s="253"/>
      <c r="P198" s="253"/>
      <c r="Q198" s="253"/>
      <c r="R198" s="254"/>
      <c r="S198" s="255"/>
      <c r="T198" s="252"/>
      <c r="U198" s="252"/>
      <c r="V198" s="252"/>
      <c r="W198" s="252"/>
      <c r="X198" s="252"/>
      <c r="Y198" s="252"/>
      <c r="Z198" s="253"/>
      <c r="AA198" s="253"/>
      <c r="AB198" s="253"/>
      <c r="AC198" s="253"/>
      <c r="AD198" s="253"/>
      <c r="AE198" s="253"/>
      <c r="AF198" s="253"/>
      <c r="AG198" s="253"/>
      <c r="AH198" s="252"/>
    </row>
    <row r="199" spans="3:34" x14ac:dyDescent="0.2">
      <c r="C199" s="252"/>
      <c r="D199" s="252"/>
      <c r="E199" s="252"/>
      <c r="F199" s="252"/>
      <c r="G199" s="252"/>
      <c r="H199" s="252"/>
      <c r="I199" s="252"/>
      <c r="J199" s="252"/>
      <c r="K199" s="252"/>
      <c r="L199" s="252"/>
      <c r="M199" s="253"/>
      <c r="N199" s="253"/>
      <c r="O199" s="253"/>
      <c r="P199" s="253"/>
      <c r="Q199" s="253"/>
      <c r="R199" s="254"/>
      <c r="S199" s="255"/>
      <c r="T199" s="252"/>
      <c r="U199" s="252"/>
      <c r="V199" s="252"/>
      <c r="W199" s="252"/>
      <c r="X199" s="252"/>
      <c r="Y199" s="252"/>
      <c r="Z199" s="253"/>
      <c r="AA199" s="253"/>
      <c r="AB199" s="253"/>
      <c r="AC199" s="253"/>
      <c r="AD199" s="253"/>
      <c r="AE199" s="253"/>
      <c r="AF199" s="253"/>
      <c r="AG199" s="253"/>
      <c r="AH199" s="252"/>
    </row>
    <row r="200" spans="3:34" x14ac:dyDescent="0.2">
      <c r="C200" s="252"/>
      <c r="D200" s="252"/>
      <c r="E200" s="252"/>
      <c r="F200" s="252"/>
      <c r="G200" s="252"/>
      <c r="H200" s="252"/>
      <c r="I200" s="252"/>
      <c r="J200" s="252"/>
      <c r="K200" s="252"/>
      <c r="L200" s="252"/>
      <c r="M200" s="253"/>
      <c r="N200" s="253"/>
      <c r="O200" s="253"/>
      <c r="P200" s="253"/>
      <c r="Q200" s="253"/>
      <c r="R200" s="254"/>
      <c r="S200" s="255"/>
      <c r="T200" s="252"/>
      <c r="U200" s="252"/>
      <c r="V200" s="252"/>
      <c r="W200" s="252"/>
      <c r="X200" s="252"/>
      <c r="Y200" s="252"/>
      <c r="Z200" s="253"/>
      <c r="AA200" s="253"/>
      <c r="AB200" s="253"/>
      <c r="AC200" s="253"/>
      <c r="AD200" s="253"/>
      <c r="AE200" s="253"/>
      <c r="AF200" s="253"/>
      <c r="AG200" s="253"/>
      <c r="AH200" s="252"/>
    </row>
    <row r="201" spans="3:34" x14ac:dyDescent="0.2">
      <c r="C201" s="252"/>
      <c r="D201" s="252"/>
      <c r="E201" s="252"/>
      <c r="F201" s="252"/>
      <c r="G201" s="252"/>
      <c r="H201" s="252"/>
      <c r="I201" s="252"/>
      <c r="J201" s="252"/>
      <c r="K201" s="252"/>
      <c r="L201" s="252"/>
      <c r="M201" s="253"/>
      <c r="N201" s="253"/>
      <c r="O201" s="253"/>
      <c r="P201" s="253"/>
      <c r="Q201" s="253"/>
      <c r="R201" s="254"/>
      <c r="S201" s="255"/>
      <c r="T201" s="252"/>
      <c r="U201" s="252"/>
      <c r="V201" s="252"/>
      <c r="W201" s="252"/>
      <c r="X201" s="252"/>
      <c r="Y201" s="252"/>
      <c r="Z201" s="253"/>
      <c r="AA201" s="253"/>
      <c r="AB201" s="253"/>
      <c r="AC201" s="253"/>
      <c r="AD201" s="253"/>
      <c r="AE201" s="253"/>
      <c r="AF201" s="253"/>
      <c r="AG201" s="253"/>
      <c r="AH201" s="252"/>
    </row>
    <row r="202" spans="3:34" x14ac:dyDescent="0.2">
      <c r="C202" s="252"/>
      <c r="D202" s="252"/>
      <c r="E202" s="252"/>
      <c r="F202" s="252"/>
      <c r="G202" s="252"/>
      <c r="H202" s="252"/>
      <c r="I202" s="252"/>
      <c r="J202" s="252"/>
      <c r="K202" s="252"/>
      <c r="L202" s="252"/>
      <c r="M202" s="253"/>
      <c r="N202" s="253"/>
      <c r="O202" s="253"/>
      <c r="P202" s="253"/>
      <c r="Q202" s="253"/>
      <c r="R202" s="254"/>
      <c r="S202" s="255"/>
      <c r="T202" s="252"/>
      <c r="U202" s="252"/>
      <c r="V202" s="252"/>
      <c r="W202" s="252"/>
      <c r="X202" s="252"/>
      <c r="Y202" s="252"/>
      <c r="Z202" s="253"/>
      <c r="AA202" s="253"/>
      <c r="AB202" s="253"/>
      <c r="AC202" s="253"/>
      <c r="AD202" s="253"/>
      <c r="AE202" s="253"/>
      <c r="AF202" s="253"/>
      <c r="AG202" s="253"/>
      <c r="AH202" s="252"/>
    </row>
    <row r="203" spans="3:34" x14ac:dyDescent="0.2">
      <c r="C203" s="252"/>
      <c r="D203" s="252"/>
      <c r="E203" s="252"/>
      <c r="F203" s="252"/>
      <c r="G203" s="252"/>
      <c r="H203" s="252"/>
      <c r="I203" s="252"/>
      <c r="J203" s="252"/>
      <c r="K203" s="252"/>
      <c r="L203" s="252"/>
      <c r="M203" s="253"/>
      <c r="N203" s="253"/>
      <c r="O203" s="253"/>
      <c r="P203" s="253"/>
      <c r="Q203" s="253"/>
      <c r="R203" s="254"/>
      <c r="S203" s="255"/>
      <c r="T203" s="252"/>
      <c r="U203" s="252"/>
      <c r="V203" s="252"/>
      <c r="W203" s="252"/>
      <c r="X203" s="252"/>
      <c r="Y203" s="252"/>
      <c r="Z203" s="253"/>
      <c r="AA203" s="253"/>
      <c r="AB203" s="253"/>
      <c r="AC203" s="253"/>
      <c r="AD203" s="253"/>
      <c r="AE203" s="253"/>
      <c r="AF203" s="253"/>
      <c r="AG203" s="253"/>
      <c r="AH203" s="252"/>
    </row>
    <row r="204" spans="3:34" x14ac:dyDescent="0.2">
      <c r="C204" s="252"/>
      <c r="D204" s="252"/>
      <c r="E204" s="252"/>
      <c r="F204" s="252"/>
      <c r="G204" s="252"/>
      <c r="H204" s="252"/>
      <c r="I204" s="252"/>
      <c r="J204" s="252"/>
      <c r="K204" s="252"/>
      <c r="L204" s="252"/>
      <c r="M204" s="253"/>
      <c r="N204" s="253"/>
      <c r="O204" s="253"/>
      <c r="P204" s="253"/>
      <c r="Q204" s="253"/>
      <c r="R204" s="254"/>
      <c r="S204" s="255"/>
      <c r="T204" s="252"/>
      <c r="U204" s="252"/>
      <c r="V204" s="252"/>
      <c r="W204" s="252"/>
      <c r="X204" s="252"/>
      <c r="Y204" s="252"/>
      <c r="Z204" s="253"/>
      <c r="AA204" s="253"/>
      <c r="AB204" s="253"/>
      <c r="AC204" s="253"/>
      <c r="AD204" s="253"/>
      <c r="AE204" s="253"/>
      <c r="AF204" s="253"/>
      <c r="AG204" s="253"/>
      <c r="AH204" s="252"/>
    </row>
    <row r="205" spans="3:34" x14ac:dyDescent="0.2">
      <c r="C205" s="252"/>
      <c r="D205" s="252"/>
      <c r="E205" s="252"/>
      <c r="F205" s="252"/>
      <c r="G205" s="252"/>
      <c r="H205" s="252"/>
      <c r="I205" s="252"/>
      <c r="J205" s="252"/>
      <c r="K205" s="252"/>
      <c r="L205" s="252"/>
      <c r="M205" s="253"/>
      <c r="N205" s="253"/>
      <c r="O205" s="253"/>
      <c r="P205" s="253"/>
      <c r="Q205" s="253"/>
      <c r="R205" s="254"/>
      <c r="S205" s="255"/>
      <c r="T205" s="252"/>
      <c r="U205" s="252"/>
      <c r="V205" s="252"/>
      <c r="W205" s="252"/>
      <c r="X205" s="252"/>
      <c r="Y205" s="252"/>
      <c r="Z205" s="253"/>
      <c r="AA205" s="253"/>
      <c r="AB205" s="253"/>
      <c r="AC205" s="253"/>
      <c r="AD205" s="253"/>
      <c r="AE205" s="253"/>
      <c r="AF205" s="253"/>
      <c r="AG205" s="253"/>
      <c r="AH205" s="252"/>
    </row>
    <row r="206" spans="3:34" x14ac:dyDescent="0.2">
      <c r="C206" s="252"/>
      <c r="D206" s="252"/>
      <c r="E206" s="252"/>
      <c r="F206" s="252"/>
      <c r="G206" s="252"/>
      <c r="H206" s="252"/>
      <c r="I206" s="252"/>
      <c r="J206" s="252"/>
      <c r="K206" s="252"/>
      <c r="L206" s="252"/>
      <c r="M206" s="253"/>
      <c r="N206" s="253"/>
      <c r="O206" s="253"/>
      <c r="P206" s="253"/>
      <c r="Q206" s="253"/>
      <c r="R206" s="254"/>
      <c r="S206" s="255"/>
      <c r="T206" s="252"/>
      <c r="U206" s="252"/>
      <c r="V206" s="252"/>
      <c r="W206" s="252"/>
      <c r="X206" s="252"/>
      <c r="Y206" s="252"/>
      <c r="Z206" s="253"/>
      <c r="AA206" s="253"/>
      <c r="AB206" s="253"/>
      <c r="AC206" s="253"/>
      <c r="AD206" s="253"/>
      <c r="AE206" s="253"/>
      <c r="AF206" s="253"/>
      <c r="AG206" s="253"/>
      <c r="AH206" s="252"/>
    </row>
    <row r="207" spans="3:34" x14ac:dyDescent="0.2">
      <c r="C207" s="252"/>
      <c r="D207" s="252"/>
      <c r="E207" s="252"/>
      <c r="F207" s="252"/>
      <c r="G207" s="252"/>
      <c r="H207" s="252"/>
      <c r="I207" s="252"/>
      <c r="J207" s="252"/>
      <c r="K207" s="252"/>
      <c r="L207" s="252"/>
      <c r="M207" s="253"/>
      <c r="N207" s="253"/>
      <c r="O207" s="253"/>
      <c r="P207" s="253"/>
      <c r="Q207" s="253"/>
      <c r="R207" s="254"/>
      <c r="S207" s="255"/>
      <c r="T207" s="252"/>
      <c r="U207" s="252"/>
      <c r="V207" s="252"/>
      <c r="W207" s="252"/>
      <c r="X207" s="252"/>
      <c r="Y207" s="252"/>
      <c r="Z207" s="253"/>
      <c r="AA207" s="253"/>
      <c r="AB207" s="253"/>
      <c r="AC207" s="253"/>
      <c r="AD207" s="253"/>
      <c r="AE207" s="253"/>
      <c r="AF207" s="253"/>
      <c r="AG207" s="253"/>
      <c r="AH207" s="252"/>
    </row>
    <row r="208" spans="3:34" x14ac:dyDescent="0.2">
      <c r="C208" s="252"/>
      <c r="D208" s="252"/>
      <c r="E208" s="252"/>
      <c r="F208" s="252"/>
      <c r="G208" s="252"/>
      <c r="H208" s="252"/>
      <c r="I208" s="252"/>
      <c r="J208" s="252"/>
      <c r="K208" s="252"/>
      <c r="L208" s="252"/>
      <c r="M208" s="253"/>
      <c r="N208" s="253"/>
      <c r="O208" s="253"/>
      <c r="P208" s="253"/>
      <c r="Q208" s="253"/>
      <c r="R208" s="254"/>
      <c r="S208" s="255"/>
      <c r="T208" s="252"/>
      <c r="U208" s="252"/>
      <c r="V208" s="252"/>
      <c r="W208" s="252"/>
      <c r="X208" s="252"/>
      <c r="Y208" s="252"/>
      <c r="Z208" s="253"/>
      <c r="AA208" s="253"/>
      <c r="AB208" s="253"/>
      <c r="AC208" s="253"/>
      <c r="AD208" s="253"/>
      <c r="AE208" s="253"/>
      <c r="AF208" s="253"/>
      <c r="AG208" s="253"/>
      <c r="AH208" s="252"/>
    </row>
    <row r="209" spans="3:34" x14ac:dyDescent="0.2">
      <c r="C209" s="252"/>
      <c r="D209" s="252"/>
      <c r="E209" s="252"/>
      <c r="F209" s="252"/>
      <c r="G209" s="252"/>
      <c r="H209" s="252"/>
      <c r="I209" s="252"/>
      <c r="J209" s="252"/>
      <c r="K209" s="252"/>
      <c r="L209" s="252"/>
      <c r="M209" s="253"/>
      <c r="N209" s="253"/>
      <c r="O209" s="253"/>
      <c r="P209" s="253"/>
      <c r="Q209" s="253"/>
      <c r="R209" s="254"/>
      <c r="S209" s="255"/>
      <c r="T209" s="252"/>
      <c r="U209" s="252"/>
      <c r="V209" s="252"/>
      <c r="W209" s="252"/>
      <c r="X209" s="252"/>
      <c r="Y209" s="252"/>
      <c r="Z209" s="253"/>
      <c r="AA209" s="253"/>
      <c r="AB209" s="253"/>
      <c r="AC209" s="253"/>
      <c r="AD209" s="253"/>
      <c r="AE209" s="253"/>
      <c r="AF209" s="253"/>
      <c r="AG209" s="253"/>
      <c r="AH209" s="252"/>
    </row>
    <row r="210" spans="3:34" x14ac:dyDescent="0.2">
      <c r="C210" s="252"/>
      <c r="D210" s="252"/>
      <c r="E210" s="252"/>
      <c r="F210" s="252"/>
      <c r="G210" s="252"/>
      <c r="H210" s="252"/>
      <c r="I210" s="252"/>
      <c r="J210" s="252"/>
      <c r="K210" s="252"/>
      <c r="L210" s="252"/>
      <c r="M210" s="253"/>
      <c r="N210" s="253"/>
      <c r="O210" s="253"/>
      <c r="P210" s="253"/>
      <c r="Q210" s="253"/>
      <c r="R210" s="254"/>
      <c r="S210" s="255"/>
      <c r="T210" s="252"/>
      <c r="U210" s="252"/>
      <c r="V210" s="252"/>
      <c r="W210" s="252"/>
      <c r="X210" s="252"/>
      <c r="Y210" s="252"/>
      <c r="Z210" s="253"/>
      <c r="AA210" s="253"/>
      <c r="AB210" s="253"/>
      <c r="AC210" s="253"/>
      <c r="AD210" s="253"/>
      <c r="AE210" s="253"/>
      <c r="AF210" s="253"/>
      <c r="AG210" s="253"/>
      <c r="AH210" s="252"/>
    </row>
    <row r="211" spans="3:34" x14ac:dyDescent="0.2">
      <c r="C211" s="252"/>
      <c r="D211" s="252"/>
      <c r="E211" s="252"/>
      <c r="F211" s="252"/>
      <c r="G211" s="252"/>
      <c r="H211" s="252"/>
      <c r="I211" s="252"/>
      <c r="J211" s="252"/>
      <c r="K211" s="252"/>
      <c r="L211" s="252"/>
      <c r="M211" s="253"/>
      <c r="N211" s="253"/>
      <c r="O211" s="253"/>
      <c r="P211" s="253"/>
      <c r="Q211" s="253"/>
      <c r="R211" s="254"/>
      <c r="S211" s="255"/>
      <c r="T211" s="252"/>
      <c r="U211" s="252"/>
      <c r="V211" s="252"/>
      <c r="W211" s="252"/>
      <c r="X211" s="252"/>
      <c r="Y211" s="252"/>
      <c r="Z211" s="253"/>
      <c r="AA211" s="253"/>
      <c r="AB211" s="253"/>
      <c r="AC211" s="253"/>
      <c r="AD211" s="253"/>
      <c r="AE211" s="253"/>
      <c r="AF211" s="253"/>
      <c r="AG211" s="253"/>
      <c r="AH211" s="252"/>
    </row>
    <row r="212" spans="3:34" x14ac:dyDescent="0.2">
      <c r="C212" s="252"/>
      <c r="D212" s="252"/>
      <c r="E212" s="252"/>
      <c r="F212" s="252"/>
      <c r="G212" s="252"/>
      <c r="H212" s="252"/>
      <c r="I212" s="252"/>
      <c r="J212" s="252"/>
      <c r="K212" s="252"/>
      <c r="L212" s="252"/>
      <c r="M212" s="253"/>
      <c r="N212" s="253"/>
      <c r="O212" s="253"/>
      <c r="P212" s="253"/>
      <c r="Q212" s="253"/>
      <c r="R212" s="254"/>
      <c r="S212" s="255"/>
      <c r="T212" s="252"/>
      <c r="U212" s="252"/>
      <c r="V212" s="252"/>
      <c r="W212" s="252"/>
      <c r="X212" s="252"/>
      <c r="Y212" s="252"/>
      <c r="Z212" s="253"/>
      <c r="AA212" s="253"/>
      <c r="AB212" s="253"/>
      <c r="AC212" s="253"/>
      <c r="AD212" s="253"/>
      <c r="AE212" s="253"/>
      <c r="AF212" s="253"/>
      <c r="AG212" s="253"/>
      <c r="AH212" s="252"/>
    </row>
    <row r="213" spans="3:34" x14ac:dyDescent="0.2">
      <c r="C213" s="252"/>
      <c r="D213" s="252"/>
      <c r="E213" s="252"/>
      <c r="F213" s="252"/>
      <c r="G213" s="252"/>
      <c r="H213" s="252"/>
      <c r="I213" s="252"/>
      <c r="J213" s="252"/>
      <c r="K213" s="252"/>
      <c r="L213" s="252"/>
      <c r="M213" s="253"/>
      <c r="N213" s="253"/>
      <c r="O213" s="253"/>
      <c r="P213" s="253"/>
      <c r="Q213" s="253"/>
      <c r="R213" s="254"/>
      <c r="S213" s="255"/>
      <c r="T213" s="252"/>
      <c r="U213" s="252"/>
      <c r="V213" s="252"/>
      <c r="W213" s="252"/>
      <c r="X213" s="252"/>
      <c r="Y213" s="252"/>
      <c r="Z213" s="253"/>
      <c r="AA213" s="253"/>
      <c r="AB213" s="253"/>
      <c r="AC213" s="253"/>
      <c r="AD213" s="253"/>
      <c r="AE213" s="253"/>
      <c r="AF213" s="253"/>
      <c r="AG213" s="253"/>
      <c r="AH213" s="252"/>
    </row>
    <row r="214" spans="3:34" x14ac:dyDescent="0.2">
      <c r="C214" s="252"/>
      <c r="D214" s="252"/>
      <c r="E214" s="252"/>
      <c r="F214" s="252"/>
      <c r="G214" s="252"/>
      <c r="H214" s="252"/>
      <c r="I214" s="252"/>
      <c r="J214" s="252"/>
      <c r="K214" s="252"/>
      <c r="L214" s="252"/>
      <c r="M214" s="253"/>
      <c r="N214" s="253"/>
      <c r="O214" s="253"/>
      <c r="P214" s="253"/>
      <c r="Q214" s="253"/>
      <c r="R214" s="254"/>
      <c r="S214" s="255"/>
      <c r="T214" s="252"/>
      <c r="U214" s="252"/>
      <c r="V214" s="252"/>
      <c r="W214" s="252"/>
      <c r="X214" s="252"/>
      <c r="Y214" s="252"/>
      <c r="Z214" s="253"/>
      <c r="AA214" s="253"/>
      <c r="AB214" s="253"/>
      <c r="AC214" s="253"/>
      <c r="AD214" s="253"/>
      <c r="AE214" s="253"/>
      <c r="AF214" s="253"/>
      <c r="AG214" s="253"/>
      <c r="AH214" s="252"/>
    </row>
    <row r="215" spans="3:34" x14ac:dyDescent="0.2">
      <c r="C215" s="252"/>
      <c r="D215" s="252"/>
      <c r="E215" s="252"/>
      <c r="F215" s="252"/>
      <c r="G215" s="252"/>
      <c r="H215" s="252"/>
      <c r="I215" s="252"/>
      <c r="J215" s="252"/>
      <c r="K215" s="252"/>
      <c r="L215" s="252"/>
      <c r="M215" s="253"/>
      <c r="N215" s="253"/>
      <c r="O215" s="253"/>
      <c r="P215" s="253"/>
      <c r="Q215" s="253"/>
      <c r="R215" s="254"/>
      <c r="S215" s="255"/>
      <c r="T215" s="252"/>
      <c r="U215" s="252"/>
      <c r="V215" s="252"/>
      <c r="W215" s="252"/>
      <c r="X215" s="252"/>
      <c r="Y215" s="252"/>
      <c r="Z215" s="253"/>
      <c r="AA215" s="253"/>
      <c r="AB215" s="253"/>
      <c r="AC215" s="253"/>
      <c r="AD215" s="253"/>
      <c r="AE215" s="253"/>
      <c r="AF215" s="253"/>
      <c r="AG215" s="253"/>
      <c r="AH215" s="252"/>
    </row>
    <row r="216" spans="3:34" x14ac:dyDescent="0.2">
      <c r="C216" s="252"/>
      <c r="D216" s="252"/>
      <c r="E216" s="252"/>
      <c r="F216" s="252"/>
      <c r="G216" s="252"/>
      <c r="H216" s="252"/>
      <c r="I216" s="252"/>
      <c r="J216" s="252"/>
      <c r="K216" s="252"/>
      <c r="L216" s="252"/>
      <c r="M216" s="253"/>
      <c r="N216" s="253"/>
      <c r="O216" s="253"/>
      <c r="P216" s="253"/>
      <c r="Q216" s="253"/>
      <c r="R216" s="254"/>
      <c r="S216" s="255"/>
      <c r="T216" s="252"/>
      <c r="U216" s="252"/>
      <c r="V216" s="252"/>
      <c r="W216" s="252"/>
      <c r="X216" s="252"/>
      <c r="Y216" s="252"/>
      <c r="Z216" s="253"/>
      <c r="AA216" s="253"/>
      <c r="AB216" s="253"/>
      <c r="AC216" s="253"/>
      <c r="AD216" s="253"/>
      <c r="AE216" s="253"/>
      <c r="AF216" s="253"/>
      <c r="AG216" s="253"/>
      <c r="AH216" s="252"/>
    </row>
    <row r="217" spans="3:34" x14ac:dyDescent="0.2">
      <c r="C217" s="252"/>
      <c r="D217" s="252"/>
      <c r="E217" s="252"/>
      <c r="F217" s="252"/>
      <c r="G217" s="252"/>
      <c r="H217" s="252"/>
      <c r="I217" s="252"/>
      <c r="J217" s="252"/>
      <c r="K217" s="252"/>
      <c r="L217" s="252"/>
      <c r="M217" s="253"/>
      <c r="N217" s="253"/>
      <c r="O217" s="253"/>
      <c r="P217" s="253"/>
      <c r="Q217" s="253"/>
      <c r="R217" s="254"/>
      <c r="S217" s="255"/>
      <c r="T217" s="252"/>
      <c r="U217" s="252"/>
      <c r="V217" s="252"/>
      <c r="W217" s="252"/>
      <c r="X217" s="252"/>
      <c r="Y217" s="252"/>
      <c r="Z217" s="253"/>
      <c r="AA217" s="253"/>
      <c r="AB217" s="253"/>
      <c r="AC217" s="253"/>
      <c r="AD217" s="253"/>
      <c r="AE217" s="253"/>
      <c r="AF217" s="253"/>
      <c r="AG217" s="253"/>
      <c r="AH217" s="252"/>
    </row>
    <row r="218" spans="3:34" x14ac:dyDescent="0.2">
      <c r="C218" s="252"/>
      <c r="D218" s="252"/>
      <c r="E218" s="252"/>
      <c r="F218" s="252"/>
      <c r="G218" s="252"/>
      <c r="H218" s="252"/>
      <c r="I218" s="252"/>
      <c r="J218" s="252"/>
      <c r="K218" s="252"/>
      <c r="L218" s="252"/>
      <c r="M218" s="253"/>
      <c r="N218" s="253"/>
      <c r="O218" s="253"/>
      <c r="P218" s="253"/>
      <c r="Q218" s="253"/>
      <c r="R218" s="254"/>
      <c r="S218" s="255"/>
      <c r="T218" s="252"/>
      <c r="U218" s="252"/>
      <c r="V218" s="252"/>
      <c r="W218" s="252"/>
      <c r="X218" s="252"/>
      <c r="Y218" s="252"/>
      <c r="Z218" s="253"/>
      <c r="AA218" s="253"/>
      <c r="AB218" s="253"/>
      <c r="AC218" s="253"/>
      <c r="AD218" s="253"/>
      <c r="AE218" s="253"/>
      <c r="AF218" s="253"/>
      <c r="AG218" s="253"/>
      <c r="AH218" s="252"/>
    </row>
    <row r="219" spans="3:34" x14ac:dyDescent="0.2">
      <c r="C219" s="252"/>
      <c r="D219" s="252"/>
      <c r="E219" s="252"/>
      <c r="F219" s="252"/>
      <c r="G219" s="252"/>
      <c r="H219" s="252"/>
      <c r="I219" s="252"/>
      <c r="J219" s="252"/>
      <c r="K219" s="252"/>
      <c r="L219" s="252"/>
      <c r="M219" s="253"/>
      <c r="N219" s="253"/>
      <c r="O219" s="253"/>
      <c r="P219" s="253"/>
      <c r="Q219" s="253"/>
      <c r="R219" s="254"/>
      <c r="S219" s="255"/>
      <c r="T219" s="252"/>
      <c r="U219" s="252"/>
      <c r="V219" s="252"/>
      <c r="W219" s="252"/>
      <c r="X219" s="252"/>
      <c r="Y219" s="252"/>
      <c r="Z219" s="253"/>
      <c r="AA219" s="253"/>
      <c r="AB219" s="253"/>
      <c r="AC219" s="253"/>
      <c r="AD219" s="253"/>
      <c r="AE219" s="253"/>
      <c r="AF219" s="253"/>
      <c r="AG219" s="253"/>
      <c r="AH219" s="252"/>
    </row>
    <row r="220" spans="3:34" x14ac:dyDescent="0.2">
      <c r="C220" s="252"/>
      <c r="D220" s="252"/>
      <c r="E220" s="252"/>
      <c r="F220" s="252"/>
      <c r="G220" s="252"/>
      <c r="H220" s="252"/>
      <c r="I220" s="252"/>
      <c r="J220" s="252"/>
      <c r="K220" s="252"/>
      <c r="L220" s="252"/>
      <c r="M220" s="253"/>
      <c r="N220" s="253"/>
      <c r="O220" s="253"/>
      <c r="P220" s="253"/>
      <c r="Q220" s="253"/>
      <c r="R220" s="254"/>
      <c r="S220" s="255"/>
      <c r="T220" s="252"/>
      <c r="U220" s="252"/>
      <c r="V220" s="252"/>
      <c r="W220" s="252"/>
      <c r="X220" s="252"/>
      <c r="Y220" s="252"/>
      <c r="Z220" s="253"/>
      <c r="AA220" s="253"/>
      <c r="AB220" s="253"/>
      <c r="AC220" s="253"/>
      <c r="AD220" s="253"/>
      <c r="AE220" s="253"/>
      <c r="AF220" s="253"/>
      <c r="AG220" s="253"/>
      <c r="AH220" s="252"/>
    </row>
    <row r="221" spans="3:34" x14ac:dyDescent="0.2">
      <c r="C221" s="252"/>
      <c r="D221" s="252"/>
      <c r="E221" s="252"/>
      <c r="F221" s="252"/>
      <c r="G221" s="252"/>
      <c r="H221" s="252"/>
      <c r="I221" s="252"/>
      <c r="J221" s="252"/>
      <c r="K221" s="252"/>
      <c r="L221" s="252"/>
      <c r="M221" s="253"/>
      <c r="N221" s="253"/>
      <c r="O221" s="253"/>
      <c r="P221" s="253"/>
      <c r="Q221" s="253"/>
      <c r="R221" s="254"/>
      <c r="S221" s="255"/>
      <c r="T221" s="252"/>
      <c r="U221" s="252"/>
      <c r="V221" s="252"/>
      <c r="W221" s="252"/>
      <c r="X221" s="252"/>
      <c r="Y221" s="252"/>
      <c r="Z221" s="253"/>
      <c r="AA221" s="253"/>
      <c r="AB221" s="253"/>
      <c r="AC221" s="253"/>
      <c r="AD221" s="253"/>
      <c r="AE221" s="253"/>
      <c r="AF221" s="253"/>
      <c r="AG221" s="253"/>
      <c r="AH221" s="252"/>
    </row>
    <row r="222" spans="3:34" x14ac:dyDescent="0.2">
      <c r="C222" s="252"/>
      <c r="D222" s="252"/>
      <c r="E222" s="252"/>
      <c r="F222" s="252"/>
      <c r="G222" s="252"/>
      <c r="H222" s="252"/>
      <c r="I222" s="252"/>
      <c r="J222" s="252"/>
      <c r="K222" s="252"/>
      <c r="L222" s="252"/>
      <c r="M222" s="253"/>
      <c r="N222" s="253"/>
      <c r="O222" s="253"/>
      <c r="P222" s="253"/>
      <c r="Q222" s="253"/>
      <c r="R222" s="254"/>
      <c r="S222" s="255"/>
      <c r="T222" s="252"/>
      <c r="U222" s="252"/>
      <c r="V222" s="252"/>
      <c r="W222" s="252"/>
      <c r="X222" s="252"/>
      <c r="Y222" s="252"/>
      <c r="Z222" s="253"/>
      <c r="AA222" s="253"/>
      <c r="AB222" s="253"/>
      <c r="AC222" s="253"/>
      <c r="AD222" s="253"/>
      <c r="AE222" s="253"/>
      <c r="AF222" s="253"/>
      <c r="AG222" s="253"/>
      <c r="AH222" s="252"/>
    </row>
    <row r="223" spans="3:34" x14ac:dyDescent="0.2">
      <c r="C223" s="252"/>
      <c r="D223" s="252"/>
      <c r="E223" s="252"/>
      <c r="F223" s="252"/>
      <c r="G223" s="252"/>
      <c r="H223" s="252"/>
      <c r="I223" s="252"/>
      <c r="J223" s="252"/>
      <c r="K223" s="252"/>
      <c r="L223" s="252"/>
      <c r="M223" s="253"/>
      <c r="N223" s="253"/>
      <c r="O223" s="253"/>
      <c r="P223" s="253"/>
      <c r="Q223" s="253"/>
      <c r="R223" s="254"/>
      <c r="S223" s="255"/>
      <c r="T223" s="252"/>
      <c r="U223" s="252"/>
      <c r="V223" s="252"/>
      <c r="W223" s="252"/>
      <c r="X223" s="252"/>
      <c r="Y223" s="252"/>
      <c r="Z223" s="253"/>
      <c r="AA223" s="253"/>
      <c r="AB223" s="253"/>
      <c r="AC223" s="253"/>
      <c r="AD223" s="253"/>
      <c r="AE223" s="253"/>
      <c r="AF223" s="253"/>
      <c r="AG223" s="253"/>
      <c r="AH223" s="252"/>
    </row>
    <row r="224" spans="3:34" x14ac:dyDescent="0.2">
      <c r="C224" s="252"/>
      <c r="D224" s="252"/>
      <c r="E224" s="252"/>
      <c r="F224" s="252"/>
      <c r="G224" s="252"/>
      <c r="H224" s="252"/>
      <c r="I224" s="252"/>
      <c r="J224" s="252"/>
      <c r="K224" s="252"/>
      <c r="L224" s="252"/>
      <c r="M224" s="253"/>
      <c r="N224" s="253"/>
      <c r="O224" s="253"/>
      <c r="P224" s="253"/>
      <c r="Q224" s="253"/>
      <c r="R224" s="254"/>
      <c r="S224" s="255"/>
      <c r="T224" s="252"/>
      <c r="U224" s="252"/>
      <c r="V224" s="252"/>
      <c r="W224" s="252"/>
      <c r="X224" s="252"/>
      <c r="Y224" s="252"/>
      <c r="Z224" s="253"/>
      <c r="AA224" s="253"/>
      <c r="AB224" s="253"/>
      <c r="AC224" s="253"/>
      <c r="AD224" s="253"/>
      <c r="AE224" s="253"/>
      <c r="AF224" s="253"/>
      <c r="AG224" s="253"/>
      <c r="AH224" s="252"/>
    </row>
    <row r="225" spans="3:34" x14ac:dyDescent="0.2">
      <c r="C225" s="252"/>
      <c r="D225" s="252"/>
      <c r="E225" s="252"/>
      <c r="F225" s="252"/>
      <c r="G225" s="252"/>
      <c r="H225" s="252"/>
      <c r="I225" s="252"/>
      <c r="J225" s="252"/>
      <c r="K225" s="252"/>
      <c r="L225" s="252"/>
      <c r="M225" s="253"/>
      <c r="N225" s="253"/>
      <c r="O225" s="253"/>
      <c r="P225" s="253"/>
      <c r="Q225" s="253"/>
      <c r="R225" s="254"/>
      <c r="S225" s="255"/>
      <c r="T225" s="252"/>
      <c r="U225" s="252"/>
      <c r="V225" s="252"/>
      <c r="W225" s="252"/>
      <c r="X225" s="252"/>
      <c r="Y225" s="252"/>
      <c r="Z225" s="253"/>
      <c r="AA225" s="253"/>
      <c r="AB225" s="253"/>
      <c r="AC225" s="253"/>
      <c r="AD225" s="253"/>
      <c r="AE225" s="253"/>
      <c r="AF225" s="253"/>
      <c r="AG225" s="253"/>
      <c r="AH225" s="252"/>
    </row>
    <row r="226" spans="3:34" x14ac:dyDescent="0.2">
      <c r="C226" s="252"/>
      <c r="D226" s="252"/>
      <c r="E226" s="252"/>
      <c r="F226" s="252"/>
      <c r="G226" s="252"/>
      <c r="H226" s="252"/>
      <c r="I226" s="252"/>
      <c r="J226" s="252"/>
      <c r="K226" s="252"/>
      <c r="L226" s="252"/>
      <c r="M226" s="253"/>
      <c r="N226" s="253"/>
      <c r="O226" s="253"/>
      <c r="P226" s="253"/>
      <c r="Q226" s="253"/>
      <c r="R226" s="254"/>
      <c r="S226" s="255"/>
      <c r="T226" s="252"/>
      <c r="U226" s="252"/>
      <c r="V226" s="252"/>
      <c r="W226" s="252"/>
      <c r="X226" s="252"/>
      <c r="Y226" s="252"/>
      <c r="Z226" s="253"/>
      <c r="AA226" s="253"/>
      <c r="AB226" s="253"/>
      <c r="AC226" s="253"/>
      <c r="AD226" s="253"/>
      <c r="AE226" s="253"/>
      <c r="AF226" s="253"/>
      <c r="AG226" s="253"/>
      <c r="AH226" s="252"/>
    </row>
    <row r="227" spans="3:34" x14ac:dyDescent="0.2">
      <c r="C227" s="252"/>
      <c r="D227" s="252"/>
      <c r="E227" s="252"/>
      <c r="F227" s="252"/>
      <c r="G227" s="252"/>
      <c r="H227" s="252"/>
      <c r="I227" s="252"/>
      <c r="J227" s="252"/>
      <c r="K227" s="252"/>
      <c r="L227" s="252"/>
      <c r="M227" s="253"/>
      <c r="N227" s="253"/>
      <c r="O227" s="253"/>
      <c r="P227" s="253"/>
      <c r="Q227" s="253"/>
      <c r="R227" s="254"/>
      <c r="S227" s="255"/>
      <c r="T227" s="252"/>
      <c r="U227" s="252"/>
      <c r="V227" s="252"/>
      <c r="W227" s="252"/>
      <c r="X227" s="252"/>
      <c r="Y227" s="252"/>
      <c r="Z227" s="253"/>
      <c r="AA227" s="253"/>
      <c r="AB227" s="253"/>
      <c r="AC227" s="253"/>
      <c r="AD227" s="253"/>
      <c r="AE227" s="253"/>
      <c r="AF227" s="253"/>
      <c r="AG227" s="253"/>
      <c r="AH227" s="252"/>
    </row>
    <row r="228" spans="3:34" x14ac:dyDescent="0.2">
      <c r="C228" s="252"/>
      <c r="D228" s="252"/>
      <c r="E228" s="252"/>
      <c r="F228" s="252"/>
      <c r="G228" s="252"/>
      <c r="H228" s="252"/>
      <c r="I228" s="252"/>
      <c r="J228" s="252"/>
      <c r="K228" s="252"/>
      <c r="L228" s="252"/>
      <c r="M228" s="253"/>
      <c r="N228" s="253"/>
      <c r="O228" s="253"/>
      <c r="P228" s="253"/>
      <c r="Q228" s="253"/>
      <c r="R228" s="254"/>
      <c r="S228" s="255"/>
      <c r="T228" s="252"/>
      <c r="U228" s="252"/>
      <c r="V228" s="252"/>
      <c r="W228" s="252"/>
      <c r="X228" s="252"/>
      <c r="Y228" s="252"/>
      <c r="Z228" s="253"/>
      <c r="AA228" s="253"/>
      <c r="AB228" s="253"/>
      <c r="AC228" s="253"/>
      <c r="AD228" s="253"/>
      <c r="AE228" s="253"/>
      <c r="AF228" s="253"/>
      <c r="AG228" s="253"/>
      <c r="AH228" s="252"/>
    </row>
    <row r="229" spans="3:34" x14ac:dyDescent="0.2">
      <c r="C229" s="252"/>
      <c r="D229" s="252"/>
      <c r="E229" s="252"/>
      <c r="F229" s="252"/>
      <c r="G229" s="252"/>
      <c r="H229" s="252"/>
      <c r="I229" s="252"/>
      <c r="J229" s="252"/>
      <c r="K229" s="252"/>
      <c r="L229" s="252"/>
      <c r="M229" s="253"/>
      <c r="N229" s="253"/>
      <c r="O229" s="253"/>
      <c r="P229" s="253"/>
      <c r="Q229" s="253"/>
      <c r="R229" s="254"/>
      <c r="S229" s="255"/>
      <c r="T229" s="252"/>
      <c r="U229" s="252"/>
      <c r="V229" s="252"/>
      <c r="W229" s="252"/>
      <c r="X229" s="252"/>
      <c r="Y229" s="252"/>
      <c r="Z229" s="253"/>
      <c r="AA229" s="253"/>
      <c r="AB229" s="253"/>
      <c r="AC229" s="253"/>
      <c r="AD229" s="253"/>
      <c r="AE229" s="253"/>
      <c r="AF229" s="253"/>
      <c r="AG229" s="253"/>
      <c r="AH229" s="252"/>
    </row>
    <row r="230" spans="3:34" x14ac:dyDescent="0.2">
      <c r="C230" s="252"/>
      <c r="D230" s="252"/>
      <c r="E230" s="252"/>
      <c r="F230" s="252"/>
      <c r="G230" s="252"/>
      <c r="H230" s="252"/>
      <c r="I230" s="252"/>
      <c r="J230" s="252"/>
      <c r="K230" s="252"/>
      <c r="L230" s="252"/>
      <c r="M230" s="253"/>
      <c r="N230" s="253"/>
      <c r="O230" s="253"/>
      <c r="P230" s="253"/>
      <c r="Q230" s="253"/>
      <c r="R230" s="254"/>
      <c r="S230" s="255"/>
      <c r="T230" s="252"/>
      <c r="U230" s="252"/>
      <c r="V230" s="252"/>
      <c r="W230" s="252"/>
      <c r="X230" s="252"/>
      <c r="Y230" s="252"/>
      <c r="Z230" s="253"/>
      <c r="AA230" s="253"/>
      <c r="AB230" s="253"/>
      <c r="AC230" s="253"/>
      <c r="AD230" s="253"/>
      <c r="AE230" s="253"/>
      <c r="AF230" s="253"/>
      <c r="AG230" s="253"/>
      <c r="AH230" s="252"/>
    </row>
    <row r="231" spans="3:34" x14ac:dyDescent="0.2">
      <c r="C231" s="252"/>
      <c r="D231" s="252"/>
      <c r="E231" s="252"/>
      <c r="F231" s="252"/>
      <c r="G231" s="252"/>
      <c r="H231" s="252"/>
      <c r="I231" s="252"/>
      <c r="J231" s="252"/>
      <c r="K231" s="252"/>
      <c r="L231" s="252"/>
      <c r="M231" s="253"/>
      <c r="N231" s="253"/>
      <c r="O231" s="253"/>
      <c r="P231" s="253"/>
      <c r="Q231" s="253"/>
      <c r="R231" s="254"/>
      <c r="S231" s="255"/>
      <c r="T231" s="252"/>
      <c r="U231" s="252"/>
      <c r="V231" s="252"/>
      <c r="W231" s="252"/>
      <c r="X231" s="252"/>
      <c r="Y231" s="252"/>
      <c r="Z231" s="253"/>
      <c r="AA231" s="253"/>
      <c r="AB231" s="253"/>
      <c r="AC231" s="253"/>
      <c r="AD231" s="253"/>
      <c r="AE231" s="253"/>
      <c r="AF231" s="253"/>
      <c r="AG231" s="253"/>
      <c r="AH231" s="252"/>
    </row>
    <row r="232" spans="3:34" x14ac:dyDescent="0.2">
      <c r="C232" s="252"/>
      <c r="D232" s="252"/>
      <c r="E232" s="252"/>
      <c r="F232" s="252"/>
      <c r="G232" s="252"/>
      <c r="H232" s="252"/>
      <c r="I232" s="252"/>
      <c r="J232" s="252"/>
      <c r="K232" s="252"/>
      <c r="L232" s="252"/>
      <c r="M232" s="253"/>
      <c r="N232" s="253"/>
      <c r="O232" s="253"/>
      <c r="P232" s="253"/>
      <c r="Q232" s="253"/>
      <c r="R232" s="254"/>
      <c r="S232" s="255"/>
      <c r="T232" s="252"/>
      <c r="U232" s="252"/>
      <c r="V232" s="252"/>
      <c r="W232" s="252"/>
      <c r="X232" s="252"/>
      <c r="Y232" s="252"/>
      <c r="Z232" s="253"/>
      <c r="AA232" s="253"/>
      <c r="AB232" s="253"/>
      <c r="AC232" s="253"/>
      <c r="AD232" s="253"/>
      <c r="AE232" s="253"/>
      <c r="AF232" s="253"/>
      <c r="AG232" s="253"/>
      <c r="AH232" s="252"/>
    </row>
    <row r="233" spans="3:34" x14ac:dyDescent="0.2">
      <c r="C233" s="252"/>
      <c r="D233" s="252"/>
      <c r="E233" s="252"/>
      <c r="F233" s="252"/>
      <c r="G233" s="252"/>
      <c r="H233" s="252"/>
      <c r="I233" s="252"/>
      <c r="J233" s="252"/>
      <c r="K233" s="252"/>
      <c r="L233" s="252"/>
      <c r="M233" s="253"/>
      <c r="N233" s="253"/>
      <c r="O233" s="253"/>
      <c r="P233" s="253"/>
      <c r="Q233" s="253"/>
      <c r="R233" s="254"/>
      <c r="S233" s="255"/>
      <c r="T233" s="252"/>
      <c r="U233" s="252"/>
      <c r="V233" s="252"/>
      <c r="W233" s="252"/>
      <c r="X233" s="252"/>
      <c r="Y233" s="252"/>
      <c r="Z233" s="253"/>
      <c r="AA233" s="253"/>
      <c r="AB233" s="253"/>
      <c r="AC233" s="253"/>
      <c r="AD233" s="253"/>
      <c r="AE233" s="253"/>
      <c r="AF233" s="253"/>
      <c r="AG233" s="253"/>
      <c r="AH233" s="252"/>
    </row>
    <row r="234" spans="3:34" x14ac:dyDescent="0.2">
      <c r="C234" s="252"/>
      <c r="D234" s="252"/>
      <c r="E234" s="252"/>
      <c r="F234" s="252"/>
      <c r="G234" s="252"/>
      <c r="H234" s="252"/>
      <c r="I234" s="252"/>
      <c r="J234" s="252"/>
      <c r="K234" s="252"/>
      <c r="L234" s="252"/>
      <c r="M234" s="253"/>
      <c r="N234" s="253"/>
      <c r="O234" s="253"/>
      <c r="P234" s="253"/>
      <c r="Q234" s="253"/>
      <c r="R234" s="254"/>
      <c r="S234" s="255"/>
      <c r="T234" s="252"/>
      <c r="U234" s="252"/>
      <c r="V234" s="252"/>
      <c r="W234" s="252"/>
      <c r="X234" s="252"/>
      <c r="Y234" s="252"/>
      <c r="Z234" s="253"/>
      <c r="AA234" s="253"/>
      <c r="AB234" s="253"/>
      <c r="AC234" s="253"/>
      <c r="AD234" s="253"/>
      <c r="AE234" s="253"/>
      <c r="AF234" s="253"/>
      <c r="AG234" s="253"/>
      <c r="AH234" s="252"/>
    </row>
    <row r="235" spans="3:34" x14ac:dyDescent="0.2">
      <c r="C235" s="252"/>
      <c r="D235" s="252"/>
      <c r="E235" s="252"/>
      <c r="F235" s="252"/>
      <c r="G235" s="252"/>
      <c r="H235" s="252"/>
      <c r="I235" s="252"/>
      <c r="J235" s="252"/>
      <c r="K235" s="252"/>
      <c r="L235" s="252"/>
      <c r="M235" s="253"/>
      <c r="N235" s="253"/>
      <c r="O235" s="253"/>
      <c r="P235" s="253"/>
      <c r="Q235" s="253"/>
      <c r="R235" s="254"/>
      <c r="S235" s="255"/>
      <c r="T235" s="252"/>
      <c r="U235" s="252"/>
      <c r="V235" s="252"/>
      <c r="W235" s="252"/>
      <c r="X235" s="252"/>
      <c r="Y235" s="252"/>
      <c r="Z235" s="253"/>
      <c r="AA235" s="253"/>
      <c r="AB235" s="253"/>
      <c r="AC235" s="253"/>
      <c r="AD235" s="253"/>
      <c r="AE235" s="253"/>
      <c r="AF235" s="253"/>
      <c r="AG235" s="253"/>
      <c r="AH235" s="252"/>
    </row>
    <row r="236" spans="3:34" x14ac:dyDescent="0.2">
      <c r="C236" s="252"/>
      <c r="D236" s="252"/>
      <c r="E236" s="252"/>
      <c r="F236" s="252"/>
      <c r="G236" s="252"/>
      <c r="H236" s="252"/>
      <c r="I236" s="252"/>
      <c r="J236" s="252"/>
      <c r="K236" s="252"/>
      <c r="L236" s="252"/>
      <c r="M236" s="253"/>
      <c r="N236" s="253"/>
      <c r="O236" s="253"/>
      <c r="P236" s="253"/>
      <c r="Q236" s="253"/>
      <c r="R236" s="254"/>
      <c r="S236" s="255"/>
      <c r="T236" s="252"/>
      <c r="U236" s="252"/>
      <c r="V236" s="252"/>
      <c r="W236" s="252"/>
      <c r="X236" s="252"/>
      <c r="Y236" s="252"/>
      <c r="Z236" s="253"/>
      <c r="AA236" s="253"/>
      <c r="AB236" s="253"/>
      <c r="AC236" s="253"/>
      <c r="AD236" s="253"/>
      <c r="AE236" s="253"/>
      <c r="AF236" s="253"/>
      <c r="AG236" s="253"/>
      <c r="AH236" s="252"/>
    </row>
    <row r="237" spans="3:34" x14ac:dyDescent="0.2">
      <c r="C237" s="252"/>
      <c r="D237" s="252"/>
      <c r="E237" s="252"/>
      <c r="F237" s="252"/>
      <c r="G237" s="252"/>
      <c r="H237" s="252"/>
      <c r="I237" s="252"/>
      <c r="J237" s="252"/>
      <c r="K237" s="252"/>
      <c r="L237" s="252"/>
      <c r="M237" s="253"/>
      <c r="N237" s="253"/>
      <c r="O237" s="253"/>
      <c r="P237" s="253"/>
      <c r="Q237" s="253"/>
      <c r="R237" s="254"/>
      <c r="S237" s="255"/>
      <c r="T237" s="252"/>
      <c r="U237" s="252"/>
      <c r="V237" s="252"/>
      <c r="W237" s="252"/>
      <c r="X237" s="252"/>
      <c r="Y237" s="252"/>
      <c r="Z237" s="253"/>
      <c r="AA237" s="253"/>
      <c r="AB237" s="253"/>
      <c r="AC237" s="253"/>
      <c r="AD237" s="253"/>
      <c r="AE237" s="253"/>
      <c r="AF237" s="253"/>
      <c r="AG237" s="253"/>
      <c r="AH237" s="252"/>
    </row>
    <row r="238" spans="3:34" x14ac:dyDescent="0.2">
      <c r="C238" s="252"/>
      <c r="D238" s="252"/>
      <c r="E238" s="252"/>
      <c r="F238" s="252"/>
      <c r="G238" s="252"/>
      <c r="H238" s="252"/>
      <c r="I238" s="252"/>
      <c r="J238" s="252"/>
      <c r="K238" s="252"/>
      <c r="L238" s="252"/>
      <c r="M238" s="253"/>
      <c r="N238" s="253"/>
      <c r="O238" s="253"/>
      <c r="P238" s="253"/>
      <c r="Q238" s="253"/>
      <c r="R238" s="254"/>
      <c r="S238" s="255"/>
      <c r="T238" s="252"/>
      <c r="U238" s="252"/>
      <c r="V238" s="252"/>
      <c r="W238" s="252"/>
      <c r="X238" s="252"/>
      <c r="Y238" s="252"/>
      <c r="Z238" s="253"/>
      <c r="AA238" s="253"/>
      <c r="AB238" s="253"/>
      <c r="AC238" s="253"/>
      <c r="AD238" s="253"/>
      <c r="AE238" s="253"/>
      <c r="AF238" s="253"/>
      <c r="AG238" s="253"/>
      <c r="AH238" s="252"/>
    </row>
    <row r="239" spans="3:34" x14ac:dyDescent="0.2">
      <c r="C239" s="252"/>
      <c r="D239" s="252"/>
      <c r="E239" s="252"/>
      <c r="F239" s="252"/>
      <c r="G239" s="252"/>
      <c r="H239" s="252"/>
      <c r="I239" s="252"/>
      <c r="J239" s="252"/>
      <c r="K239" s="252"/>
      <c r="L239" s="252"/>
      <c r="M239" s="253"/>
      <c r="N239" s="253"/>
      <c r="O239" s="253"/>
      <c r="P239" s="253"/>
      <c r="Q239" s="253"/>
      <c r="R239" s="254"/>
      <c r="S239" s="255"/>
      <c r="T239" s="252"/>
      <c r="U239" s="252"/>
      <c r="V239" s="252"/>
      <c r="W239" s="252"/>
      <c r="X239" s="252"/>
      <c r="Y239" s="252"/>
      <c r="Z239" s="253"/>
      <c r="AA239" s="253"/>
      <c r="AB239" s="253"/>
      <c r="AC239" s="253"/>
      <c r="AD239" s="253"/>
      <c r="AE239" s="253"/>
      <c r="AF239" s="253"/>
      <c r="AG239" s="253"/>
      <c r="AH239" s="252"/>
    </row>
    <row r="240" spans="3:34" x14ac:dyDescent="0.2">
      <c r="C240" s="252"/>
      <c r="D240" s="252"/>
      <c r="E240" s="252"/>
      <c r="F240" s="252"/>
      <c r="G240" s="252"/>
      <c r="H240" s="252"/>
      <c r="I240" s="252"/>
      <c r="J240" s="252"/>
      <c r="K240" s="252"/>
      <c r="L240" s="252"/>
      <c r="M240" s="253"/>
      <c r="N240" s="253"/>
      <c r="O240" s="253"/>
      <c r="P240" s="253"/>
      <c r="Q240" s="253"/>
      <c r="R240" s="254"/>
      <c r="S240" s="255"/>
      <c r="T240" s="252"/>
      <c r="U240" s="252"/>
      <c r="V240" s="252"/>
      <c r="W240" s="252"/>
      <c r="X240" s="252"/>
      <c r="Y240" s="252"/>
      <c r="Z240" s="253"/>
      <c r="AA240" s="253"/>
      <c r="AB240" s="253"/>
      <c r="AC240" s="253"/>
      <c r="AD240" s="253"/>
      <c r="AE240" s="253"/>
      <c r="AF240" s="253"/>
      <c r="AG240" s="253"/>
      <c r="AH240" s="252"/>
    </row>
    <row r="241" spans="3:34" x14ac:dyDescent="0.2">
      <c r="C241" s="252"/>
      <c r="D241" s="252"/>
      <c r="E241" s="252"/>
      <c r="F241" s="252"/>
      <c r="G241" s="252"/>
      <c r="H241" s="252"/>
      <c r="I241" s="252"/>
      <c r="J241" s="252"/>
      <c r="K241" s="252"/>
      <c r="L241" s="252"/>
      <c r="M241" s="253"/>
      <c r="N241" s="253"/>
      <c r="O241" s="253"/>
      <c r="P241" s="253"/>
      <c r="Q241" s="253"/>
      <c r="R241" s="254"/>
      <c r="S241" s="255"/>
      <c r="T241" s="252"/>
      <c r="U241" s="252"/>
      <c r="V241" s="252"/>
      <c r="W241" s="252"/>
      <c r="X241" s="252"/>
      <c r="Y241" s="252"/>
      <c r="Z241" s="253"/>
      <c r="AA241" s="253"/>
      <c r="AB241" s="253"/>
      <c r="AC241" s="253"/>
      <c r="AD241" s="253"/>
      <c r="AE241" s="253"/>
      <c r="AF241" s="253"/>
      <c r="AG241" s="253"/>
      <c r="AH241" s="252"/>
    </row>
    <row r="242" spans="3:34" x14ac:dyDescent="0.2">
      <c r="C242" s="252"/>
      <c r="D242" s="252"/>
      <c r="E242" s="252"/>
      <c r="F242" s="252"/>
      <c r="G242" s="252"/>
      <c r="H242" s="252"/>
      <c r="I242" s="252"/>
      <c r="J242" s="252"/>
      <c r="K242" s="252"/>
      <c r="L242" s="252"/>
      <c r="M242" s="253"/>
      <c r="N242" s="253"/>
      <c r="O242" s="253"/>
      <c r="P242" s="253"/>
      <c r="Q242" s="253"/>
      <c r="R242" s="254"/>
      <c r="S242" s="255"/>
      <c r="T242" s="252"/>
      <c r="U242" s="252"/>
      <c r="V242" s="252"/>
      <c r="W242" s="252"/>
      <c r="X242" s="252"/>
      <c r="Y242" s="252"/>
      <c r="Z242" s="253"/>
      <c r="AA242" s="253"/>
      <c r="AB242" s="253"/>
      <c r="AC242" s="253"/>
      <c r="AD242" s="253"/>
      <c r="AE242" s="253"/>
      <c r="AF242" s="253"/>
      <c r="AG242" s="253"/>
      <c r="AH242" s="252"/>
    </row>
    <row r="243" spans="3:34" x14ac:dyDescent="0.2">
      <c r="C243" s="252"/>
      <c r="D243" s="252"/>
      <c r="E243" s="252"/>
      <c r="F243" s="252"/>
      <c r="G243" s="252"/>
      <c r="H243" s="252"/>
      <c r="I243" s="252"/>
      <c r="J243" s="252"/>
      <c r="K243" s="252"/>
      <c r="L243" s="252"/>
      <c r="M243" s="253"/>
      <c r="N243" s="253"/>
      <c r="O243" s="253"/>
      <c r="P243" s="253"/>
      <c r="Q243" s="253"/>
      <c r="R243" s="254"/>
      <c r="S243" s="255"/>
      <c r="T243" s="252"/>
      <c r="U243" s="252"/>
      <c r="V243" s="252"/>
      <c r="W243" s="252"/>
      <c r="X243" s="252"/>
      <c r="Y243" s="252"/>
      <c r="Z243" s="253"/>
      <c r="AA243" s="253"/>
      <c r="AB243" s="253"/>
      <c r="AC243" s="253"/>
      <c r="AD243" s="253"/>
      <c r="AE243" s="253"/>
      <c r="AF243" s="253"/>
      <c r="AG243" s="253"/>
      <c r="AH243" s="252"/>
    </row>
    <row r="244" spans="3:34" x14ac:dyDescent="0.2">
      <c r="C244" s="252"/>
      <c r="D244" s="252"/>
      <c r="E244" s="252"/>
      <c r="F244" s="252"/>
      <c r="G244" s="252"/>
      <c r="H244" s="252"/>
      <c r="I244" s="252"/>
      <c r="J244" s="252"/>
      <c r="K244" s="252"/>
      <c r="L244" s="252"/>
      <c r="M244" s="253"/>
      <c r="N244" s="253"/>
      <c r="O244" s="253"/>
      <c r="P244" s="253"/>
      <c r="Q244" s="253"/>
      <c r="R244" s="254"/>
      <c r="S244" s="255"/>
      <c r="T244" s="252"/>
      <c r="U244" s="252"/>
      <c r="V244" s="252"/>
      <c r="W244" s="252"/>
      <c r="X244" s="252"/>
      <c r="Y244" s="252"/>
      <c r="Z244" s="253"/>
      <c r="AA244" s="253"/>
      <c r="AB244" s="253"/>
      <c r="AC244" s="253"/>
      <c r="AD244" s="253"/>
      <c r="AE244" s="253"/>
      <c r="AF244" s="253"/>
      <c r="AG244" s="253"/>
      <c r="AH244" s="252"/>
    </row>
    <row r="245" spans="3:34" x14ac:dyDescent="0.2">
      <c r="C245" s="252"/>
      <c r="D245" s="252"/>
      <c r="E245" s="252"/>
      <c r="F245" s="252"/>
      <c r="G245" s="252"/>
      <c r="H245" s="252"/>
      <c r="I245" s="252"/>
      <c r="J245" s="252"/>
      <c r="K245" s="252"/>
      <c r="L245" s="252"/>
      <c r="M245" s="253"/>
      <c r="N245" s="253"/>
      <c r="O245" s="253"/>
      <c r="P245" s="253"/>
      <c r="Q245" s="253"/>
      <c r="R245" s="254"/>
      <c r="S245" s="255"/>
      <c r="T245" s="252"/>
      <c r="U245" s="252"/>
      <c r="V245" s="252"/>
      <c r="W245" s="252"/>
      <c r="X245" s="252"/>
      <c r="Y245" s="252"/>
      <c r="Z245" s="253"/>
      <c r="AA245" s="253"/>
      <c r="AB245" s="253"/>
      <c r="AC245" s="253"/>
      <c r="AD245" s="253"/>
      <c r="AE245" s="253"/>
      <c r="AF245" s="253"/>
      <c r="AG245" s="253"/>
      <c r="AH245" s="252"/>
    </row>
    <row r="246" spans="3:34" x14ac:dyDescent="0.2">
      <c r="C246" s="252"/>
      <c r="D246" s="252"/>
      <c r="E246" s="252"/>
      <c r="F246" s="252"/>
      <c r="G246" s="252"/>
      <c r="H246" s="252"/>
      <c r="I246" s="252"/>
      <c r="J246" s="252"/>
      <c r="K246" s="252"/>
      <c r="L246" s="252"/>
      <c r="M246" s="253"/>
      <c r="N246" s="253"/>
      <c r="O246" s="253"/>
      <c r="P246" s="253"/>
      <c r="Q246" s="253"/>
      <c r="R246" s="254"/>
      <c r="S246" s="255"/>
      <c r="T246" s="252"/>
      <c r="U246" s="252"/>
      <c r="V246" s="252"/>
      <c r="W246" s="252"/>
      <c r="X246" s="252"/>
      <c r="Y246" s="252"/>
      <c r="Z246" s="253"/>
      <c r="AA246" s="253"/>
      <c r="AB246" s="253"/>
      <c r="AC246" s="253"/>
      <c r="AD246" s="253"/>
      <c r="AE246" s="253"/>
      <c r="AF246" s="253"/>
      <c r="AG246" s="253"/>
      <c r="AH246" s="252"/>
    </row>
    <row r="247" spans="3:34" x14ac:dyDescent="0.2">
      <c r="C247" s="252"/>
      <c r="D247" s="252"/>
      <c r="E247" s="252"/>
      <c r="F247" s="252"/>
      <c r="G247" s="252"/>
      <c r="H247" s="252"/>
      <c r="I247" s="252"/>
      <c r="J247" s="252"/>
      <c r="K247" s="252"/>
      <c r="L247" s="252"/>
      <c r="M247" s="253"/>
      <c r="N247" s="253"/>
      <c r="O247" s="253"/>
      <c r="P247" s="253"/>
      <c r="Q247" s="253"/>
      <c r="R247" s="254"/>
      <c r="S247" s="255"/>
      <c r="T247" s="252"/>
      <c r="U247" s="252"/>
      <c r="V247" s="252"/>
      <c r="W247" s="252"/>
      <c r="X247" s="252"/>
      <c r="Y247" s="252"/>
      <c r="Z247" s="253"/>
      <c r="AA247" s="253"/>
      <c r="AB247" s="253"/>
      <c r="AC247" s="253"/>
      <c r="AD247" s="253"/>
      <c r="AE247" s="253"/>
      <c r="AF247" s="253"/>
      <c r="AG247" s="253"/>
      <c r="AH247" s="252"/>
    </row>
    <row r="248" spans="3:34" x14ac:dyDescent="0.2">
      <c r="C248" s="252"/>
      <c r="D248" s="252"/>
      <c r="E248" s="252"/>
      <c r="F248" s="252"/>
      <c r="G248" s="252"/>
      <c r="H248" s="252"/>
      <c r="I248" s="252"/>
      <c r="J248" s="252"/>
      <c r="K248" s="252"/>
      <c r="L248" s="252"/>
      <c r="M248" s="253"/>
      <c r="N248" s="253"/>
      <c r="O248" s="253"/>
      <c r="P248" s="253"/>
      <c r="Q248" s="253"/>
      <c r="R248" s="254"/>
      <c r="S248" s="255"/>
      <c r="T248" s="252"/>
      <c r="U248" s="252"/>
      <c r="V248" s="252"/>
      <c r="W248" s="252"/>
      <c r="X248" s="252"/>
      <c r="Y248" s="252"/>
      <c r="Z248" s="253"/>
      <c r="AA248" s="253"/>
      <c r="AB248" s="253"/>
      <c r="AC248" s="253"/>
      <c r="AD248" s="253"/>
      <c r="AE248" s="253"/>
      <c r="AF248" s="253"/>
      <c r="AG248" s="253"/>
      <c r="AH248" s="252"/>
    </row>
    <row r="249" spans="3:34" x14ac:dyDescent="0.2">
      <c r="C249" s="252"/>
      <c r="D249" s="252"/>
      <c r="E249" s="252"/>
      <c r="F249" s="252"/>
      <c r="G249" s="252"/>
      <c r="H249" s="252"/>
      <c r="I249" s="252"/>
      <c r="J249" s="252"/>
      <c r="K249" s="252"/>
      <c r="L249" s="252"/>
      <c r="M249" s="253"/>
      <c r="N249" s="253"/>
      <c r="O249" s="253"/>
      <c r="P249" s="253"/>
      <c r="Q249" s="253"/>
      <c r="R249" s="254"/>
      <c r="S249" s="255"/>
      <c r="T249" s="252"/>
      <c r="U249" s="252"/>
      <c r="V249" s="252"/>
      <c r="W249" s="252"/>
      <c r="X249" s="252"/>
      <c r="Y249" s="252"/>
      <c r="Z249" s="253"/>
      <c r="AA249" s="253"/>
      <c r="AB249" s="253"/>
      <c r="AC249" s="253"/>
      <c r="AD249" s="253"/>
      <c r="AE249" s="253"/>
      <c r="AF249" s="253"/>
      <c r="AG249" s="253"/>
      <c r="AH249" s="252"/>
    </row>
    <row r="250" spans="3:34" x14ac:dyDescent="0.2">
      <c r="C250" s="252"/>
      <c r="D250" s="252"/>
      <c r="E250" s="252"/>
      <c r="F250" s="252"/>
      <c r="G250" s="252"/>
      <c r="H250" s="252"/>
      <c r="I250" s="252"/>
      <c r="J250" s="252"/>
      <c r="K250" s="252"/>
      <c r="L250" s="252"/>
      <c r="M250" s="253"/>
      <c r="N250" s="253"/>
      <c r="O250" s="253"/>
      <c r="P250" s="253"/>
      <c r="Q250" s="253"/>
      <c r="R250" s="254"/>
      <c r="S250" s="255"/>
      <c r="T250" s="252"/>
      <c r="U250" s="252"/>
      <c r="V250" s="252"/>
      <c r="W250" s="252"/>
      <c r="X250" s="252"/>
      <c r="Y250" s="252"/>
      <c r="Z250" s="253"/>
      <c r="AA250" s="253"/>
      <c r="AB250" s="253"/>
      <c r="AC250" s="253"/>
      <c r="AD250" s="253"/>
      <c r="AE250" s="253"/>
      <c r="AF250" s="253"/>
      <c r="AG250" s="253"/>
      <c r="AH250" s="252"/>
    </row>
    <row r="251" spans="3:34" x14ac:dyDescent="0.2">
      <c r="C251" s="252"/>
      <c r="D251" s="252"/>
      <c r="E251" s="252"/>
      <c r="F251" s="252"/>
      <c r="G251" s="252"/>
      <c r="H251" s="252"/>
      <c r="I251" s="252"/>
      <c r="J251" s="252"/>
      <c r="K251" s="252"/>
      <c r="L251" s="252"/>
      <c r="M251" s="253"/>
      <c r="N251" s="253"/>
      <c r="O251" s="253"/>
      <c r="P251" s="253"/>
      <c r="Q251" s="253"/>
      <c r="R251" s="254"/>
      <c r="S251" s="255"/>
      <c r="T251" s="252"/>
      <c r="U251" s="252"/>
      <c r="V251" s="252"/>
      <c r="W251" s="252"/>
      <c r="X251" s="252"/>
      <c r="Y251" s="252"/>
      <c r="Z251" s="253"/>
      <c r="AA251" s="253"/>
      <c r="AB251" s="253"/>
      <c r="AC251" s="253"/>
      <c r="AD251" s="253"/>
      <c r="AE251" s="253"/>
      <c r="AF251" s="253"/>
      <c r="AG251" s="253"/>
      <c r="AH251" s="252"/>
    </row>
    <row r="252" spans="3:34" x14ac:dyDescent="0.2">
      <c r="C252" s="252"/>
      <c r="D252" s="252"/>
      <c r="E252" s="252"/>
      <c r="F252" s="252"/>
      <c r="G252" s="252"/>
      <c r="H252" s="252"/>
      <c r="I252" s="252"/>
      <c r="J252" s="252"/>
      <c r="K252" s="252"/>
      <c r="L252" s="252"/>
      <c r="M252" s="253"/>
      <c r="N252" s="253"/>
      <c r="O252" s="253"/>
      <c r="P252" s="253"/>
      <c r="Q252" s="253"/>
      <c r="R252" s="254"/>
      <c r="S252" s="255"/>
      <c r="T252" s="252"/>
      <c r="U252" s="252"/>
      <c r="V252" s="252"/>
      <c r="W252" s="252"/>
      <c r="X252" s="252"/>
      <c r="Y252" s="252"/>
      <c r="Z252" s="253"/>
      <c r="AA252" s="253"/>
      <c r="AB252" s="253"/>
      <c r="AC252" s="253"/>
      <c r="AD252" s="253"/>
      <c r="AE252" s="253"/>
      <c r="AF252" s="253"/>
      <c r="AG252" s="253"/>
      <c r="AH252" s="252"/>
    </row>
    <row r="253" spans="3:34" x14ac:dyDescent="0.2">
      <c r="C253" s="252"/>
      <c r="D253" s="252"/>
      <c r="E253" s="252"/>
      <c r="F253" s="252"/>
      <c r="G253" s="252"/>
      <c r="H253" s="252"/>
      <c r="I253" s="252"/>
      <c r="J253" s="252"/>
      <c r="K253" s="252"/>
      <c r="L253" s="252"/>
      <c r="M253" s="253"/>
      <c r="N253" s="253"/>
      <c r="O253" s="253"/>
      <c r="P253" s="253"/>
      <c r="Q253" s="253"/>
      <c r="R253" s="254"/>
      <c r="S253" s="255"/>
      <c r="T253" s="252"/>
      <c r="U253" s="252"/>
      <c r="V253" s="252"/>
      <c r="W253" s="252"/>
      <c r="X253" s="252"/>
      <c r="Y253" s="252"/>
      <c r="Z253" s="253"/>
      <c r="AA253" s="253"/>
      <c r="AB253" s="253"/>
      <c r="AC253" s="253"/>
      <c r="AD253" s="253"/>
      <c r="AE253" s="253"/>
      <c r="AF253" s="253"/>
      <c r="AG253" s="253"/>
      <c r="AH253" s="252"/>
    </row>
    <row r="254" spans="3:34" x14ac:dyDescent="0.2">
      <c r="C254" s="252"/>
      <c r="D254" s="252"/>
      <c r="E254" s="252"/>
      <c r="F254" s="252"/>
      <c r="G254" s="252"/>
      <c r="H254" s="252"/>
      <c r="I254" s="252"/>
      <c r="J254" s="252"/>
      <c r="K254" s="252"/>
      <c r="L254" s="252"/>
      <c r="M254" s="253"/>
      <c r="N254" s="253"/>
      <c r="O254" s="253"/>
      <c r="P254" s="253"/>
      <c r="Q254" s="253"/>
      <c r="R254" s="254"/>
      <c r="S254" s="255"/>
      <c r="T254" s="252"/>
      <c r="U254" s="252"/>
      <c r="V254" s="252"/>
      <c r="W254" s="252"/>
      <c r="X254" s="252"/>
      <c r="Y254" s="252"/>
      <c r="Z254" s="253"/>
      <c r="AA254" s="253"/>
      <c r="AB254" s="253"/>
      <c r="AC254" s="253"/>
      <c r="AD254" s="253"/>
      <c r="AE254" s="253"/>
      <c r="AF254" s="253"/>
      <c r="AG254" s="253"/>
      <c r="AH254" s="252"/>
    </row>
    <row r="255" spans="3:34" x14ac:dyDescent="0.2">
      <c r="C255" s="252"/>
      <c r="D255" s="252"/>
      <c r="E255" s="252"/>
      <c r="F255" s="252"/>
      <c r="G255" s="252"/>
      <c r="H255" s="252"/>
      <c r="I255" s="252"/>
      <c r="J255" s="252"/>
      <c r="K255" s="252"/>
      <c r="L255" s="252"/>
      <c r="M255" s="253"/>
      <c r="N255" s="253"/>
      <c r="O255" s="253"/>
      <c r="P255" s="253"/>
      <c r="Q255" s="253"/>
      <c r="R255" s="254"/>
      <c r="S255" s="255"/>
      <c r="T255" s="252"/>
      <c r="U255" s="252"/>
      <c r="V255" s="252"/>
      <c r="W255" s="252"/>
      <c r="X255" s="252"/>
      <c r="Y255" s="252"/>
      <c r="Z255" s="253"/>
      <c r="AA255" s="253"/>
      <c r="AB255" s="253"/>
      <c r="AC255" s="253"/>
      <c r="AD255" s="253"/>
      <c r="AE255" s="253"/>
      <c r="AF255" s="253"/>
      <c r="AG255" s="253"/>
      <c r="AH255" s="252"/>
    </row>
    <row r="256" spans="3:34" x14ac:dyDescent="0.2">
      <c r="C256" s="252"/>
      <c r="D256" s="252"/>
      <c r="E256" s="252"/>
      <c r="F256" s="252"/>
      <c r="G256" s="252"/>
      <c r="H256" s="252"/>
      <c r="I256" s="252"/>
      <c r="J256" s="252"/>
      <c r="K256" s="252"/>
      <c r="L256" s="252"/>
      <c r="M256" s="253"/>
      <c r="N256" s="253"/>
      <c r="O256" s="253"/>
      <c r="P256" s="253"/>
      <c r="Q256" s="253"/>
      <c r="R256" s="254"/>
      <c r="S256" s="255"/>
      <c r="T256" s="252"/>
      <c r="U256" s="252"/>
      <c r="V256" s="252"/>
      <c r="W256" s="252"/>
      <c r="X256" s="252"/>
      <c r="Y256" s="252"/>
      <c r="Z256" s="253"/>
      <c r="AA256" s="253"/>
      <c r="AB256" s="253"/>
      <c r="AC256" s="253"/>
      <c r="AD256" s="253"/>
      <c r="AE256" s="253"/>
      <c r="AF256" s="253"/>
      <c r="AG256" s="253"/>
      <c r="AH256" s="252"/>
    </row>
    <row r="257" spans="3:34" x14ac:dyDescent="0.2">
      <c r="C257" s="252"/>
      <c r="D257" s="252"/>
      <c r="E257" s="252"/>
      <c r="F257" s="252"/>
      <c r="G257" s="252"/>
      <c r="H257" s="252"/>
      <c r="I257" s="252"/>
      <c r="J257" s="252"/>
      <c r="K257" s="252"/>
      <c r="L257" s="252"/>
      <c r="M257" s="253"/>
      <c r="N257" s="253"/>
      <c r="O257" s="253"/>
      <c r="P257" s="253"/>
      <c r="Q257" s="253"/>
      <c r="R257" s="254"/>
      <c r="S257" s="255"/>
      <c r="T257" s="252"/>
      <c r="U257" s="252"/>
      <c r="V257" s="252"/>
      <c r="W257" s="252"/>
      <c r="X257" s="252"/>
      <c r="Y257" s="252"/>
      <c r="Z257" s="253"/>
      <c r="AA257" s="253"/>
      <c r="AB257" s="253"/>
      <c r="AC257" s="253"/>
      <c r="AD257" s="253"/>
      <c r="AE257" s="253"/>
      <c r="AF257" s="253"/>
      <c r="AG257" s="253"/>
      <c r="AH257" s="252"/>
    </row>
    <row r="258" spans="3:34" x14ac:dyDescent="0.2">
      <c r="C258" s="252"/>
      <c r="D258" s="252"/>
      <c r="E258" s="252"/>
      <c r="F258" s="252"/>
      <c r="G258" s="252"/>
      <c r="H258" s="252"/>
      <c r="I258" s="252"/>
      <c r="J258" s="252"/>
      <c r="K258" s="252"/>
      <c r="L258" s="252"/>
      <c r="M258" s="253"/>
      <c r="N258" s="253"/>
      <c r="O258" s="253"/>
      <c r="P258" s="253"/>
      <c r="Q258" s="253"/>
      <c r="R258" s="254"/>
      <c r="S258" s="255"/>
      <c r="T258" s="252"/>
      <c r="U258" s="252"/>
      <c r="V258" s="252"/>
      <c r="W258" s="252"/>
      <c r="X258" s="252"/>
      <c r="Y258" s="252"/>
      <c r="Z258" s="253"/>
      <c r="AA258" s="253"/>
      <c r="AB258" s="253"/>
      <c r="AC258" s="253"/>
      <c r="AD258" s="253"/>
      <c r="AE258" s="253"/>
      <c r="AF258" s="253"/>
      <c r="AG258" s="253"/>
      <c r="AH258" s="252"/>
    </row>
    <row r="259" spans="3:34" x14ac:dyDescent="0.2">
      <c r="C259" s="252"/>
      <c r="D259" s="252"/>
      <c r="E259" s="252"/>
      <c r="F259" s="252"/>
      <c r="G259" s="252"/>
      <c r="H259" s="252"/>
      <c r="I259" s="252"/>
      <c r="J259" s="252"/>
      <c r="K259" s="252"/>
      <c r="L259" s="252"/>
      <c r="M259" s="253"/>
      <c r="N259" s="253"/>
      <c r="O259" s="253"/>
      <c r="P259" s="253"/>
      <c r="Q259" s="253"/>
      <c r="R259" s="254"/>
      <c r="S259" s="255"/>
      <c r="T259" s="252"/>
      <c r="U259" s="252"/>
      <c r="V259" s="252"/>
      <c r="W259" s="252"/>
      <c r="X259" s="252"/>
      <c r="Y259" s="252"/>
      <c r="Z259" s="253"/>
      <c r="AA259" s="253"/>
      <c r="AB259" s="253"/>
      <c r="AC259" s="253"/>
      <c r="AD259" s="253"/>
      <c r="AE259" s="253"/>
      <c r="AF259" s="253"/>
      <c r="AG259" s="253"/>
      <c r="AH259" s="252"/>
    </row>
    <row r="260" spans="3:34" x14ac:dyDescent="0.2">
      <c r="C260" s="252"/>
      <c r="D260" s="252"/>
      <c r="E260" s="252"/>
      <c r="F260" s="252"/>
      <c r="G260" s="252"/>
      <c r="H260" s="252"/>
      <c r="I260" s="252"/>
      <c r="J260" s="252"/>
      <c r="K260" s="252"/>
      <c r="L260" s="252"/>
      <c r="M260" s="253"/>
      <c r="N260" s="253"/>
      <c r="O260" s="253"/>
      <c r="P260" s="253"/>
      <c r="Q260" s="253"/>
      <c r="R260" s="254"/>
      <c r="S260" s="255"/>
      <c r="T260" s="252"/>
      <c r="U260" s="252"/>
      <c r="V260" s="252"/>
      <c r="W260" s="252"/>
      <c r="X260" s="252"/>
      <c r="Y260" s="252"/>
      <c r="Z260" s="253"/>
      <c r="AA260" s="253"/>
      <c r="AB260" s="253"/>
      <c r="AC260" s="253"/>
      <c r="AD260" s="253"/>
      <c r="AE260" s="253"/>
      <c r="AF260" s="253"/>
      <c r="AG260" s="253"/>
      <c r="AH260" s="252"/>
    </row>
    <row r="261" spans="3:34" x14ac:dyDescent="0.2">
      <c r="C261" s="252"/>
      <c r="D261" s="252"/>
      <c r="E261" s="252"/>
      <c r="F261" s="252"/>
      <c r="G261" s="252"/>
      <c r="H261" s="252"/>
      <c r="I261" s="252"/>
      <c r="J261" s="252"/>
      <c r="K261" s="252"/>
      <c r="L261" s="252"/>
      <c r="M261" s="253"/>
      <c r="N261" s="253"/>
      <c r="O261" s="253"/>
      <c r="P261" s="253"/>
      <c r="Q261" s="253"/>
      <c r="R261" s="254"/>
      <c r="S261" s="255"/>
      <c r="T261" s="252"/>
      <c r="U261" s="252"/>
      <c r="V261" s="252"/>
      <c r="W261" s="252"/>
      <c r="X261" s="252"/>
      <c r="Y261" s="252"/>
      <c r="Z261" s="253"/>
      <c r="AA261" s="253"/>
      <c r="AB261" s="253"/>
      <c r="AC261" s="253"/>
      <c r="AD261" s="253"/>
      <c r="AE261" s="253"/>
      <c r="AF261" s="253"/>
      <c r="AG261" s="253"/>
      <c r="AH261" s="252"/>
    </row>
    <row r="262" spans="3:34" x14ac:dyDescent="0.2">
      <c r="C262" s="252"/>
      <c r="D262" s="252"/>
      <c r="E262" s="252"/>
      <c r="F262" s="252"/>
      <c r="G262" s="252"/>
      <c r="H262" s="252"/>
      <c r="I262" s="252"/>
      <c r="J262" s="252"/>
      <c r="K262" s="252"/>
      <c r="L262" s="252"/>
      <c r="M262" s="253"/>
      <c r="N262" s="253"/>
      <c r="O262" s="253"/>
      <c r="P262" s="253"/>
      <c r="Q262" s="253"/>
      <c r="R262" s="254"/>
      <c r="S262" s="255"/>
      <c r="T262" s="252"/>
      <c r="U262" s="252"/>
      <c r="V262" s="252"/>
      <c r="W262" s="252"/>
      <c r="X262" s="252"/>
      <c r="Y262" s="252"/>
      <c r="Z262" s="253"/>
      <c r="AA262" s="253"/>
      <c r="AB262" s="253"/>
      <c r="AC262" s="253"/>
      <c r="AD262" s="253"/>
      <c r="AE262" s="253"/>
      <c r="AF262" s="253"/>
      <c r="AG262" s="253"/>
      <c r="AH262" s="252"/>
    </row>
    <row r="263" spans="3:34" x14ac:dyDescent="0.2">
      <c r="C263" s="252"/>
      <c r="D263" s="252"/>
      <c r="E263" s="252"/>
      <c r="F263" s="252"/>
      <c r="G263" s="252"/>
      <c r="H263" s="252"/>
      <c r="I263" s="252"/>
      <c r="J263" s="252"/>
      <c r="K263" s="252"/>
      <c r="L263" s="252"/>
      <c r="M263" s="253"/>
      <c r="N263" s="253"/>
      <c r="O263" s="253"/>
      <c r="P263" s="253"/>
      <c r="Q263" s="253"/>
      <c r="R263" s="254"/>
      <c r="S263" s="255"/>
      <c r="T263" s="252"/>
      <c r="U263" s="252"/>
      <c r="V263" s="252"/>
      <c r="W263" s="252"/>
      <c r="X263" s="252"/>
      <c r="Y263" s="252"/>
      <c r="Z263" s="253"/>
      <c r="AA263" s="253"/>
      <c r="AB263" s="253"/>
      <c r="AC263" s="253"/>
      <c r="AD263" s="253"/>
      <c r="AE263" s="253"/>
      <c r="AF263" s="253"/>
      <c r="AG263" s="253"/>
      <c r="AH263" s="252"/>
    </row>
    <row r="264" spans="3:34" x14ac:dyDescent="0.2">
      <c r="C264" s="252"/>
      <c r="D264" s="252"/>
      <c r="E264" s="252"/>
      <c r="F264" s="252"/>
      <c r="G264" s="252"/>
      <c r="H264" s="252"/>
      <c r="I264" s="252"/>
      <c r="J264" s="252"/>
      <c r="K264" s="252"/>
      <c r="L264" s="252"/>
      <c r="M264" s="253"/>
      <c r="N264" s="253"/>
      <c r="O264" s="253"/>
      <c r="P264" s="253"/>
      <c r="Q264" s="253"/>
      <c r="R264" s="254"/>
      <c r="S264" s="255"/>
      <c r="T264" s="252"/>
      <c r="U264" s="252"/>
      <c r="V264" s="252"/>
      <c r="W264" s="252"/>
      <c r="X264" s="252"/>
      <c r="Y264" s="252"/>
      <c r="Z264" s="253"/>
      <c r="AA264" s="253"/>
      <c r="AB264" s="253"/>
      <c r="AC264" s="253"/>
      <c r="AD264" s="253"/>
      <c r="AE264" s="253"/>
      <c r="AF264" s="253"/>
      <c r="AG264" s="253"/>
      <c r="AH264" s="252"/>
    </row>
    <row r="265" spans="3:34" x14ac:dyDescent="0.2">
      <c r="C265" s="252"/>
      <c r="D265" s="252"/>
      <c r="E265" s="252"/>
      <c r="F265" s="252"/>
      <c r="G265" s="252"/>
      <c r="H265" s="252"/>
      <c r="I265" s="252"/>
      <c r="J265" s="252"/>
      <c r="K265" s="252"/>
      <c r="L265" s="252"/>
      <c r="M265" s="253"/>
      <c r="N265" s="253"/>
      <c r="O265" s="253"/>
      <c r="P265" s="253"/>
      <c r="Q265" s="253"/>
      <c r="R265" s="254"/>
      <c r="S265" s="255"/>
      <c r="T265" s="252"/>
      <c r="U265" s="252"/>
      <c r="V265" s="252"/>
      <c r="W265" s="252"/>
      <c r="X265" s="252"/>
      <c r="Y265" s="252"/>
      <c r="Z265" s="253"/>
      <c r="AA265" s="253"/>
      <c r="AB265" s="253"/>
      <c r="AC265" s="253"/>
      <c r="AD265" s="253"/>
      <c r="AE265" s="253"/>
      <c r="AF265" s="253"/>
      <c r="AG265" s="253"/>
      <c r="AH265" s="252"/>
    </row>
    <row r="266" spans="3:34" x14ac:dyDescent="0.2">
      <c r="C266" s="252"/>
      <c r="D266" s="252"/>
      <c r="E266" s="252"/>
      <c r="F266" s="252"/>
      <c r="G266" s="252"/>
      <c r="H266" s="252"/>
      <c r="I266" s="252"/>
      <c r="J266" s="252"/>
      <c r="K266" s="252"/>
      <c r="L266" s="252"/>
      <c r="M266" s="253"/>
      <c r="N266" s="253"/>
      <c r="O266" s="253"/>
      <c r="P266" s="253"/>
      <c r="Q266" s="253"/>
      <c r="R266" s="254"/>
      <c r="S266" s="255"/>
      <c r="T266" s="252"/>
      <c r="U266" s="252"/>
      <c r="V266" s="252"/>
      <c r="W266" s="252"/>
      <c r="X266" s="252"/>
      <c r="Y266" s="252"/>
      <c r="Z266" s="253"/>
      <c r="AA266" s="253"/>
      <c r="AB266" s="253"/>
      <c r="AC266" s="253"/>
      <c r="AD266" s="253"/>
      <c r="AE266" s="253"/>
      <c r="AF266" s="253"/>
      <c r="AG266" s="253"/>
      <c r="AH266" s="252"/>
    </row>
    <row r="267" spans="3:34" x14ac:dyDescent="0.2">
      <c r="C267" s="252"/>
      <c r="D267" s="252"/>
      <c r="E267" s="252"/>
      <c r="F267" s="252"/>
      <c r="G267" s="252"/>
      <c r="H267" s="252"/>
      <c r="I267" s="252"/>
      <c r="J267" s="252"/>
      <c r="K267" s="252"/>
      <c r="L267" s="252"/>
      <c r="M267" s="253"/>
      <c r="N267" s="253"/>
      <c r="O267" s="253"/>
      <c r="P267" s="253"/>
      <c r="Q267" s="253"/>
      <c r="R267" s="254"/>
      <c r="S267" s="255"/>
      <c r="T267" s="252"/>
      <c r="U267" s="252"/>
      <c r="V267" s="252"/>
      <c r="W267" s="252"/>
      <c r="X267" s="252"/>
      <c r="Y267" s="252"/>
      <c r="Z267" s="253"/>
      <c r="AA267" s="253"/>
      <c r="AB267" s="253"/>
      <c r="AC267" s="253"/>
      <c r="AD267" s="253"/>
      <c r="AE267" s="253"/>
      <c r="AF267" s="253"/>
      <c r="AG267" s="253"/>
      <c r="AH267" s="252"/>
    </row>
    <row r="268" spans="3:34" x14ac:dyDescent="0.2">
      <c r="C268" s="252"/>
      <c r="D268" s="252"/>
      <c r="E268" s="252"/>
      <c r="F268" s="252"/>
      <c r="G268" s="252"/>
      <c r="H268" s="252"/>
      <c r="I268" s="252"/>
      <c r="J268" s="252"/>
      <c r="K268" s="252"/>
      <c r="L268" s="252"/>
      <c r="M268" s="253"/>
      <c r="N268" s="253"/>
      <c r="O268" s="253"/>
      <c r="P268" s="253"/>
      <c r="Q268" s="253"/>
      <c r="R268" s="254"/>
      <c r="S268" s="255"/>
      <c r="T268" s="252"/>
      <c r="U268" s="252"/>
      <c r="V268" s="252"/>
      <c r="W268" s="252"/>
      <c r="X268" s="252"/>
      <c r="Y268" s="252"/>
      <c r="Z268" s="253"/>
      <c r="AA268" s="253"/>
      <c r="AB268" s="253"/>
      <c r="AC268" s="253"/>
      <c r="AD268" s="253"/>
      <c r="AE268" s="253"/>
      <c r="AF268" s="253"/>
      <c r="AG268" s="253"/>
      <c r="AH268" s="252"/>
    </row>
    <row r="269" spans="3:34" x14ac:dyDescent="0.2">
      <c r="C269" s="252"/>
      <c r="D269" s="252"/>
      <c r="E269" s="252"/>
      <c r="F269" s="252"/>
      <c r="G269" s="252"/>
      <c r="H269" s="252"/>
      <c r="I269" s="252"/>
      <c r="J269" s="252"/>
      <c r="K269" s="252"/>
      <c r="L269" s="252"/>
      <c r="M269" s="253"/>
      <c r="N269" s="253"/>
      <c r="O269" s="253"/>
      <c r="P269" s="253"/>
      <c r="Q269" s="253"/>
      <c r="R269" s="254"/>
      <c r="S269" s="255"/>
      <c r="T269" s="252"/>
      <c r="U269" s="252"/>
      <c r="V269" s="252"/>
      <c r="W269" s="252"/>
      <c r="X269" s="252"/>
      <c r="Y269" s="252"/>
      <c r="Z269" s="253"/>
      <c r="AA269" s="253"/>
      <c r="AB269" s="253"/>
      <c r="AC269" s="253"/>
      <c r="AD269" s="253"/>
      <c r="AE269" s="253"/>
      <c r="AF269" s="253"/>
      <c r="AG269" s="253"/>
      <c r="AH269" s="252"/>
    </row>
    <row r="270" spans="3:34" x14ac:dyDescent="0.2">
      <c r="C270" s="252"/>
      <c r="D270" s="252"/>
      <c r="E270" s="252"/>
      <c r="F270" s="252"/>
      <c r="G270" s="252"/>
      <c r="H270" s="252"/>
      <c r="I270" s="252"/>
      <c r="J270" s="252"/>
      <c r="K270" s="252"/>
      <c r="L270" s="252"/>
      <c r="M270" s="253"/>
      <c r="N270" s="253"/>
      <c r="O270" s="253"/>
      <c r="P270" s="253"/>
      <c r="Q270" s="253"/>
      <c r="R270" s="254"/>
      <c r="S270" s="255"/>
      <c r="T270" s="252"/>
      <c r="U270" s="252"/>
      <c r="V270" s="252"/>
      <c r="W270" s="252"/>
      <c r="X270" s="252"/>
      <c r="Y270" s="252"/>
      <c r="Z270" s="253"/>
      <c r="AA270" s="253"/>
      <c r="AB270" s="253"/>
      <c r="AC270" s="253"/>
      <c r="AD270" s="253"/>
      <c r="AE270" s="253"/>
      <c r="AF270" s="253"/>
      <c r="AG270" s="253"/>
      <c r="AH270" s="252"/>
    </row>
    <row r="271" spans="3:34" x14ac:dyDescent="0.2">
      <c r="C271" s="252"/>
      <c r="D271" s="252"/>
      <c r="E271" s="252"/>
      <c r="F271" s="252"/>
      <c r="G271" s="252"/>
      <c r="H271" s="252"/>
      <c r="I271" s="252"/>
      <c r="J271" s="252"/>
      <c r="K271" s="252"/>
      <c r="L271" s="252"/>
      <c r="M271" s="253"/>
      <c r="N271" s="253"/>
      <c r="O271" s="253"/>
      <c r="P271" s="253"/>
      <c r="Q271" s="253"/>
      <c r="R271" s="254"/>
      <c r="S271" s="255"/>
      <c r="T271" s="252"/>
      <c r="U271" s="252"/>
      <c r="V271" s="252"/>
      <c r="W271" s="252"/>
      <c r="X271" s="252"/>
      <c r="Y271" s="252"/>
      <c r="Z271" s="253"/>
      <c r="AA271" s="253"/>
      <c r="AB271" s="253"/>
      <c r="AC271" s="253"/>
      <c r="AD271" s="253"/>
      <c r="AE271" s="253"/>
      <c r="AF271" s="253"/>
      <c r="AG271" s="253"/>
      <c r="AH271" s="252"/>
    </row>
    <row r="272" spans="3:34" x14ac:dyDescent="0.2">
      <c r="C272" s="252"/>
      <c r="D272" s="252"/>
      <c r="E272" s="252"/>
      <c r="F272" s="252"/>
      <c r="G272" s="252"/>
      <c r="H272" s="252"/>
      <c r="I272" s="252"/>
      <c r="J272" s="252"/>
      <c r="K272" s="252"/>
      <c r="L272" s="252"/>
      <c r="M272" s="253"/>
      <c r="N272" s="253"/>
      <c r="O272" s="253"/>
      <c r="P272" s="253"/>
      <c r="Q272" s="253"/>
      <c r="R272" s="254"/>
      <c r="S272" s="255"/>
      <c r="T272" s="252"/>
      <c r="U272" s="252"/>
      <c r="V272" s="252"/>
      <c r="W272" s="252"/>
      <c r="X272" s="252"/>
      <c r="Y272" s="252"/>
      <c r="Z272" s="253"/>
      <c r="AA272" s="253"/>
      <c r="AB272" s="253"/>
      <c r="AC272" s="253"/>
      <c r="AD272" s="253"/>
      <c r="AE272" s="253"/>
      <c r="AF272" s="253"/>
      <c r="AG272" s="253"/>
      <c r="AH272" s="252"/>
    </row>
    <row r="273" spans="3:34" x14ac:dyDescent="0.2">
      <c r="C273" s="252"/>
      <c r="D273" s="252"/>
      <c r="E273" s="252"/>
      <c r="F273" s="252"/>
      <c r="G273" s="252"/>
      <c r="H273" s="252"/>
      <c r="I273" s="252"/>
      <c r="J273" s="252"/>
      <c r="K273" s="252"/>
      <c r="L273" s="252"/>
      <c r="M273" s="253"/>
      <c r="N273" s="253"/>
      <c r="O273" s="253"/>
      <c r="P273" s="253"/>
      <c r="Q273" s="253"/>
      <c r="R273" s="254"/>
      <c r="S273" s="255"/>
      <c r="T273" s="252"/>
      <c r="U273" s="252"/>
      <c r="V273" s="252"/>
      <c r="W273" s="252"/>
      <c r="X273" s="252"/>
      <c r="Y273" s="252"/>
      <c r="Z273" s="253"/>
      <c r="AA273" s="253"/>
      <c r="AB273" s="253"/>
      <c r="AC273" s="253"/>
      <c r="AD273" s="253"/>
      <c r="AE273" s="253"/>
      <c r="AF273" s="253"/>
      <c r="AG273" s="253"/>
      <c r="AH273" s="252"/>
    </row>
    <row r="274" spans="3:34" x14ac:dyDescent="0.2">
      <c r="C274" s="252"/>
      <c r="D274" s="252"/>
      <c r="E274" s="252"/>
      <c r="F274" s="252"/>
      <c r="G274" s="252"/>
      <c r="H274" s="252"/>
      <c r="I274" s="252"/>
      <c r="J274" s="252"/>
      <c r="K274" s="252"/>
      <c r="L274" s="252"/>
      <c r="M274" s="253"/>
      <c r="N274" s="253"/>
      <c r="O274" s="253"/>
      <c r="P274" s="253"/>
      <c r="Q274" s="253"/>
      <c r="R274" s="254"/>
      <c r="S274" s="255"/>
      <c r="T274" s="252"/>
      <c r="U274" s="252"/>
      <c r="V274" s="252"/>
      <c r="W274" s="252"/>
      <c r="X274" s="252"/>
      <c r="Y274" s="252"/>
      <c r="Z274" s="253"/>
      <c r="AA274" s="253"/>
      <c r="AB274" s="253"/>
      <c r="AC274" s="253"/>
      <c r="AD274" s="253"/>
      <c r="AE274" s="253"/>
      <c r="AF274" s="253"/>
      <c r="AG274" s="253"/>
      <c r="AH274" s="252"/>
    </row>
    <row r="275" spans="3:34" x14ac:dyDescent="0.2">
      <c r="C275" s="252"/>
      <c r="D275" s="252"/>
      <c r="E275" s="252"/>
      <c r="F275" s="252"/>
      <c r="G275" s="252"/>
      <c r="H275" s="252"/>
      <c r="I275" s="252"/>
      <c r="J275" s="252"/>
      <c r="K275" s="252"/>
      <c r="L275" s="252"/>
      <c r="M275" s="253"/>
      <c r="N275" s="253"/>
      <c r="O275" s="253"/>
      <c r="P275" s="253"/>
      <c r="Q275" s="253"/>
      <c r="R275" s="254"/>
      <c r="S275" s="255"/>
      <c r="T275" s="252"/>
      <c r="U275" s="252"/>
      <c r="V275" s="252"/>
      <c r="W275" s="252"/>
      <c r="X275" s="252"/>
      <c r="Y275" s="252"/>
      <c r="Z275" s="253"/>
      <c r="AA275" s="253"/>
      <c r="AB275" s="253"/>
      <c r="AC275" s="253"/>
      <c r="AD275" s="253"/>
      <c r="AE275" s="253"/>
      <c r="AF275" s="253"/>
      <c r="AG275" s="253"/>
      <c r="AH275" s="252"/>
    </row>
    <row r="276" spans="3:34" x14ac:dyDescent="0.2">
      <c r="C276" s="252"/>
      <c r="D276" s="252"/>
      <c r="E276" s="252"/>
      <c r="F276" s="252"/>
      <c r="G276" s="252"/>
      <c r="H276" s="252"/>
      <c r="I276" s="252"/>
      <c r="J276" s="252"/>
      <c r="K276" s="252"/>
      <c r="L276" s="252"/>
      <c r="M276" s="253"/>
      <c r="N276" s="253"/>
      <c r="O276" s="253"/>
      <c r="P276" s="253"/>
      <c r="Q276" s="253"/>
      <c r="R276" s="254"/>
      <c r="S276" s="255"/>
      <c r="T276" s="252"/>
      <c r="U276" s="252"/>
      <c r="V276" s="252"/>
      <c r="W276" s="252"/>
      <c r="X276" s="252"/>
      <c r="Y276" s="252"/>
      <c r="Z276" s="253"/>
      <c r="AA276" s="253"/>
      <c r="AB276" s="253"/>
      <c r="AC276" s="253"/>
      <c r="AD276" s="253"/>
      <c r="AE276" s="253"/>
      <c r="AF276" s="253"/>
      <c r="AG276" s="253"/>
      <c r="AH276" s="252"/>
    </row>
    <row r="277" spans="3:34" x14ac:dyDescent="0.2">
      <c r="C277" s="252"/>
      <c r="D277" s="252"/>
      <c r="E277" s="252"/>
      <c r="F277" s="252"/>
      <c r="G277" s="252"/>
      <c r="H277" s="252"/>
      <c r="I277" s="252"/>
      <c r="J277" s="252"/>
      <c r="K277" s="252"/>
      <c r="L277" s="252"/>
      <c r="M277" s="253"/>
      <c r="N277" s="253"/>
      <c r="O277" s="253"/>
      <c r="P277" s="253"/>
      <c r="Q277" s="253"/>
      <c r="R277" s="254"/>
      <c r="S277" s="255"/>
      <c r="T277" s="252"/>
      <c r="U277" s="252"/>
      <c r="V277" s="252"/>
      <c r="W277" s="252"/>
      <c r="X277" s="252"/>
      <c r="Y277" s="252"/>
      <c r="Z277" s="253"/>
      <c r="AA277" s="253"/>
      <c r="AB277" s="253"/>
      <c r="AC277" s="253"/>
      <c r="AD277" s="253"/>
      <c r="AE277" s="253"/>
      <c r="AF277" s="253"/>
      <c r="AG277" s="253"/>
      <c r="AH277" s="252"/>
    </row>
    <row r="278" spans="3:34" x14ac:dyDescent="0.2">
      <c r="C278" s="252"/>
      <c r="D278" s="252"/>
      <c r="E278" s="252"/>
      <c r="F278" s="252"/>
      <c r="G278" s="252"/>
      <c r="H278" s="252"/>
      <c r="I278" s="252"/>
      <c r="J278" s="252"/>
      <c r="K278" s="252"/>
      <c r="L278" s="252"/>
      <c r="M278" s="253"/>
      <c r="N278" s="253"/>
      <c r="O278" s="253"/>
      <c r="P278" s="253"/>
      <c r="Q278" s="253"/>
      <c r="R278" s="254"/>
      <c r="S278" s="255"/>
      <c r="T278" s="252"/>
      <c r="U278" s="252"/>
      <c r="V278" s="252"/>
      <c r="W278" s="252"/>
      <c r="X278" s="252"/>
      <c r="Y278" s="252"/>
      <c r="Z278" s="253"/>
      <c r="AA278" s="253"/>
      <c r="AB278" s="253"/>
      <c r="AC278" s="253"/>
      <c r="AD278" s="253"/>
      <c r="AE278" s="253"/>
      <c r="AF278" s="253"/>
      <c r="AG278" s="253"/>
      <c r="AH278" s="252"/>
    </row>
    <row r="279" spans="3:34" x14ac:dyDescent="0.2">
      <c r="C279" s="252"/>
      <c r="D279" s="252"/>
      <c r="E279" s="252"/>
      <c r="F279" s="252"/>
      <c r="G279" s="252"/>
      <c r="H279" s="252"/>
      <c r="I279" s="252"/>
      <c r="J279" s="252"/>
      <c r="K279" s="252"/>
      <c r="L279" s="252"/>
      <c r="M279" s="253"/>
      <c r="N279" s="253"/>
      <c r="O279" s="253"/>
      <c r="P279" s="253"/>
      <c r="Q279" s="253"/>
      <c r="R279" s="254"/>
      <c r="S279" s="255"/>
      <c r="T279" s="252"/>
      <c r="U279" s="252"/>
      <c r="V279" s="252"/>
      <c r="W279" s="252"/>
      <c r="X279" s="252"/>
      <c r="Y279" s="252"/>
      <c r="Z279" s="253"/>
      <c r="AA279" s="253"/>
      <c r="AB279" s="253"/>
      <c r="AC279" s="253"/>
      <c r="AD279" s="253"/>
      <c r="AE279" s="253"/>
      <c r="AF279" s="253"/>
      <c r="AG279" s="253"/>
      <c r="AH279" s="252"/>
    </row>
    <row r="280" spans="3:34" x14ac:dyDescent="0.2">
      <c r="C280" s="252"/>
      <c r="D280" s="252"/>
      <c r="E280" s="252"/>
      <c r="F280" s="252"/>
      <c r="G280" s="252"/>
      <c r="H280" s="252"/>
      <c r="I280" s="252"/>
      <c r="J280" s="252"/>
      <c r="K280" s="252"/>
      <c r="L280" s="252"/>
      <c r="M280" s="253"/>
      <c r="N280" s="253"/>
      <c r="O280" s="253"/>
      <c r="P280" s="253"/>
      <c r="Q280" s="253"/>
      <c r="R280" s="254"/>
      <c r="S280" s="255"/>
      <c r="T280" s="252"/>
      <c r="U280" s="252"/>
      <c r="V280" s="252"/>
      <c r="W280" s="252"/>
      <c r="X280" s="252"/>
      <c r="Y280" s="252"/>
      <c r="Z280" s="253"/>
      <c r="AA280" s="253"/>
      <c r="AB280" s="253"/>
      <c r="AC280" s="253"/>
      <c r="AD280" s="253"/>
      <c r="AE280" s="253"/>
      <c r="AF280" s="253"/>
      <c r="AG280" s="253"/>
      <c r="AH280" s="252"/>
    </row>
    <row r="281" spans="3:34" x14ac:dyDescent="0.2">
      <c r="C281" s="252"/>
      <c r="D281" s="252"/>
      <c r="E281" s="252"/>
      <c r="F281" s="252"/>
      <c r="G281" s="252"/>
      <c r="H281" s="252"/>
      <c r="I281" s="252"/>
      <c r="J281" s="252"/>
      <c r="K281" s="252"/>
      <c r="L281" s="252"/>
      <c r="M281" s="253"/>
      <c r="N281" s="253"/>
      <c r="O281" s="253"/>
      <c r="P281" s="253"/>
      <c r="Q281" s="253"/>
      <c r="R281" s="254"/>
      <c r="S281" s="255"/>
      <c r="T281" s="252"/>
      <c r="U281" s="252"/>
      <c r="V281" s="252"/>
      <c r="W281" s="252"/>
      <c r="X281" s="252"/>
      <c r="Y281" s="252"/>
      <c r="Z281" s="253"/>
      <c r="AA281" s="253"/>
      <c r="AB281" s="253"/>
      <c r="AC281" s="253"/>
      <c r="AD281" s="253"/>
      <c r="AE281" s="253"/>
      <c r="AF281" s="253"/>
      <c r="AG281" s="253"/>
      <c r="AH281" s="252"/>
    </row>
    <row r="282" spans="3:34" x14ac:dyDescent="0.2">
      <c r="C282" s="252"/>
      <c r="D282" s="252"/>
      <c r="E282" s="252"/>
      <c r="F282" s="252"/>
      <c r="G282" s="252"/>
      <c r="H282" s="252"/>
      <c r="I282" s="252"/>
      <c r="J282" s="252"/>
      <c r="K282" s="252"/>
      <c r="L282" s="252"/>
      <c r="M282" s="253"/>
      <c r="N282" s="253"/>
      <c r="O282" s="253"/>
      <c r="P282" s="253"/>
      <c r="Q282" s="253"/>
      <c r="R282" s="254"/>
      <c r="S282" s="255"/>
      <c r="T282" s="252"/>
      <c r="U282" s="252"/>
      <c r="V282" s="252"/>
      <c r="W282" s="252"/>
      <c r="X282" s="252"/>
      <c r="Y282" s="252"/>
      <c r="Z282" s="253"/>
      <c r="AA282" s="253"/>
      <c r="AB282" s="253"/>
      <c r="AC282" s="253"/>
      <c r="AD282" s="253"/>
      <c r="AE282" s="253"/>
      <c r="AF282" s="253"/>
      <c r="AG282" s="253"/>
      <c r="AH282" s="252"/>
    </row>
    <row r="283" spans="3:34" x14ac:dyDescent="0.2">
      <c r="C283" s="252"/>
      <c r="D283" s="252"/>
      <c r="E283" s="252"/>
      <c r="F283" s="252"/>
      <c r="G283" s="252"/>
      <c r="H283" s="252"/>
      <c r="I283" s="252"/>
      <c r="J283" s="252"/>
      <c r="K283" s="252"/>
      <c r="L283" s="252"/>
      <c r="M283" s="253"/>
      <c r="N283" s="253"/>
      <c r="O283" s="253"/>
      <c r="P283" s="253"/>
      <c r="Q283" s="253"/>
      <c r="R283" s="254"/>
      <c r="S283" s="255"/>
      <c r="T283" s="252"/>
      <c r="U283" s="252"/>
      <c r="V283" s="252"/>
      <c r="W283" s="252"/>
      <c r="X283" s="252"/>
      <c r="Y283" s="252"/>
      <c r="Z283" s="253"/>
      <c r="AA283" s="253"/>
      <c r="AB283" s="253"/>
      <c r="AC283" s="253"/>
      <c r="AD283" s="253"/>
      <c r="AE283" s="253"/>
      <c r="AF283" s="253"/>
      <c r="AG283" s="253"/>
      <c r="AH283" s="252"/>
    </row>
    <row r="284" spans="3:34" x14ac:dyDescent="0.2">
      <c r="C284" s="252"/>
      <c r="D284" s="252"/>
      <c r="E284" s="252"/>
      <c r="F284" s="252"/>
      <c r="G284" s="252"/>
      <c r="H284" s="252"/>
      <c r="I284" s="252"/>
      <c r="J284" s="252"/>
      <c r="K284" s="252"/>
      <c r="L284" s="252"/>
      <c r="M284" s="253"/>
      <c r="N284" s="253"/>
      <c r="O284" s="253"/>
      <c r="P284" s="253"/>
      <c r="Q284" s="253"/>
      <c r="R284" s="254"/>
      <c r="S284" s="255"/>
      <c r="T284" s="252"/>
      <c r="U284" s="252"/>
      <c r="V284" s="252"/>
      <c r="W284" s="252"/>
      <c r="X284" s="252"/>
      <c r="Y284" s="252"/>
      <c r="Z284" s="253"/>
      <c r="AA284" s="253"/>
      <c r="AB284" s="253"/>
      <c r="AC284" s="253"/>
      <c r="AD284" s="253"/>
      <c r="AE284" s="253"/>
      <c r="AF284" s="253"/>
      <c r="AG284" s="253"/>
      <c r="AH284" s="252"/>
    </row>
    <row r="285" spans="3:34" x14ac:dyDescent="0.2">
      <c r="C285" s="252"/>
      <c r="D285" s="252"/>
      <c r="E285" s="252"/>
      <c r="F285" s="252"/>
      <c r="G285" s="252"/>
      <c r="H285" s="252"/>
      <c r="I285" s="252"/>
      <c r="J285" s="252"/>
      <c r="K285" s="252"/>
      <c r="L285" s="252"/>
      <c r="M285" s="253"/>
      <c r="N285" s="253"/>
      <c r="O285" s="253"/>
      <c r="P285" s="253"/>
      <c r="Q285" s="253"/>
      <c r="R285" s="254"/>
      <c r="S285" s="255"/>
      <c r="T285" s="252"/>
      <c r="U285" s="252"/>
      <c r="V285" s="252"/>
      <c r="W285" s="252"/>
      <c r="X285" s="252"/>
      <c r="Y285" s="252"/>
      <c r="Z285" s="253"/>
      <c r="AA285" s="253"/>
      <c r="AB285" s="253"/>
      <c r="AC285" s="253"/>
      <c r="AD285" s="253"/>
      <c r="AE285" s="253"/>
      <c r="AF285" s="253"/>
      <c r="AG285" s="253"/>
      <c r="AH285" s="252"/>
    </row>
    <row r="286" spans="3:34" x14ac:dyDescent="0.2">
      <c r="C286" s="252"/>
      <c r="D286" s="252"/>
      <c r="E286" s="252"/>
      <c r="F286" s="252"/>
      <c r="G286" s="252"/>
      <c r="H286" s="252"/>
      <c r="I286" s="252"/>
      <c r="J286" s="252"/>
      <c r="K286" s="252"/>
      <c r="L286" s="252"/>
      <c r="M286" s="253"/>
      <c r="N286" s="253"/>
      <c r="O286" s="253"/>
      <c r="P286" s="253"/>
      <c r="Q286" s="253"/>
      <c r="R286" s="254"/>
      <c r="S286" s="255"/>
      <c r="T286" s="252"/>
      <c r="U286" s="252"/>
      <c r="V286" s="252"/>
      <c r="W286" s="252"/>
      <c r="X286" s="252"/>
      <c r="Y286" s="252"/>
      <c r="Z286" s="253"/>
      <c r="AA286" s="253"/>
      <c r="AB286" s="253"/>
      <c r="AC286" s="253"/>
      <c r="AD286" s="253"/>
      <c r="AE286" s="253"/>
      <c r="AF286" s="253"/>
      <c r="AG286" s="253"/>
      <c r="AH286" s="252"/>
    </row>
    <row r="287" spans="3:34" x14ac:dyDescent="0.2">
      <c r="C287" s="252"/>
      <c r="D287" s="252"/>
      <c r="E287" s="252"/>
      <c r="F287" s="252"/>
      <c r="G287" s="252"/>
      <c r="H287" s="252"/>
      <c r="I287" s="252"/>
      <c r="J287" s="252"/>
      <c r="K287" s="252"/>
      <c r="L287" s="252"/>
      <c r="M287" s="253"/>
      <c r="N287" s="253"/>
      <c r="O287" s="253"/>
      <c r="P287" s="253"/>
      <c r="Q287" s="253"/>
      <c r="R287" s="254"/>
      <c r="S287" s="255"/>
      <c r="T287" s="252"/>
      <c r="U287" s="252"/>
      <c r="V287" s="252"/>
      <c r="W287" s="252"/>
      <c r="X287" s="252"/>
      <c r="Y287" s="252"/>
      <c r="Z287" s="253"/>
      <c r="AA287" s="253"/>
      <c r="AB287" s="253"/>
      <c r="AC287" s="253"/>
      <c r="AD287" s="253"/>
      <c r="AE287" s="253"/>
      <c r="AF287" s="253"/>
      <c r="AG287" s="253"/>
      <c r="AH287" s="252"/>
    </row>
    <row r="288" spans="3:34" x14ac:dyDescent="0.2">
      <c r="C288" s="252"/>
      <c r="D288" s="252"/>
      <c r="E288" s="252"/>
      <c r="F288" s="252"/>
      <c r="G288" s="252"/>
      <c r="H288" s="252"/>
      <c r="I288" s="252"/>
      <c r="J288" s="252"/>
      <c r="K288" s="252"/>
      <c r="L288" s="252"/>
      <c r="M288" s="253"/>
      <c r="N288" s="253"/>
      <c r="O288" s="253"/>
      <c r="P288" s="253"/>
      <c r="Q288" s="253"/>
      <c r="R288" s="254"/>
      <c r="S288" s="255"/>
      <c r="T288" s="252"/>
      <c r="U288" s="252"/>
      <c r="V288" s="252"/>
      <c r="W288" s="252"/>
      <c r="X288" s="252"/>
      <c r="Y288" s="252"/>
      <c r="Z288" s="253"/>
      <c r="AA288" s="253"/>
      <c r="AB288" s="253"/>
      <c r="AC288" s="253"/>
      <c r="AD288" s="253"/>
      <c r="AE288" s="253"/>
      <c r="AF288" s="253"/>
      <c r="AG288" s="253"/>
      <c r="AH288" s="252"/>
    </row>
    <row r="289" spans="3:34" x14ac:dyDescent="0.2">
      <c r="C289" s="252"/>
      <c r="D289" s="252"/>
      <c r="E289" s="252"/>
      <c r="F289" s="252"/>
      <c r="G289" s="252"/>
      <c r="H289" s="252"/>
      <c r="I289" s="252"/>
      <c r="J289" s="252"/>
      <c r="K289" s="252"/>
      <c r="L289" s="252"/>
      <c r="M289" s="253"/>
      <c r="N289" s="253"/>
      <c r="O289" s="253"/>
      <c r="P289" s="253"/>
      <c r="Q289" s="253"/>
      <c r="R289" s="254"/>
      <c r="S289" s="255"/>
      <c r="T289" s="252"/>
      <c r="U289" s="252"/>
      <c r="V289" s="252"/>
      <c r="W289" s="252"/>
      <c r="X289" s="252"/>
      <c r="Y289" s="252"/>
      <c r="Z289" s="253"/>
      <c r="AA289" s="253"/>
      <c r="AB289" s="253"/>
      <c r="AC289" s="253"/>
      <c r="AD289" s="253"/>
      <c r="AE289" s="253"/>
      <c r="AF289" s="253"/>
      <c r="AG289" s="253"/>
      <c r="AH289" s="252"/>
    </row>
    <row r="290" spans="3:34" x14ac:dyDescent="0.2">
      <c r="C290" s="252"/>
      <c r="D290" s="252"/>
      <c r="E290" s="252"/>
      <c r="F290" s="252"/>
      <c r="G290" s="252"/>
      <c r="H290" s="252"/>
      <c r="I290" s="252"/>
      <c r="J290" s="252"/>
      <c r="K290" s="252"/>
      <c r="L290" s="252"/>
      <c r="M290" s="253"/>
      <c r="N290" s="253"/>
      <c r="O290" s="253"/>
      <c r="P290" s="253"/>
      <c r="Q290" s="253"/>
      <c r="R290" s="254"/>
      <c r="S290" s="255"/>
      <c r="T290" s="252"/>
      <c r="U290" s="252"/>
      <c r="V290" s="252"/>
      <c r="W290" s="252"/>
      <c r="X290" s="252"/>
      <c r="Y290" s="252"/>
      <c r="Z290" s="253"/>
      <c r="AA290" s="253"/>
      <c r="AB290" s="253"/>
      <c r="AC290" s="253"/>
      <c r="AD290" s="253"/>
      <c r="AE290" s="253"/>
      <c r="AF290" s="253"/>
      <c r="AG290" s="253"/>
      <c r="AH290" s="252"/>
    </row>
    <row r="291" spans="3:34" x14ac:dyDescent="0.2">
      <c r="C291" s="252"/>
      <c r="D291" s="252"/>
      <c r="E291" s="252"/>
      <c r="F291" s="252"/>
      <c r="G291" s="252"/>
      <c r="H291" s="252"/>
      <c r="I291" s="252"/>
      <c r="J291" s="252"/>
      <c r="K291" s="252"/>
      <c r="L291" s="252"/>
      <c r="M291" s="253"/>
      <c r="N291" s="253"/>
      <c r="O291" s="253"/>
      <c r="P291" s="253"/>
      <c r="Q291" s="253"/>
      <c r="R291" s="254"/>
      <c r="S291" s="255"/>
      <c r="T291" s="252"/>
      <c r="U291" s="252"/>
      <c r="V291" s="252"/>
      <c r="W291" s="252"/>
      <c r="X291" s="252"/>
      <c r="Y291" s="252"/>
      <c r="Z291" s="253"/>
      <c r="AA291" s="253"/>
      <c r="AB291" s="253"/>
      <c r="AC291" s="253"/>
      <c r="AD291" s="253"/>
      <c r="AE291" s="253"/>
      <c r="AF291" s="253"/>
      <c r="AG291" s="253"/>
      <c r="AH291" s="252"/>
    </row>
    <row r="292" spans="3:34" x14ac:dyDescent="0.2">
      <c r="C292" s="252"/>
      <c r="D292" s="252"/>
      <c r="E292" s="252"/>
      <c r="F292" s="252"/>
      <c r="G292" s="252"/>
      <c r="H292" s="252"/>
      <c r="I292" s="252"/>
      <c r="J292" s="252"/>
      <c r="K292" s="252"/>
      <c r="L292" s="252"/>
      <c r="M292" s="253"/>
      <c r="N292" s="253"/>
      <c r="O292" s="253"/>
      <c r="P292" s="253"/>
      <c r="Q292" s="253"/>
      <c r="R292" s="254"/>
      <c r="S292" s="255"/>
      <c r="T292" s="252"/>
      <c r="U292" s="252"/>
      <c r="V292" s="252"/>
      <c r="W292" s="252"/>
      <c r="X292" s="252"/>
      <c r="Y292" s="252"/>
      <c r="Z292" s="253"/>
      <c r="AA292" s="253"/>
      <c r="AB292" s="253"/>
      <c r="AC292" s="253"/>
      <c r="AD292" s="253"/>
      <c r="AE292" s="253"/>
      <c r="AF292" s="253"/>
      <c r="AG292" s="253"/>
      <c r="AH292" s="252"/>
    </row>
    <row r="293" spans="3:34" x14ac:dyDescent="0.2">
      <c r="C293" s="252"/>
      <c r="D293" s="252"/>
      <c r="E293" s="252"/>
      <c r="F293" s="252"/>
      <c r="G293" s="252"/>
      <c r="H293" s="252"/>
      <c r="I293" s="252"/>
      <c r="J293" s="252"/>
      <c r="K293" s="252"/>
      <c r="L293" s="252"/>
      <c r="M293" s="253"/>
      <c r="N293" s="253"/>
      <c r="O293" s="253"/>
      <c r="P293" s="253"/>
      <c r="Q293" s="253"/>
      <c r="R293" s="254"/>
      <c r="S293" s="255"/>
      <c r="T293" s="252"/>
      <c r="U293" s="252"/>
      <c r="V293" s="252"/>
      <c r="W293" s="252"/>
      <c r="X293" s="252"/>
      <c r="Y293" s="252"/>
      <c r="Z293" s="253"/>
      <c r="AA293" s="253"/>
      <c r="AB293" s="253"/>
      <c r="AC293" s="253"/>
      <c r="AD293" s="253"/>
      <c r="AE293" s="253"/>
      <c r="AF293" s="253"/>
      <c r="AG293" s="253"/>
      <c r="AH293" s="252"/>
    </row>
    <row r="294" spans="3:34" x14ac:dyDescent="0.2">
      <c r="C294" s="252"/>
      <c r="D294" s="252"/>
      <c r="E294" s="252"/>
      <c r="F294" s="252"/>
      <c r="G294" s="252"/>
      <c r="H294" s="252"/>
      <c r="I294" s="252"/>
      <c r="J294" s="252"/>
      <c r="K294" s="252"/>
      <c r="L294" s="252"/>
      <c r="M294" s="253"/>
      <c r="N294" s="253"/>
      <c r="O294" s="253"/>
      <c r="P294" s="253"/>
      <c r="Q294" s="253"/>
      <c r="R294" s="254"/>
      <c r="S294" s="255"/>
      <c r="T294" s="252"/>
      <c r="U294" s="252"/>
      <c r="V294" s="252"/>
      <c r="W294" s="252"/>
      <c r="X294" s="252"/>
      <c r="Y294" s="252"/>
      <c r="Z294" s="253"/>
      <c r="AA294" s="253"/>
      <c r="AB294" s="253"/>
      <c r="AC294" s="253"/>
      <c r="AD294" s="253"/>
      <c r="AE294" s="253"/>
      <c r="AF294" s="253"/>
      <c r="AG294" s="253"/>
      <c r="AH294" s="252"/>
    </row>
    <row r="295" spans="3:34" x14ac:dyDescent="0.2">
      <c r="C295" s="252"/>
      <c r="D295" s="252"/>
      <c r="E295" s="252"/>
      <c r="F295" s="252"/>
      <c r="G295" s="252"/>
      <c r="H295" s="252"/>
      <c r="I295" s="252"/>
      <c r="J295" s="252"/>
      <c r="K295" s="252"/>
      <c r="L295" s="252"/>
      <c r="M295" s="253"/>
      <c r="N295" s="253"/>
      <c r="O295" s="253"/>
      <c r="P295" s="253"/>
      <c r="Q295" s="253"/>
      <c r="R295" s="254"/>
      <c r="S295" s="255"/>
      <c r="T295" s="252"/>
      <c r="U295" s="252"/>
      <c r="V295" s="252"/>
      <c r="W295" s="252"/>
      <c r="X295" s="252"/>
      <c r="Y295" s="252"/>
      <c r="Z295" s="253"/>
      <c r="AA295" s="253"/>
      <c r="AB295" s="253"/>
      <c r="AC295" s="253"/>
      <c r="AD295" s="253"/>
      <c r="AE295" s="253"/>
      <c r="AF295" s="253"/>
      <c r="AG295" s="253"/>
      <c r="AH295" s="252"/>
    </row>
    <row r="296" spans="3:34" x14ac:dyDescent="0.2">
      <c r="C296" s="252"/>
      <c r="D296" s="252"/>
      <c r="E296" s="252"/>
      <c r="F296" s="252"/>
      <c r="G296" s="252"/>
      <c r="H296" s="252"/>
      <c r="I296" s="252"/>
      <c r="J296" s="252"/>
      <c r="K296" s="252"/>
      <c r="L296" s="252"/>
      <c r="M296" s="253"/>
      <c r="N296" s="253"/>
      <c r="O296" s="253"/>
      <c r="P296" s="253"/>
      <c r="Q296" s="253"/>
      <c r="R296" s="254"/>
      <c r="S296" s="255"/>
      <c r="T296" s="252"/>
      <c r="U296" s="252"/>
      <c r="V296" s="252"/>
      <c r="W296" s="252"/>
      <c r="X296" s="252"/>
      <c r="Y296" s="252"/>
      <c r="Z296" s="253"/>
      <c r="AA296" s="253"/>
      <c r="AB296" s="253"/>
      <c r="AC296" s="253"/>
      <c r="AD296" s="253"/>
      <c r="AE296" s="253"/>
      <c r="AF296" s="253"/>
      <c r="AG296" s="253"/>
      <c r="AH296" s="252"/>
    </row>
    <row r="297" spans="3:34" x14ac:dyDescent="0.2">
      <c r="C297" s="252"/>
      <c r="D297" s="252"/>
      <c r="E297" s="252"/>
      <c r="F297" s="252"/>
      <c r="G297" s="252"/>
      <c r="H297" s="252"/>
      <c r="I297" s="252"/>
      <c r="J297" s="252"/>
      <c r="K297" s="252"/>
      <c r="L297" s="252"/>
      <c r="M297" s="253"/>
      <c r="N297" s="253"/>
      <c r="O297" s="253"/>
      <c r="P297" s="253"/>
      <c r="Q297" s="253"/>
      <c r="R297" s="254"/>
      <c r="S297" s="255"/>
      <c r="T297" s="252"/>
      <c r="U297" s="252"/>
      <c r="V297" s="252"/>
      <c r="W297" s="252"/>
      <c r="X297" s="252"/>
      <c r="Y297" s="252"/>
      <c r="Z297" s="253"/>
      <c r="AA297" s="253"/>
      <c r="AB297" s="253"/>
      <c r="AC297" s="253"/>
      <c r="AD297" s="253"/>
      <c r="AE297" s="253"/>
      <c r="AF297" s="253"/>
      <c r="AG297" s="253"/>
      <c r="AH297" s="252"/>
    </row>
    <row r="298" spans="3:34" x14ac:dyDescent="0.2">
      <c r="C298" s="252"/>
      <c r="D298" s="252"/>
      <c r="E298" s="252"/>
      <c r="F298" s="252"/>
      <c r="G298" s="252"/>
      <c r="H298" s="252"/>
      <c r="I298" s="252"/>
      <c r="J298" s="252"/>
      <c r="K298" s="252"/>
      <c r="L298" s="252"/>
      <c r="M298" s="253"/>
      <c r="N298" s="253"/>
      <c r="O298" s="253"/>
      <c r="P298" s="253"/>
      <c r="Q298" s="253"/>
      <c r="R298" s="254"/>
      <c r="S298" s="255"/>
      <c r="T298" s="252"/>
      <c r="U298" s="252"/>
      <c r="V298" s="252"/>
      <c r="W298" s="252"/>
      <c r="X298" s="252"/>
      <c r="Y298" s="252"/>
      <c r="Z298" s="253"/>
      <c r="AA298" s="253"/>
      <c r="AB298" s="253"/>
      <c r="AC298" s="253"/>
      <c r="AD298" s="253"/>
      <c r="AE298" s="253"/>
      <c r="AF298" s="253"/>
      <c r="AG298" s="253"/>
      <c r="AH298" s="252"/>
    </row>
    <row r="299" spans="3:34" x14ac:dyDescent="0.2">
      <c r="C299" s="252"/>
      <c r="D299" s="252"/>
      <c r="E299" s="252"/>
      <c r="F299" s="252"/>
      <c r="G299" s="252"/>
      <c r="H299" s="252"/>
      <c r="I299" s="252"/>
      <c r="J299" s="252"/>
      <c r="K299" s="252"/>
      <c r="L299" s="252"/>
      <c r="M299" s="253"/>
      <c r="N299" s="253"/>
      <c r="O299" s="253"/>
      <c r="P299" s="253"/>
      <c r="Q299" s="253"/>
      <c r="R299" s="254"/>
      <c r="S299" s="255"/>
      <c r="T299" s="252"/>
      <c r="U299" s="252"/>
      <c r="V299" s="252"/>
      <c r="W299" s="252"/>
      <c r="X299" s="252"/>
      <c r="Y299" s="252"/>
      <c r="Z299" s="253"/>
      <c r="AA299" s="253"/>
      <c r="AB299" s="253"/>
      <c r="AC299" s="253"/>
      <c r="AD299" s="253"/>
      <c r="AE299" s="253"/>
      <c r="AF299" s="253"/>
      <c r="AG299" s="253"/>
      <c r="AH299" s="252"/>
    </row>
    <row r="300" spans="3:34" x14ac:dyDescent="0.2">
      <c r="C300" s="252"/>
      <c r="D300" s="252"/>
      <c r="E300" s="252"/>
      <c r="F300" s="252"/>
      <c r="G300" s="252"/>
      <c r="H300" s="252"/>
      <c r="I300" s="252"/>
      <c r="J300" s="252"/>
      <c r="K300" s="252"/>
      <c r="L300" s="252"/>
      <c r="M300" s="253"/>
      <c r="N300" s="253"/>
      <c r="O300" s="253"/>
      <c r="P300" s="253"/>
      <c r="Q300" s="253"/>
      <c r="R300" s="254"/>
      <c r="S300" s="255"/>
      <c r="T300" s="252"/>
      <c r="U300" s="252"/>
      <c r="V300" s="252"/>
      <c r="W300" s="252"/>
      <c r="X300" s="252"/>
      <c r="Y300" s="252"/>
      <c r="Z300" s="253"/>
      <c r="AA300" s="253"/>
      <c r="AB300" s="253"/>
      <c r="AC300" s="253"/>
      <c r="AD300" s="253"/>
      <c r="AE300" s="253"/>
      <c r="AF300" s="253"/>
      <c r="AG300" s="253"/>
      <c r="AH300" s="252"/>
    </row>
    <row r="301" spans="3:34" x14ac:dyDescent="0.2">
      <c r="C301" s="252"/>
      <c r="D301" s="252"/>
      <c r="E301" s="252"/>
      <c r="F301" s="252"/>
      <c r="G301" s="252"/>
      <c r="H301" s="252"/>
      <c r="I301" s="252"/>
      <c r="J301" s="252"/>
      <c r="K301" s="252"/>
      <c r="L301" s="252"/>
      <c r="M301" s="253"/>
      <c r="N301" s="253"/>
      <c r="O301" s="253"/>
      <c r="P301" s="253"/>
      <c r="Q301" s="253"/>
      <c r="R301" s="254"/>
      <c r="S301" s="255"/>
      <c r="T301" s="252"/>
      <c r="U301" s="252"/>
      <c r="V301" s="252"/>
      <c r="W301" s="252"/>
      <c r="X301" s="252"/>
      <c r="Y301" s="252"/>
      <c r="Z301" s="253"/>
      <c r="AA301" s="253"/>
      <c r="AB301" s="253"/>
      <c r="AC301" s="253"/>
      <c r="AD301" s="253"/>
      <c r="AE301" s="253"/>
      <c r="AF301" s="253"/>
      <c r="AG301" s="253"/>
      <c r="AH301" s="252"/>
    </row>
    <row r="302" spans="3:34" x14ac:dyDescent="0.2">
      <c r="C302" s="252"/>
      <c r="D302" s="252"/>
      <c r="E302" s="252"/>
      <c r="F302" s="252"/>
      <c r="G302" s="252"/>
      <c r="H302" s="252"/>
      <c r="I302" s="252"/>
      <c r="J302" s="252"/>
      <c r="K302" s="252"/>
      <c r="L302" s="252"/>
      <c r="M302" s="253"/>
      <c r="N302" s="253"/>
      <c r="O302" s="253"/>
      <c r="P302" s="253"/>
      <c r="Q302" s="253"/>
      <c r="R302" s="254"/>
      <c r="S302" s="255"/>
      <c r="T302" s="252"/>
      <c r="U302" s="252"/>
      <c r="V302" s="252"/>
      <c r="W302" s="252"/>
      <c r="X302" s="252"/>
      <c r="Y302" s="252"/>
      <c r="Z302" s="253"/>
      <c r="AA302" s="253"/>
      <c r="AB302" s="253"/>
      <c r="AC302" s="253"/>
      <c r="AD302" s="253"/>
      <c r="AE302" s="253"/>
      <c r="AF302" s="253"/>
      <c r="AG302" s="253"/>
      <c r="AH302" s="252"/>
    </row>
    <row r="303" spans="3:34" x14ac:dyDescent="0.2">
      <c r="C303" s="252"/>
      <c r="D303" s="252"/>
      <c r="E303" s="252"/>
      <c r="F303" s="252"/>
      <c r="G303" s="252"/>
      <c r="H303" s="252"/>
      <c r="I303" s="252"/>
      <c r="J303" s="252"/>
      <c r="K303" s="252"/>
      <c r="L303" s="252"/>
      <c r="M303" s="253"/>
      <c r="N303" s="253"/>
      <c r="O303" s="253"/>
      <c r="P303" s="253"/>
      <c r="Q303" s="253"/>
      <c r="R303" s="254"/>
      <c r="S303" s="255"/>
      <c r="T303" s="252"/>
      <c r="U303" s="252"/>
      <c r="V303" s="252"/>
      <c r="W303" s="252"/>
      <c r="X303" s="252"/>
      <c r="Y303" s="252"/>
      <c r="Z303" s="253"/>
      <c r="AA303" s="253"/>
      <c r="AB303" s="253"/>
      <c r="AC303" s="253"/>
      <c r="AD303" s="253"/>
      <c r="AE303" s="253"/>
      <c r="AF303" s="253"/>
      <c r="AG303" s="253"/>
      <c r="AH303" s="252"/>
    </row>
    <row r="304" spans="3:34" x14ac:dyDescent="0.2">
      <c r="C304" s="252"/>
      <c r="D304" s="252"/>
      <c r="E304" s="252"/>
      <c r="F304" s="252"/>
      <c r="G304" s="252"/>
      <c r="H304" s="252"/>
      <c r="I304" s="252"/>
      <c r="J304" s="252"/>
      <c r="K304" s="252"/>
      <c r="L304" s="252"/>
      <c r="M304" s="253"/>
      <c r="N304" s="253"/>
      <c r="O304" s="253"/>
      <c r="P304" s="253"/>
      <c r="Q304" s="253"/>
      <c r="R304" s="254"/>
      <c r="S304" s="255"/>
      <c r="T304" s="252"/>
      <c r="U304" s="252"/>
      <c r="V304" s="252"/>
      <c r="W304" s="252"/>
      <c r="X304" s="252"/>
      <c r="Y304" s="252"/>
      <c r="Z304" s="253"/>
      <c r="AA304" s="253"/>
      <c r="AB304" s="253"/>
      <c r="AC304" s="253"/>
      <c r="AD304" s="253"/>
      <c r="AE304" s="253"/>
      <c r="AF304" s="253"/>
      <c r="AG304" s="253"/>
      <c r="AH304" s="252"/>
    </row>
    <row r="305" spans="3:34" x14ac:dyDescent="0.2">
      <c r="C305" s="252"/>
      <c r="D305" s="252"/>
      <c r="E305" s="252"/>
      <c r="F305" s="252"/>
      <c r="G305" s="252"/>
      <c r="H305" s="252"/>
      <c r="I305" s="252"/>
      <c r="J305" s="252"/>
      <c r="K305" s="252"/>
      <c r="L305" s="252"/>
      <c r="M305" s="253"/>
      <c r="N305" s="253"/>
      <c r="O305" s="253"/>
      <c r="P305" s="253"/>
      <c r="Q305" s="253"/>
      <c r="R305" s="254"/>
      <c r="S305" s="255"/>
      <c r="T305" s="252"/>
      <c r="U305" s="252"/>
      <c r="V305" s="252"/>
      <c r="W305" s="252"/>
      <c r="X305" s="252"/>
      <c r="Y305" s="252"/>
      <c r="Z305" s="253"/>
      <c r="AA305" s="253"/>
      <c r="AB305" s="253"/>
      <c r="AC305" s="253"/>
      <c r="AD305" s="253"/>
      <c r="AE305" s="253"/>
      <c r="AF305" s="253"/>
      <c r="AG305" s="253"/>
      <c r="AH305" s="252"/>
    </row>
    <row r="306" spans="3:34" x14ac:dyDescent="0.2">
      <c r="C306" s="252"/>
      <c r="D306" s="252"/>
      <c r="E306" s="252"/>
      <c r="F306" s="252"/>
      <c r="G306" s="252"/>
      <c r="H306" s="252"/>
      <c r="I306" s="252"/>
      <c r="J306" s="252"/>
      <c r="K306" s="252"/>
      <c r="L306" s="252"/>
      <c r="M306" s="253"/>
      <c r="N306" s="253"/>
      <c r="O306" s="253"/>
      <c r="P306" s="253"/>
      <c r="Q306" s="253"/>
      <c r="R306" s="254"/>
      <c r="S306" s="255"/>
      <c r="T306" s="252"/>
      <c r="U306" s="252"/>
      <c r="V306" s="252"/>
      <c r="W306" s="252"/>
      <c r="X306" s="252"/>
      <c r="Y306" s="252"/>
      <c r="Z306" s="253"/>
      <c r="AA306" s="253"/>
      <c r="AB306" s="253"/>
      <c r="AC306" s="253"/>
      <c r="AD306" s="253"/>
      <c r="AE306" s="253"/>
      <c r="AF306" s="253"/>
      <c r="AG306" s="253"/>
      <c r="AH306" s="252"/>
    </row>
    <row r="307" spans="3:34" x14ac:dyDescent="0.2">
      <c r="C307" s="252"/>
      <c r="D307" s="252"/>
      <c r="E307" s="252"/>
      <c r="F307" s="252"/>
      <c r="G307" s="252"/>
      <c r="H307" s="252"/>
      <c r="I307" s="252"/>
      <c r="J307" s="252"/>
      <c r="K307" s="252"/>
      <c r="L307" s="252"/>
      <c r="M307" s="253"/>
      <c r="N307" s="253"/>
      <c r="O307" s="253"/>
      <c r="P307" s="253"/>
      <c r="Q307" s="253"/>
      <c r="R307" s="254"/>
      <c r="S307" s="255"/>
      <c r="T307" s="252"/>
      <c r="U307" s="252"/>
      <c r="V307" s="252"/>
      <c r="W307" s="252"/>
      <c r="X307" s="252"/>
      <c r="Y307" s="252"/>
      <c r="Z307" s="253"/>
      <c r="AA307" s="253"/>
      <c r="AB307" s="253"/>
      <c r="AC307" s="253"/>
      <c r="AD307" s="253"/>
      <c r="AE307" s="253"/>
      <c r="AF307" s="253"/>
      <c r="AG307" s="253"/>
      <c r="AH307" s="252"/>
    </row>
    <row r="308" spans="3:34" x14ac:dyDescent="0.2">
      <c r="C308" s="252"/>
      <c r="D308" s="252"/>
      <c r="E308" s="252"/>
      <c r="F308" s="252"/>
      <c r="G308" s="252"/>
      <c r="H308" s="252"/>
      <c r="I308" s="252"/>
      <c r="J308" s="252"/>
      <c r="K308" s="252"/>
      <c r="L308" s="252"/>
      <c r="M308" s="253"/>
      <c r="N308" s="253"/>
      <c r="O308" s="253"/>
      <c r="P308" s="253"/>
      <c r="Q308" s="253"/>
      <c r="R308" s="254"/>
      <c r="S308" s="255"/>
      <c r="T308" s="252"/>
      <c r="U308" s="252"/>
      <c r="V308" s="252"/>
      <c r="W308" s="252"/>
      <c r="X308" s="252"/>
      <c r="Y308" s="252"/>
      <c r="Z308" s="253"/>
      <c r="AA308" s="253"/>
      <c r="AB308" s="253"/>
      <c r="AC308" s="253"/>
      <c r="AD308" s="253"/>
      <c r="AE308" s="253"/>
      <c r="AF308" s="253"/>
      <c r="AG308" s="253"/>
      <c r="AH308" s="252"/>
    </row>
    <row r="309" spans="3:34" x14ac:dyDescent="0.2">
      <c r="C309" s="252"/>
      <c r="D309" s="252"/>
      <c r="E309" s="252"/>
      <c r="F309" s="252"/>
      <c r="G309" s="252"/>
      <c r="H309" s="252"/>
      <c r="I309" s="252"/>
      <c r="J309" s="252"/>
      <c r="K309" s="252"/>
      <c r="L309" s="252"/>
      <c r="M309" s="253"/>
      <c r="N309" s="253"/>
      <c r="O309" s="253"/>
      <c r="P309" s="253"/>
      <c r="Q309" s="253"/>
      <c r="R309" s="254"/>
      <c r="S309" s="255"/>
      <c r="T309" s="252"/>
      <c r="U309" s="252"/>
      <c r="V309" s="252"/>
      <c r="W309" s="252"/>
      <c r="X309" s="252"/>
      <c r="Y309" s="252"/>
      <c r="Z309" s="253"/>
      <c r="AA309" s="253"/>
      <c r="AB309" s="253"/>
      <c r="AC309" s="253"/>
      <c r="AD309" s="253"/>
      <c r="AE309" s="253"/>
      <c r="AF309" s="253"/>
      <c r="AG309" s="253"/>
      <c r="AH309" s="252"/>
    </row>
    <row r="310" spans="3:34" x14ac:dyDescent="0.2">
      <c r="C310" s="252"/>
      <c r="D310" s="252"/>
      <c r="E310" s="252"/>
      <c r="F310" s="252"/>
      <c r="G310" s="252"/>
      <c r="H310" s="252"/>
      <c r="I310" s="252"/>
      <c r="J310" s="252"/>
      <c r="K310" s="252"/>
      <c r="L310" s="252"/>
      <c r="M310" s="253"/>
      <c r="N310" s="253"/>
      <c r="O310" s="253"/>
      <c r="P310" s="253"/>
      <c r="Q310" s="253"/>
      <c r="R310" s="254"/>
      <c r="S310" s="255"/>
      <c r="T310" s="252"/>
      <c r="U310" s="252"/>
      <c r="V310" s="252"/>
      <c r="W310" s="252"/>
      <c r="X310" s="252"/>
      <c r="Y310" s="252"/>
      <c r="Z310" s="253"/>
      <c r="AA310" s="253"/>
      <c r="AB310" s="253"/>
      <c r="AC310" s="253"/>
      <c r="AD310" s="253"/>
      <c r="AE310" s="253"/>
      <c r="AF310" s="253"/>
      <c r="AG310" s="253"/>
      <c r="AH310" s="252"/>
    </row>
    <row r="311" spans="3:34" x14ac:dyDescent="0.2">
      <c r="C311" s="252"/>
      <c r="D311" s="252"/>
      <c r="E311" s="252"/>
      <c r="F311" s="252"/>
      <c r="G311" s="252"/>
      <c r="H311" s="252"/>
      <c r="I311" s="252"/>
      <c r="J311" s="252"/>
      <c r="K311" s="252"/>
      <c r="L311" s="252"/>
      <c r="M311" s="253"/>
      <c r="N311" s="253"/>
      <c r="O311" s="253"/>
      <c r="P311" s="253"/>
      <c r="Q311" s="253"/>
      <c r="R311" s="254"/>
      <c r="S311" s="255"/>
      <c r="T311" s="252"/>
      <c r="U311" s="252"/>
      <c r="V311" s="252"/>
      <c r="W311" s="252"/>
      <c r="X311" s="252"/>
      <c r="Y311" s="252"/>
      <c r="Z311" s="253"/>
      <c r="AA311" s="253"/>
      <c r="AB311" s="253"/>
      <c r="AC311" s="253"/>
      <c r="AD311" s="253"/>
      <c r="AE311" s="253"/>
      <c r="AF311" s="253"/>
      <c r="AG311" s="253"/>
      <c r="AH311" s="252"/>
    </row>
    <row r="312" spans="3:34" x14ac:dyDescent="0.2">
      <c r="C312" s="252"/>
      <c r="D312" s="252"/>
      <c r="E312" s="252"/>
      <c r="F312" s="252"/>
      <c r="G312" s="252"/>
      <c r="H312" s="252"/>
      <c r="I312" s="252"/>
      <c r="J312" s="252"/>
      <c r="K312" s="252"/>
      <c r="L312" s="252"/>
      <c r="M312" s="253"/>
      <c r="N312" s="253"/>
      <c r="O312" s="253"/>
      <c r="P312" s="253"/>
      <c r="Q312" s="253"/>
      <c r="R312" s="254"/>
      <c r="S312" s="255"/>
      <c r="T312" s="252"/>
      <c r="U312" s="252"/>
      <c r="V312" s="252"/>
      <c r="W312" s="252"/>
      <c r="X312" s="252"/>
      <c r="Y312" s="252"/>
      <c r="Z312" s="253"/>
      <c r="AA312" s="253"/>
      <c r="AB312" s="253"/>
      <c r="AC312" s="253"/>
      <c r="AD312" s="253"/>
      <c r="AE312" s="253"/>
      <c r="AF312" s="253"/>
      <c r="AG312" s="253"/>
      <c r="AH312" s="252"/>
    </row>
    <row r="313" spans="3:34" x14ac:dyDescent="0.2">
      <c r="C313" s="252"/>
      <c r="D313" s="252"/>
      <c r="E313" s="252"/>
      <c r="F313" s="252"/>
      <c r="G313" s="252"/>
      <c r="H313" s="252"/>
      <c r="I313" s="252"/>
      <c r="J313" s="252"/>
      <c r="K313" s="252"/>
      <c r="L313" s="252"/>
      <c r="M313" s="253"/>
      <c r="N313" s="253"/>
      <c r="O313" s="253"/>
      <c r="P313" s="253"/>
      <c r="Q313" s="253"/>
      <c r="R313" s="254"/>
      <c r="S313" s="255"/>
      <c r="T313" s="252"/>
      <c r="U313" s="252"/>
      <c r="V313" s="252"/>
      <c r="W313" s="252"/>
      <c r="X313" s="252"/>
      <c r="Y313" s="252"/>
      <c r="Z313" s="253"/>
      <c r="AA313" s="253"/>
      <c r="AB313" s="253"/>
      <c r="AC313" s="253"/>
      <c r="AD313" s="253"/>
      <c r="AE313" s="253"/>
      <c r="AF313" s="253"/>
      <c r="AG313" s="253"/>
      <c r="AH313" s="252"/>
    </row>
    <row r="314" spans="3:34" x14ac:dyDescent="0.2">
      <c r="C314" s="252"/>
      <c r="D314" s="252"/>
      <c r="E314" s="252"/>
      <c r="F314" s="252"/>
      <c r="G314" s="252"/>
      <c r="H314" s="252"/>
      <c r="I314" s="252"/>
      <c r="J314" s="252"/>
      <c r="K314" s="252"/>
      <c r="L314" s="252"/>
      <c r="M314" s="253"/>
      <c r="N314" s="253"/>
      <c r="O314" s="253"/>
      <c r="P314" s="253"/>
      <c r="Q314" s="253"/>
      <c r="R314" s="254"/>
      <c r="S314" s="255"/>
      <c r="T314" s="252"/>
      <c r="U314" s="252"/>
      <c r="V314" s="252"/>
      <c r="W314" s="252"/>
      <c r="X314" s="252"/>
      <c r="Y314" s="252"/>
      <c r="Z314" s="253"/>
      <c r="AA314" s="253"/>
      <c r="AB314" s="253"/>
      <c r="AC314" s="253"/>
      <c r="AD314" s="253"/>
      <c r="AE314" s="253"/>
      <c r="AF314" s="253"/>
      <c r="AG314" s="253"/>
      <c r="AH314" s="252"/>
    </row>
    <row r="315" spans="3:34" x14ac:dyDescent="0.2">
      <c r="C315" s="252"/>
      <c r="D315" s="252"/>
      <c r="E315" s="252"/>
      <c r="F315" s="252"/>
      <c r="G315" s="252"/>
      <c r="H315" s="252"/>
      <c r="I315" s="252"/>
      <c r="J315" s="252"/>
      <c r="K315" s="252"/>
      <c r="L315" s="252"/>
      <c r="M315" s="253"/>
      <c r="N315" s="253"/>
      <c r="O315" s="253"/>
      <c r="P315" s="253"/>
      <c r="Q315" s="253"/>
      <c r="R315" s="254"/>
      <c r="S315" s="255"/>
      <c r="T315" s="252"/>
      <c r="U315" s="252"/>
      <c r="V315" s="252"/>
      <c r="W315" s="252"/>
      <c r="X315" s="252"/>
      <c r="Y315" s="252"/>
      <c r="Z315" s="253"/>
      <c r="AA315" s="253"/>
      <c r="AB315" s="253"/>
      <c r="AC315" s="253"/>
      <c r="AD315" s="253"/>
      <c r="AE315" s="253"/>
      <c r="AF315" s="253"/>
      <c r="AG315" s="253"/>
      <c r="AH315" s="252"/>
    </row>
    <row r="316" spans="3:34" x14ac:dyDescent="0.2">
      <c r="C316" s="252"/>
      <c r="D316" s="252"/>
      <c r="E316" s="252"/>
      <c r="F316" s="252"/>
      <c r="G316" s="252"/>
      <c r="H316" s="252"/>
      <c r="I316" s="252"/>
      <c r="J316" s="252"/>
      <c r="K316" s="252"/>
      <c r="L316" s="252"/>
      <c r="M316" s="253"/>
      <c r="N316" s="253"/>
      <c r="O316" s="253"/>
      <c r="P316" s="253"/>
      <c r="Q316" s="253"/>
      <c r="R316" s="254"/>
      <c r="S316" s="255"/>
      <c r="T316" s="252"/>
      <c r="U316" s="252"/>
      <c r="V316" s="252"/>
      <c r="W316" s="252"/>
      <c r="X316" s="252"/>
      <c r="Y316" s="252"/>
      <c r="Z316" s="253"/>
      <c r="AA316" s="253"/>
      <c r="AB316" s="253"/>
      <c r="AC316" s="253"/>
      <c r="AD316" s="253"/>
      <c r="AE316" s="253"/>
      <c r="AF316" s="253"/>
      <c r="AG316" s="253"/>
      <c r="AH316" s="252"/>
    </row>
    <row r="317" spans="3:34" x14ac:dyDescent="0.2">
      <c r="C317" s="252"/>
      <c r="D317" s="252"/>
      <c r="E317" s="252"/>
      <c r="F317" s="252"/>
      <c r="G317" s="252"/>
      <c r="H317" s="252"/>
      <c r="I317" s="252"/>
      <c r="J317" s="252"/>
      <c r="K317" s="252"/>
      <c r="L317" s="252"/>
      <c r="M317" s="253"/>
      <c r="N317" s="253"/>
      <c r="O317" s="253"/>
      <c r="P317" s="253"/>
      <c r="Q317" s="253"/>
      <c r="R317" s="254"/>
      <c r="S317" s="255"/>
      <c r="T317" s="252"/>
      <c r="U317" s="252"/>
      <c r="V317" s="252"/>
      <c r="W317" s="252"/>
      <c r="X317" s="252"/>
      <c r="Y317" s="252"/>
      <c r="Z317" s="253"/>
      <c r="AA317" s="253"/>
      <c r="AB317" s="253"/>
      <c r="AC317" s="253"/>
      <c r="AD317" s="253"/>
      <c r="AE317" s="253"/>
      <c r="AF317" s="253"/>
      <c r="AG317" s="253"/>
      <c r="AH317" s="252"/>
    </row>
    <row r="318" spans="3:34" x14ac:dyDescent="0.2">
      <c r="C318" s="252"/>
      <c r="D318" s="252"/>
      <c r="E318" s="252"/>
      <c r="F318" s="252"/>
      <c r="G318" s="252"/>
      <c r="H318" s="252"/>
      <c r="I318" s="252"/>
      <c r="J318" s="252"/>
      <c r="K318" s="252"/>
      <c r="L318" s="252"/>
      <c r="M318" s="253"/>
      <c r="N318" s="253"/>
      <c r="O318" s="253"/>
      <c r="P318" s="253"/>
      <c r="Q318" s="253"/>
      <c r="R318" s="254"/>
      <c r="S318" s="255"/>
      <c r="T318" s="252"/>
      <c r="U318" s="252"/>
      <c r="V318" s="252"/>
      <c r="W318" s="252"/>
      <c r="X318" s="252"/>
      <c r="Y318" s="252"/>
      <c r="Z318" s="253"/>
      <c r="AA318" s="253"/>
      <c r="AB318" s="253"/>
      <c r="AC318" s="253"/>
      <c r="AD318" s="253"/>
      <c r="AE318" s="253"/>
      <c r="AF318" s="253"/>
      <c r="AG318" s="253"/>
      <c r="AH318" s="252"/>
    </row>
    <row r="319" spans="3:34" x14ac:dyDescent="0.2">
      <c r="C319" s="252"/>
      <c r="D319" s="252"/>
      <c r="E319" s="252"/>
      <c r="F319" s="252"/>
      <c r="G319" s="252"/>
      <c r="H319" s="252"/>
      <c r="I319" s="252"/>
      <c r="J319" s="252"/>
      <c r="K319" s="252"/>
      <c r="L319" s="252"/>
      <c r="M319" s="253"/>
      <c r="N319" s="253"/>
      <c r="O319" s="253"/>
      <c r="P319" s="253"/>
      <c r="Q319" s="253"/>
      <c r="R319" s="254"/>
      <c r="S319" s="255"/>
      <c r="T319" s="252"/>
      <c r="U319" s="252"/>
      <c r="V319" s="252"/>
      <c r="W319" s="252"/>
      <c r="X319" s="252"/>
      <c r="Y319" s="252"/>
      <c r="Z319" s="253"/>
      <c r="AA319" s="253"/>
      <c r="AB319" s="253"/>
      <c r="AC319" s="253"/>
      <c r="AD319" s="253"/>
      <c r="AE319" s="253"/>
      <c r="AF319" s="253"/>
      <c r="AG319" s="253"/>
      <c r="AH319" s="252"/>
    </row>
    <row r="320" spans="3:34" x14ac:dyDescent="0.2">
      <c r="C320" s="252"/>
      <c r="D320" s="252"/>
      <c r="E320" s="252"/>
      <c r="F320" s="252"/>
      <c r="G320" s="252"/>
      <c r="H320" s="252"/>
      <c r="I320" s="252"/>
      <c r="J320" s="252"/>
      <c r="K320" s="252"/>
      <c r="L320" s="252"/>
      <c r="M320" s="253"/>
      <c r="N320" s="253"/>
      <c r="O320" s="253"/>
      <c r="P320" s="253"/>
      <c r="Q320" s="253"/>
      <c r="R320" s="254"/>
      <c r="S320" s="255"/>
      <c r="T320" s="252"/>
      <c r="U320" s="252"/>
      <c r="V320" s="252"/>
      <c r="W320" s="252"/>
      <c r="X320" s="252"/>
      <c r="Y320" s="252"/>
      <c r="Z320" s="253"/>
      <c r="AA320" s="253"/>
      <c r="AB320" s="253"/>
      <c r="AC320" s="253"/>
      <c r="AD320" s="253"/>
      <c r="AE320" s="253"/>
      <c r="AF320" s="253"/>
      <c r="AG320" s="253"/>
      <c r="AH320" s="252"/>
    </row>
    <row r="321" spans="3:34" x14ac:dyDescent="0.2">
      <c r="C321" s="252"/>
      <c r="D321" s="252"/>
      <c r="E321" s="252"/>
      <c r="F321" s="252"/>
      <c r="G321" s="252"/>
      <c r="H321" s="252"/>
      <c r="I321" s="252"/>
      <c r="J321" s="252"/>
      <c r="K321" s="252"/>
      <c r="L321" s="252"/>
      <c r="M321" s="253"/>
      <c r="N321" s="253"/>
      <c r="O321" s="253"/>
      <c r="P321" s="253"/>
      <c r="Q321" s="253"/>
      <c r="R321" s="254"/>
      <c r="S321" s="255"/>
      <c r="T321" s="252"/>
      <c r="U321" s="252"/>
      <c r="V321" s="252"/>
      <c r="W321" s="252"/>
      <c r="X321" s="252"/>
      <c r="Y321" s="252"/>
      <c r="Z321" s="253"/>
      <c r="AA321" s="253"/>
      <c r="AB321" s="253"/>
      <c r="AC321" s="253"/>
      <c r="AD321" s="253"/>
      <c r="AE321" s="253"/>
      <c r="AF321" s="253"/>
      <c r="AG321" s="253"/>
      <c r="AH321" s="252"/>
    </row>
    <row r="322" spans="3:34" x14ac:dyDescent="0.2">
      <c r="C322" s="252"/>
      <c r="D322" s="252"/>
      <c r="E322" s="252"/>
      <c r="F322" s="252"/>
      <c r="G322" s="252"/>
      <c r="H322" s="252"/>
      <c r="I322" s="252"/>
      <c r="J322" s="252"/>
      <c r="K322" s="252"/>
      <c r="L322" s="252"/>
      <c r="M322" s="253"/>
      <c r="N322" s="253"/>
      <c r="O322" s="253"/>
      <c r="P322" s="253"/>
      <c r="Q322" s="253"/>
      <c r="R322" s="254"/>
      <c r="S322" s="255"/>
      <c r="T322" s="252"/>
      <c r="U322" s="252"/>
      <c r="V322" s="252"/>
      <c r="W322" s="252"/>
      <c r="X322" s="252"/>
      <c r="Y322" s="252"/>
      <c r="Z322" s="253"/>
      <c r="AA322" s="253"/>
      <c r="AB322" s="253"/>
      <c r="AC322" s="253"/>
      <c r="AD322" s="253"/>
      <c r="AE322" s="253"/>
      <c r="AF322" s="253"/>
      <c r="AG322" s="253"/>
      <c r="AH322" s="252"/>
    </row>
    <row r="323" spans="3:34" x14ac:dyDescent="0.2">
      <c r="C323" s="252"/>
      <c r="D323" s="252"/>
      <c r="E323" s="252"/>
      <c r="F323" s="252"/>
      <c r="G323" s="252"/>
      <c r="H323" s="252"/>
      <c r="I323" s="252"/>
      <c r="J323" s="252"/>
      <c r="K323" s="252"/>
      <c r="L323" s="252"/>
      <c r="M323" s="253"/>
      <c r="N323" s="253"/>
      <c r="O323" s="253"/>
      <c r="P323" s="253"/>
      <c r="Q323" s="253"/>
      <c r="R323" s="254"/>
      <c r="S323" s="255"/>
      <c r="T323" s="252"/>
      <c r="U323" s="252"/>
      <c r="V323" s="252"/>
      <c r="W323" s="252"/>
      <c r="X323" s="252"/>
      <c r="Y323" s="252"/>
      <c r="Z323" s="253"/>
      <c r="AA323" s="253"/>
      <c r="AB323" s="253"/>
      <c r="AC323" s="253"/>
      <c r="AD323" s="253"/>
      <c r="AE323" s="253"/>
      <c r="AF323" s="253"/>
      <c r="AG323" s="253"/>
      <c r="AH323" s="252"/>
    </row>
    <row r="324" spans="3:34" x14ac:dyDescent="0.2">
      <c r="C324" s="252"/>
      <c r="D324" s="252"/>
      <c r="E324" s="252"/>
      <c r="F324" s="252"/>
      <c r="G324" s="252"/>
      <c r="H324" s="252"/>
      <c r="I324" s="252"/>
      <c r="J324" s="252"/>
      <c r="K324" s="252"/>
      <c r="L324" s="252"/>
      <c r="M324" s="253"/>
      <c r="N324" s="253"/>
      <c r="O324" s="253"/>
      <c r="P324" s="253"/>
      <c r="Q324" s="253"/>
      <c r="R324" s="254"/>
      <c r="S324" s="255"/>
      <c r="T324" s="252"/>
      <c r="U324" s="252"/>
      <c r="V324" s="252"/>
      <c r="W324" s="252"/>
      <c r="X324" s="252"/>
      <c r="Y324" s="252"/>
      <c r="Z324" s="253"/>
      <c r="AA324" s="253"/>
      <c r="AB324" s="253"/>
      <c r="AC324" s="253"/>
      <c r="AD324" s="253"/>
      <c r="AE324" s="253"/>
      <c r="AF324" s="253"/>
      <c r="AG324" s="253"/>
      <c r="AH324" s="252"/>
    </row>
    <row r="325" spans="3:34" x14ac:dyDescent="0.2">
      <c r="C325" s="252"/>
      <c r="D325" s="252"/>
      <c r="E325" s="252"/>
      <c r="F325" s="252"/>
      <c r="G325" s="252"/>
      <c r="H325" s="252"/>
      <c r="I325" s="252"/>
      <c r="J325" s="252"/>
      <c r="K325" s="252"/>
      <c r="L325" s="252"/>
      <c r="M325" s="253"/>
      <c r="N325" s="253"/>
      <c r="O325" s="253"/>
      <c r="P325" s="253"/>
      <c r="Q325" s="253"/>
      <c r="R325" s="254"/>
      <c r="S325" s="255"/>
      <c r="T325" s="252"/>
      <c r="U325" s="252"/>
      <c r="V325" s="252"/>
      <c r="W325" s="252"/>
      <c r="X325" s="252"/>
      <c r="Y325" s="252"/>
      <c r="Z325" s="253"/>
      <c r="AA325" s="253"/>
      <c r="AB325" s="253"/>
      <c r="AC325" s="253"/>
      <c r="AD325" s="253"/>
      <c r="AE325" s="253"/>
      <c r="AF325" s="253"/>
      <c r="AG325" s="253"/>
      <c r="AH325" s="252"/>
    </row>
    <row r="326" spans="3:34" x14ac:dyDescent="0.2">
      <c r="C326" s="252"/>
      <c r="D326" s="252"/>
      <c r="E326" s="252"/>
      <c r="F326" s="252"/>
      <c r="G326" s="252"/>
      <c r="H326" s="252"/>
      <c r="I326" s="252"/>
      <c r="J326" s="252"/>
      <c r="K326" s="252"/>
      <c r="L326" s="252"/>
      <c r="M326" s="253"/>
      <c r="N326" s="253"/>
      <c r="O326" s="253"/>
      <c r="P326" s="253"/>
      <c r="Q326" s="253"/>
      <c r="R326" s="254"/>
      <c r="S326" s="255"/>
      <c r="T326" s="252"/>
      <c r="U326" s="252"/>
      <c r="V326" s="252"/>
      <c r="W326" s="252"/>
      <c r="X326" s="252"/>
      <c r="Y326" s="252"/>
      <c r="Z326" s="253"/>
      <c r="AA326" s="253"/>
      <c r="AB326" s="253"/>
      <c r="AC326" s="253"/>
      <c r="AD326" s="253"/>
      <c r="AE326" s="253"/>
      <c r="AF326" s="253"/>
      <c r="AG326" s="253"/>
      <c r="AH326" s="252"/>
    </row>
    <row r="327" spans="3:34" x14ac:dyDescent="0.2">
      <c r="C327" s="252"/>
      <c r="D327" s="252"/>
      <c r="E327" s="252"/>
      <c r="F327" s="252"/>
      <c r="G327" s="252"/>
      <c r="H327" s="252"/>
      <c r="I327" s="252"/>
      <c r="J327" s="252"/>
      <c r="K327" s="252"/>
      <c r="L327" s="252"/>
      <c r="M327" s="253"/>
      <c r="N327" s="253"/>
      <c r="O327" s="253"/>
      <c r="P327" s="253"/>
      <c r="Q327" s="253"/>
      <c r="R327" s="254"/>
      <c r="S327" s="255"/>
      <c r="T327" s="252"/>
      <c r="U327" s="252"/>
      <c r="V327" s="252"/>
      <c r="W327" s="252"/>
      <c r="X327" s="252"/>
      <c r="Y327" s="252"/>
      <c r="Z327" s="253"/>
      <c r="AA327" s="253"/>
      <c r="AB327" s="253"/>
      <c r="AC327" s="253"/>
      <c r="AD327" s="253"/>
      <c r="AE327" s="253"/>
      <c r="AF327" s="253"/>
      <c r="AG327" s="253"/>
      <c r="AH327" s="252"/>
    </row>
    <row r="328" spans="3:34" x14ac:dyDescent="0.2">
      <c r="C328" s="252"/>
      <c r="D328" s="252"/>
      <c r="E328" s="252"/>
      <c r="F328" s="252"/>
      <c r="G328" s="252"/>
      <c r="H328" s="252"/>
      <c r="I328" s="252"/>
      <c r="J328" s="252"/>
      <c r="K328" s="252"/>
      <c r="L328" s="252"/>
      <c r="M328" s="253"/>
      <c r="N328" s="253"/>
      <c r="O328" s="253"/>
      <c r="P328" s="253"/>
      <c r="Q328" s="253"/>
      <c r="R328" s="254"/>
      <c r="S328" s="255"/>
      <c r="T328" s="252"/>
      <c r="U328" s="252"/>
      <c r="V328" s="252"/>
      <c r="W328" s="252"/>
      <c r="X328" s="252"/>
      <c r="Y328" s="252"/>
      <c r="Z328" s="253"/>
      <c r="AA328" s="253"/>
      <c r="AB328" s="253"/>
      <c r="AC328" s="253"/>
      <c r="AD328" s="253"/>
      <c r="AE328" s="253"/>
      <c r="AF328" s="253"/>
      <c r="AG328" s="253"/>
      <c r="AH328" s="252"/>
    </row>
    <row r="329" spans="3:34" x14ac:dyDescent="0.2">
      <c r="C329" s="252"/>
      <c r="D329" s="252"/>
      <c r="E329" s="252"/>
      <c r="F329" s="252"/>
      <c r="G329" s="252"/>
      <c r="H329" s="252"/>
      <c r="I329" s="252"/>
      <c r="J329" s="252"/>
      <c r="K329" s="252"/>
      <c r="L329" s="252"/>
      <c r="M329" s="253"/>
      <c r="N329" s="253"/>
      <c r="O329" s="253"/>
      <c r="P329" s="253"/>
      <c r="Q329" s="253"/>
      <c r="R329" s="254"/>
      <c r="S329" s="255"/>
      <c r="T329" s="252"/>
      <c r="U329" s="252"/>
      <c r="V329" s="252"/>
      <c r="W329" s="252"/>
      <c r="X329" s="252"/>
      <c r="Y329" s="252"/>
      <c r="Z329" s="253"/>
      <c r="AA329" s="253"/>
      <c r="AB329" s="253"/>
      <c r="AC329" s="253"/>
      <c r="AD329" s="253"/>
      <c r="AE329" s="253"/>
      <c r="AF329" s="253"/>
      <c r="AG329" s="253"/>
      <c r="AH329" s="252"/>
    </row>
    <row r="330" spans="3:34" x14ac:dyDescent="0.2">
      <c r="C330" s="252"/>
      <c r="D330" s="252"/>
      <c r="E330" s="252"/>
      <c r="F330" s="252"/>
      <c r="G330" s="252"/>
      <c r="H330" s="252"/>
      <c r="I330" s="252"/>
      <c r="J330" s="252"/>
      <c r="K330" s="252"/>
      <c r="L330" s="252"/>
      <c r="M330" s="253"/>
      <c r="N330" s="253"/>
      <c r="O330" s="253"/>
      <c r="P330" s="253"/>
      <c r="Q330" s="253"/>
      <c r="R330" s="254"/>
      <c r="S330" s="255"/>
      <c r="T330" s="252"/>
      <c r="U330" s="252"/>
      <c r="V330" s="252"/>
      <c r="W330" s="252"/>
      <c r="X330" s="252"/>
      <c r="Y330" s="252"/>
      <c r="Z330" s="253"/>
      <c r="AA330" s="253"/>
      <c r="AB330" s="253"/>
      <c r="AC330" s="253"/>
      <c r="AD330" s="253"/>
      <c r="AE330" s="253"/>
      <c r="AF330" s="253"/>
      <c r="AG330" s="253"/>
      <c r="AH330" s="252"/>
    </row>
    <row r="331" spans="3:34" x14ac:dyDescent="0.2">
      <c r="C331" s="252"/>
      <c r="D331" s="252"/>
      <c r="E331" s="252"/>
      <c r="F331" s="252"/>
      <c r="G331" s="252"/>
      <c r="H331" s="252"/>
      <c r="I331" s="252"/>
      <c r="J331" s="252"/>
      <c r="K331" s="252"/>
      <c r="L331" s="252"/>
      <c r="M331" s="253"/>
      <c r="N331" s="253"/>
      <c r="O331" s="253"/>
      <c r="P331" s="253"/>
      <c r="Q331" s="253"/>
      <c r="R331" s="254"/>
      <c r="S331" s="255"/>
      <c r="T331" s="252"/>
      <c r="U331" s="252"/>
      <c r="V331" s="252"/>
      <c r="W331" s="252"/>
      <c r="X331" s="252"/>
      <c r="Y331" s="252"/>
      <c r="Z331" s="253"/>
      <c r="AA331" s="253"/>
      <c r="AB331" s="253"/>
      <c r="AC331" s="253"/>
      <c r="AD331" s="253"/>
      <c r="AE331" s="253"/>
      <c r="AF331" s="253"/>
      <c r="AG331" s="253"/>
      <c r="AH331" s="252"/>
    </row>
    <row r="332" spans="3:34" x14ac:dyDescent="0.2">
      <c r="C332" s="252"/>
      <c r="D332" s="252"/>
      <c r="E332" s="252"/>
      <c r="F332" s="252"/>
      <c r="G332" s="252"/>
      <c r="H332" s="252"/>
      <c r="I332" s="252"/>
      <c r="J332" s="252"/>
      <c r="K332" s="252"/>
      <c r="L332" s="252"/>
      <c r="M332" s="253"/>
      <c r="N332" s="253"/>
      <c r="O332" s="253"/>
      <c r="P332" s="253"/>
      <c r="Q332" s="253"/>
      <c r="R332" s="254"/>
      <c r="S332" s="255"/>
      <c r="T332" s="252"/>
      <c r="U332" s="252"/>
      <c r="V332" s="252"/>
      <c r="W332" s="252"/>
      <c r="X332" s="252"/>
      <c r="Y332" s="252"/>
      <c r="Z332" s="253"/>
      <c r="AA332" s="253"/>
      <c r="AB332" s="253"/>
      <c r="AC332" s="253"/>
      <c r="AD332" s="253"/>
      <c r="AE332" s="253"/>
      <c r="AF332" s="253"/>
      <c r="AG332" s="253"/>
      <c r="AH332" s="252"/>
    </row>
    <row r="333" spans="3:34" x14ac:dyDescent="0.2">
      <c r="C333" s="252"/>
      <c r="D333" s="252"/>
      <c r="E333" s="252"/>
      <c r="F333" s="252"/>
      <c r="G333" s="252"/>
      <c r="H333" s="252"/>
      <c r="I333" s="252"/>
      <c r="J333" s="252"/>
      <c r="K333" s="252"/>
      <c r="L333" s="252"/>
      <c r="M333" s="253"/>
      <c r="N333" s="253"/>
      <c r="O333" s="253"/>
      <c r="P333" s="253"/>
      <c r="Q333" s="253"/>
      <c r="R333" s="254"/>
      <c r="S333" s="255"/>
      <c r="T333" s="252"/>
      <c r="U333" s="252"/>
      <c r="V333" s="252"/>
      <c r="W333" s="252"/>
      <c r="X333" s="252"/>
      <c r="Y333" s="252"/>
      <c r="Z333" s="253"/>
      <c r="AA333" s="253"/>
      <c r="AB333" s="253"/>
      <c r="AC333" s="253"/>
      <c r="AD333" s="253"/>
      <c r="AE333" s="253"/>
      <c r="AF333" s="253"/>
      <c r="AG333" s="253"/>
      <c r="AH333" s="252"/>
    </row>
    <row r="334" spans="3:34" x14ac:dyDescent="0.2">
      <c r="C334" s="252"/>
      <c r="D334" s="252"/>
      <c r="E334" s="252"/>
      <c r="F334" s="252"/>
      <c r="G334" s="252"/>
      <c r="H334" s="252"/>
      <c r="I334" s="252"/>
      <c r="J334" s="252"/>
      <c r="K334" s="252"/>
      <c r="L334" s="252"/>
      <c r="M334" s="253"/>
      <c r="N334" s="253"/>
      <c r="O334" s="253"/>
      <c r="P334" s="253"/>
      <c r="Q334" s="253"/>
      <c r="R334" s="254"/>
      <c r="S334" s="255"/>
      <c r="T334" s="252"/>
      <c r="U334" s="252"/>
      <c r="V334" s="252"/>
      <c r="W334" s="252"/>
      <c r="X334" s="252"/>
      <c r="Y334" s="252"/>
      <c r="Z334" s="253"/>
      <c r="AA334" s="253"/>
      <c r="AB334" s="253"/>
      <c r="AC334" s="253"/>
      <c r="AD334" s="253"/>
      <c r="AE334" s="253"/>
      <c r="AF334" s="253"/>
      <c r="AG334" s="253"/>
      <c r="AH334" s="252"/>
    </row>
    <row r="335" spans="3:34" x14ac:dyDescent="0.2">
      <c r="C335" s="252"/>
      <c r="D335" s="252"/>
      <c r="E335" s="252"/>
      <c r="F335" s="252"/>
      <c r="G335" s="252"/>
      <c r="H335" s="252"/>
      <c r="I335" s="252"/>
      <c r="J335" s="252"/>
      <c r="K335" s="252"/>
      <c r="L335" s="252"/>
      <c r="M335" s="253"/>
      <c r="N335" s="253"/>
      <c r="O335" s="253"/>
      <c r="P335" s="253"/>
      <c r="Q335" s="253"/>
      <c r="R335" s="254"/>
      <c r="S335" s="255"/>
      <c r="T335" s="252"/>
      <c r="U335" s="252"/>
      <c r="V335" s="252"/>
      <c r="W335" s="252"/>
      <c r="X335" s="252"/>
      <c r="Y335" s="252"/>
      <c r="Z335" s="253"/>
      <c r="AA335" s="253"/>
      <c r="AB335" s="253"/>
      <c r="AC335" s="253"/>
      <c r="AD335" s="253"/>
      <c r="AE335" s="253"/>
      <c r="AF335" s="253"/>
      <c r="AG335" s="253"/>
      <c r="AH335" s="252"/>
    </row>
    <row r="336" spans="3:34" x14ac:dyDescent="0.2">
      <c r="C336" s="252"/>
      <c r="D336" s="252"/>
      <c r="E336" s="252"/>
      <c r="F336" s="252"/>
      <c r="G336" s="252"/>
      <c r="H336" s="252"/>
      <c r="I336" s="252"/>
      <c r="J336" s="252"/>
      <c r="K336" s="252"/>
      <c r="L336" s="252"/>
      <c r="M336" s="253"/>
      <c r="N336" s="253"/>
      <c r="O336" s="253"/>
      <c r="P336" s="253"/>
      <c r="Q336" s="253"/>
      <c r="R336" s="254"/>
      <c r="S336" s="255"/>
      <c r="T336" s="252"/>
      <c r="U336" s="252"/>
      <c r="V336" s="252"/>
      <c r="W336" s="252"/>
      <c r="X336" s="252"/>
      <c r="Y336" s="252"/>
      <c r="Z336" s="253"/>
      <c r="AA336" s="253"/>
      <c r="AB336" s="253"/>
      <c r="AC336" s="253"/>
      <c r="AD336" s="253"/>
      <c r="AE336" s="253"/>
      <c r="AF336" s="253"/>
      <c r="AG336" s="253"/>
      <c r="AH336" s="252"/>
    </row>
    <row r="337" spans="3:34" x14ac:dyDescent="0.2">
      <c r="C337" s="252"/>
      <c r="D337" s="252"/>
      <c r="E337" s="252"/>
      <c r="F337" s="252"/>
      <c r="G337" s="252"/>
      <c r="H337" s="252"/>
      <c r="I337" s="252"/>
      <c r="J337" s="252"/>
      <c r="K337" s="252"/>
      <c r="L337" s="252"/>
      <c r="M337" s="253"/>
      <c r="N337" s="253"/>
      <c r="O337" s="253"/>
      <c r="P337" s="253"/>
      <c r="Q337" s="253"/>
      <c r="R337" s="254"/>
      <c r="S337" s="255"/>
      <c r="T337" s="252"/>
      <c r="U337" s="252"/>
      <c r="V337" s="252"/>
      <c r="W337" s="252"/>
      <c r="X337" s="252"/>
      <c r="Y337" s="252"/>
      <c r="Z337" s="253"/>
      <c r="AA337" s="253"/>
      <c r="AB337" s="253"/>
      <c r="AC337" s="253"/>
      <c r="AD337" s="253"/>
      <c r="AE337" s="253"/>
      <c r="AF337" s="253"/>
      <c r="AG337" s="253"/>
      <c r="AH337" s="252"/>
    </row>
    <row r="338" spans="3:34" x14ac:dyDescent="0.2">
      <c r="C338" s="252"/>
      <c r="D338" s="252"/>
      <c r="E338" s="252"/>
      <c r="F338" s="252"/>
      <c r="G338" s="252"/>
      <c r="H338" s="252"/>
      <c r="I338" s="252"/>
      <c r="J338" s="252"/>
      <c r="K338" s="252"/>
      <c r="L338" s="252"/>
      <c r="M338" s="253"/>
      <c r="N338" s="253"/>
      <c r="O338" s="253"/>
      <c r="P338" s="253"/>
      <c r="Q338" s="253"/>
      <c r="R338" s="254"/>
      <c r="S338" s="255"/>
      <c r="T338" s="252"/>
      <c r="U338" s="252"/>
      <c r="V338" s="252"/>
      <c r="W338" s="252"/>
      <c r="X338" s="252"/>
      <c r="Y338" s="252"/>
      <c r="Z338" s="253"/>
      <c r="AA338" s="253"/>
      <c r="AB338" s="253"/>
      <c r="AC338" s="253"/>
      <c r="AD338" s="253"/>
      <c r="AE338" s="253"/>
      <c r="AF338" s="253"/>
      <c r="AG338" s="253"/>
      <c r="AH338" s="252"/>
    </row>
    <row r="339" spans="3:34" x14ac:dyDescent="0.2">
      <c r="C339" s="252"/>
      <c r="D339" s="252"/>
      <c r="E339" s="252"/>
      <c r="F339" s="252"/>
      <c r="G339" s="252"/>
      <c r="H339" s="252"/>
      <c r="I339" s="252"/>
      <c r="J339" s="252"/>
      <c r="K339" s="252"/>
      <c r="L339" s="252"/>
      <c r="M339" s="253"/>
      <c r="N339" s="253"/>
      <c r="O339" s="253"/>
      <c r="P339" s="253"/>
      <c r="Q339" s="253"/>
      <c r="R339" s="254"/>
      <c r="S339" s="255"/>
      <c r="T339" s="252"/>
      <c r="U339" s="252"/>
      <c r="V339" s="252"/>
      <c r="W339" s="252"/>
      <c r="X339" s="252"/>
      <c r="Y339" s="252"/>
      <c r="Z339" s="253"/>
      <c r="AA339" s="253"/>
      <c r="AB339" s="253"/>
      <c r="AC339" s="253"/>
      <c r="AD339" s="253"/>
      <c r="AE339" s="253"/>
      <c r="AF339" s="253"/>
      <c r="AG339" s="253"/>
      <c r="AH339" s="252"/>
    </row>
    <row r="340" spans="3:34" x14ac:dyDescent="0.2">
      <c r="C340" s="252"/>
      <c r="D340" s="252"/>
      <c r="E340" s="252"/>
      <c r="F340" s="252"/>
      <c r="G340" s="252"/>
      <c r="H340" s="252"/>
      <c r="I340" s="252"/>
      <c r="J340" s="252"/>
      <c r="K340" s="252"/>
      <c r="L340" s="252"/>
      <c r="M340" s="253"/>
      <c r="N340" s="253"/>
      <c r="O340" s="253"/>
      <c r="P340" s="253"/>
      <c r="Q340" s="253"/>
      <c r="R340" s="254"/>
      <c r="S340" s="255"/>
      <c r="T340" s="252"/>
      <c r="U340" s="252"/>
      <c r="V340" s="252"/>
      <c r="W340" s="252"/>
      <c r="X340" s="252"/>
      <c r="Y340" s="252"/>
      <c r="Z340" s="253"/>
      <c r="AA340" s="253"/>
      <c r="AB340" s="253"/>
      <c r="AC340" s="253"/>
      <c r="AD340" s="253"/>
      <c r="AE340" s="253"/>
      <c r="AF340" s="253"/>
      <c r="AG340" s="253"/>
      <c r="AH340" s="252"/>
    </row>
    <row r="341" spans="3:34" x14ac:dyDescent="0.2">
      <c r="C341" s="252"/>
      <c r="D341" s="252"/>
      <c r="E341" s="252"/>
      <c r="F341" s="252"/>
      <c r="G341" s="252"/>
      <c r="H341" s="252"/>
      <c r="I341" s="252"/>
      <c r="J341" s="252"/>
      <c r="K341" s="252"/>
      <c r="L341" s="252"/>
      <c r="M341" s="253"/>
      <c r="N341" s="253"/>
      <c r="O341" s="253"/>
      <c r="P341" s="253"/>
      <c r="Q341" s="253"/>
      <c r="R341" s="254"/>
      <c r="S341" s="255"/>
      <c r="T341" s="252"/>
      <c r="U341" s="252"/>
      <c r="V341" s="252"/>
      <c r="W341" s="252"/>
      <c r="X341" s="252"/>
      <c r="Y341" s="252"/>
      <c r="Z341" s="253"/>
      <c r="AA341" s="253"/>
      <c r="AB341" s="253"/>
      <c r="AC341" s="253"/>
      <c r="AD341" s="253"/>
      <c r="AE341" s="253"/>
      <c r="AF341" s="253"/>
      <c r="AG341" s="253"/>
      <c r="AH341" s="252"/>
    </row>
    <row r="342" spans="3:34" x14ac:dyDescent="0.2">
      <c r="C342" s="252"/>
      <c r="D342" s="252"/>
      <c r="E342" s="252"/>
      <c r="F342" s="252"/>
      <c r="G342" s="252"/>
      <c r="H342" s="252"/>
      <c r="I342" s="252"/>
      <c r="J342" s="252"/>
      <c r="K342" s="252"/>
      <c r="L342" s="252"/>
      <c r="M342" s="253"/>
      <c r="N342" s="253"/>
      <c r="O342" s="253"/>
      <c r="P342" s="253"/>
      <c r="Q342" s="253"/>
      <c r="R342" s="254"/>
      <c r="S342" s="255"/>
      <c r="T342" s="252"/>
      <c r="U342" s="252"/>
      <c r="V342" s="252"/>
      <c r="W342" s="252"/>
      <c r="X342" s="252"/>
      <c r="Y342" s="252"/>
      <c r="Z342" s="253"/>
      <c r="AA342" s="253"/>
      <c r="AB342" s="253"/>
      <c r="AC342" s="253"/>
      <c r="AD342" s="253"/>
      <c r="AE342" s="253"/>
      <c r="AF342" s="253"/>
      <c r="AG342" s="253"/>
      <c r="AH342" s="252"/>
    </row>
    <row r="343" spans="3:34" x14ac:dyDescent="0.2">
      <c r="C343" s="252"/>
      <c r="D343" s="252"/>
      <c r="E343" s="252"/>
      <c r="F343" s="252"/>
      <c r="G343" s="252"/>
      <c r="H343" s="252"/>
      <c r="I343" s="252"/>
      <c r="J343" s="252"/>
      <c r="K343" s="252"/>
      <c r="L343" s="252"/>
      <c r="M343" s="253"/>
      <c r="N343" s="253"/>
      <c r="O343" s="253"/>
      <c r="P343" s="253"/>
      <c r="Q343" s="253"/>
      <c r="R343" s="254"/>
      <c r="S343" s="255"/>
      <c r="T343" s="252"/>
      <c r="U343" s="252"/>
      <c r="V343" s="252"/>
      <c r="W343" s="252"/>
      <c r="X343" s="252"/>
      <c r="Y343" s="252"/>
      <c r="Z343" s="253"/>
      <c r="AA343" s="253"/>
      <c r="AB343" s="253"/>
      <c r="AC343" s="253"/>
      <c r="AD343" s="253"/>
      <c r="AE343" s="253"/>
      <c r="AF343" s="253"/>
      <c r="AG343" s="253"/>
      <c r="AH343" s="252"/>
    </row>
    <row r="344" spans="3:34" x14ac:dyDescent="0.2">
      <c r="C344" s="252"/>
      <c r="D344" s="252"/>
      <c r="E344" s="252"/>
      <c r="F344" s="252"/>
      <c r="G344" s="252"/>
      <c r="H344" s="252"/>
      <c r="I344" s="252"/>
      <c r="J344" s="252"/>
      <c r="K344" s="252"/>
      <c r="L344" s="252"/>
      <c r="M344" s="253"/>
      <c r="N344" s="253"/>
      <c r="O344" s="253"/>
      <c r="P344" s="253"/>
      <c r="Q344" s="253"/>
      <c r="R344" s="254"/>
      <c r="S344" s="255"/>
      <c r="T344" s="252"/>
      <c r="U344" s="252"/>
      <c r="V344" s="252"/>
      <c r="W344" s="252"/>
      <c r="X344" s="252"/>
      <c r="Y344" s="252"/>
      <c r="Z344" s="253"/>
      <c r="AA344" s="253"/>
      <c r="AB344" s="253"/>
      <c r="AC344" s="253"/>
      <c r="AD344" s="253"/>
      <c r="AE344" s="253"/>
      <c r="AF344" s="253"/>
      <c r="AG344" s="253"/>
      <c r="AH344" s="252"/>
    </row>
    <row r="345" spans="3:34" x14ac:dyDescent="0.2">
      <c r="C345" s="252"/>
      <c r="D345" s="252"/>
      <c r="E345" s="252"/>
      <c r="F345" s="252"/>
      <c r="G345" s="252"/>
      <c r="H345" s="252"/>
      <c r="I345" s="252"/>
      <c r="J345" s="252"/>
      <c r="K345" s="252"/>
      <c r="L345" s="252"/>
      <c r="M345" s="253"/>
      <c r="N345" s="253"/>
      <c r="O345" s="253"/>
      <c r="P345" s="253"/>
      <c r="Q345" s="253"/>
      <c r="R345" s="254"/>
      <c r="S345" s="255"/>
      <c r="T345" s="252"/>
      <c r="U345" s="252"/>
      <c r="V345" s="252"/>
      <c r="W345" s="252"/>
      <c r="X345" s="252"/>
      <c r="Y345" s="252"/>
      <c r="Z345" s="253"/>
      <c r="AA345" s="253"/>
      <c r="AB345" s="253"/>
      <c r="AC345" s="253"/>
      <c r="AD345" s="253"/>
      <c r="AE345" s="253"/>
      <c r="AF345" s="253"/>
      <c r="AG345" s="253"/>
      <c r="AH345" s="252"/>
    </row>
    <row r="346" spans="3:34" x14ac:dyDescent="0.2">
      <c r="C346" s="252"/>
      <c r="D346" s="252"/>
      <c r="E346" s="252"/>
      <c r="F346" s="252"/>
      <c r="G346" s="252"/>
      <c r="H346" s="252"/>
      <c r="I346" s="252"/>
      <c r="J346" s="252"/>
      <c r="K346" s="252"/>
      <c r="L346" s="252"/>
      <c r="M346" s="253"/>
      <c r="N346" s="253"/>
      <c r="O346" s="253"/>
      <c r="P346" s="253"/>
      <c r="Q346" s="253"/>
      <c r="R346" s="254"/>
      <c r="S346" s="255"/>
      <c r="T346" s="252"/>
      <c r="U346" s="252"/>
      <c r="V346" s="252"/>
      <c r="W346" s="252"/>
      <c r="X346" s="252"/>
      <c r="Y346" s="252"/>
      <c r="Z346" s="253"/>
      <c r="AA346" s="253"/>
      <c r="AB346" s="253"/>
      <c r="AC346" s="253"/>
      <c r="AD346" s="253"/>
      <c r="AE346" s="253"/>
      <c r="AF346" s="253"/>
      <c r="AG346" s="253"/>
      <c r="AH346" s="252"/>
    </row>
    <row r="347" spans="3:34" x14ac:dyDescent="0.2">
      <c r="C347" s="252"/>
      <c r="D347" s="252"/>
      <c r="E347" s="252"/>
      <c r="F347" s="252"/>
      <c r="G347" s="252"/>
      <c r="H347" s="252"/>
      <c r="I347" s="252"/>
      <c r="J347" s="252"/>
      <c r="K347" s="252"/>
      <c r="L347" s="252"/>
      <c r="M347" s="253"/>
      <c r="N347" s="253"/>
      <c r="O347" s="253"/>
      <c r="P347" s="253"/>
      <c r="Q347" s="253"/>
      <c r="R347" s="254"/>
      <c r="S347" s="255"/>
      <c r="T347" s="252"/>
      <c r="U347" s="252"/>
      <c r="V347" s="252"/>
      <c r="W347" s="252"/>
      <c r="X347" s="252"/>
      <c r="Y347" s="252"/>
      <c r="Z347" s="253"/>
      <c r="AA347" s="253"/>
      <c r="AB347" s="253"/>
      <c r="AC347" s="253"/>
      <c r="AD347" s="253"/>
      <c r="AE347" s="253"/>
      <c r="AF347" s="253"/>
      <c r="AG347" s="253"/>
      <c r="AH347" s="252"/>
    </row>
    <row r="348" spans="3:34" x14ac:dyDescent="0.2">
      <c r="C348" s="252"/>
      <c r="D348" s="252"/>
      <c r="E348" s="252"/>
      <c r="F348" s="252"/>
      <c r="G348" s="252"/>
      <c r="H348" s="252"/>
      <c r="I348" s="252"/>
      <c r="J348" s="252"/>
      <c r="K348" s="252"/>
      <c r="L348" s="252"/>
      <c r="M348" s="253"/>
      <c r="N348" s="253"/>
      <c r="O348" s="253"/>
      <c r="P348" s="253"/>
      <c r="Q348" s="253"/>
      <c r="R348" s="254"/>
      <c r="S348" s="255"/>
      <c r="T348" s="252"/>
      <c r="U348" s="252"/>
      <c r="V348" s="252"/>
      <c r="W348" s="252"/>
      <c r="X348" s="252"/>
      <c r="Y348" s="252"/>
      <c r="Z348" s="253"/>
      <c r="AA348" s="253"/>
      <c r="AB348" s="253"/>
      <c r="AC348" s="253"/>
      <c r="AD348" s="253"/>
      <c r="AE348" s="253"/>
      <c r="AF348" s="253"/>
      <c r="AG348" s="253"/>
      <c r="AH348" s="252"/>
    </row>
    <row r="349" spans="3:34" x14ac:dyDescent="0.2">
      <c r="C349" s="252"/>
      <c r="D349" s="252"/>
      <c r="E349" s="252"/>
      <c r="F349" s="252"/>
      <c r="G349" s="252"/>
      <c r="H349" s="252"/>
      <c r="I349" s="252"/>
      <c r="J349" s="252"/>
      <c r="K349" s="252"/>
      <c r="L349" s="252"/>
      <c r="M349" s="253"/>
      <c r="N349" s="253"/>
      <c r="O349" s="253"/>
      <c r="P349" s="253"/>
      <c r="Q349" s="253"/>
      <c r="R349" s="254"/>
      <c r="S349" s="255"/>
      <c r="T349" s="252"/>
      <c r="U349" s="252"/>
      <c r="V349" s="252"/>
      <c r="W349" s="252"/>
      <c r="X349" s="252"/>
      <c r="Y349" s="252"/>
      <c r="Z349" s="253"/>
      <c r="AA349" s="253"/>
      <c r="AB349" s="253"/>
      <c r="AC349" s="253"/>
      <c r="AD349" s="253"/>
      <c r="AE349" s="253"/>
      <c r="AF349" s="253"/>
      <c r="AG349" s="253"/>
      <c r="AH349" s="252"/>
    </row>
    <row r="350" spans="3:34" x14ac:dyDescent="0.2">
      <c r="C350" s="252"/>
      <c r="D350" s="252"/>
      <c r="E350" s="252"/>
      <c r="F350" s="252"/>
      <c r="G350" s="252"/>
      <c r="H350" s="252"/>
      <c r="I350" s="252"/>
      <c r="J350" s="252"/>
      <c r="K350" s="252"/>
      <c r="L350" s="252"/>
      <c r="M350" s="253"/>
      <c r="N350" s="253"/>
      <c r="O350" s="253"/>
      <c r="P350" s="253"/>
      <c r="Q350" s="253"/>
      <c r="R350" s="254"/>
      <c r="S350" s="255"/>
      <c r="T350" s="252"/>
      <c r="U350" s="252"/>
      <c r="V350" s="252"/>
      <c r="W350" s="252"/>
      <c r="X350" s="252"/>
      <c r="Y350" s="252"/>
      <c r="Z350" s="253"/>
      <c r="AA350" s="253"/>
      <c r="AB350" s="253"/>
      <c r="AC350" s="253"/>
      <c r="AD350" s="253"/>
      <c r="AE350" s="253"/>
      <c r="AF350" s="253"/>
      <c r="AG350" s="253"/>
      <c r="AH350" s="252"/>
    </row>
    <row r="351" spans="3:34" x14ac:dyDescent="0.2">
      <c r="C351" s="252"/>
      <c r="D351" s="252"/>
      <c r="E351" s="252"/>
      <c r="F351" s="252"/>
      <c r="G351" s="252"/>
      <c r="H351" s="252"/>
      <c r="I351" s="252"/>
      <c r="J351" s="252"/>
      <c r="K351" s="252"/>
      <c r="L351" s="252"/>
      <c r="M351" s="253"/>
      <c r="N351" s="253"/>
      <c r="O351" s="253"/>
      <c r="P351" s="253"/>
      <c r="Q351" s="253"/>
      <c r="R351" s="254"/>
      <c r="S351" s="255"/>
      <c r="T351" s="252"/>
      <c r="U351" s="252"/>
      <c r="V351" s="252"/>
      <c r="W351" s="252"/>
      <c r="X351" s="252"/>
      <c r="Y351" s="252"/>
      <c r="Z351" s="253"/>
      <c r="AA351" s="253"/>
      <c r="AB351" s="253"/>
      <c r="AC351" s="253"/>
      <c r="AD351" s="253"/>
      <c r="AE351" s="253"/>
      <c r="AF351" s="253"/>
      <c r="AG351" s="253"/>
      <c r="AH351" s="252"/>
    </row>
    <row r="352" spans="3:34" x14ac:dyDescent="0.2">
      <c r="C352" s="252"/>
      <c r="D352" s="252"/>
      <c r="E352" s="252"/>
      <c r="F352" s="252"/>
      <c r="G352" s="252"/>
      <c r="H352" s="252"/>
      <c r="I352" s="252"/>
      <c r="J352" s="252"/>
      <c r="K352" s="252"/>
      <c r="L352" s="252"/>
      <c r="M352" s="253"/>
      <c r="N352" s="253"/>
      <c r="O352" s="253"/>
      <c r="P352" s="253"/>
      <c r="Q352" s="253"/>
      <c r="R352" s="254"/>
      <c r="S352" s="255"/>
      <c r="T352" s="252"/>
      <c r="U352" s="252"/>
      <c r="V352" s="252"/>
      <c r="W352" s="252"/>
      <c r="X352" s="252"/>
      <c r="Y352" s="252"/>
      <c r="Z352" s="253"/>
      <c r="AA352" s="253"/>
      <c r="AB352" s="253"/>
      <c r="AC352" s="253"/>
      <c r="AD352" s="253"/>
      <c r="AE352" s="253"/>
      <c r="AF352" s="253"/>
      <c r="AG352" s="253"/>
      <c r="AH352" s="252"/>
    </row>
    <row r="353" spans="3:34" x14ac:dyDescent="0.2">
      <c r="C353" s="252"/>
      <c r="D353" s="252"/>
      <c r="E353" s="252"/>
      <c r="F353" s="252"/>
      <c r="G353" s="252"/>
      <c r="H353" s="252"/>
      <c r="I353" s="252"/>
      <c r="J353" s="252"/>
      <c r="K353" s="252"/>
      <c r="L353" s="252"/>
      <c r="M353" s="253"/>
      <c r="N353" s="253"/>
      <c r="O353" s="253"/>
      <c r="P353" s="253"/>
      <c r="Q353" s="253"/>
      <c r="R353" s="254"/>
      <c r="S353" s="255"/>
      <c r="T353" s="252"/>
      <c r="U353" s="252"/>
      <c r="V353" s="252"/>
      <c r="W353" s="252"/>
      <c r="X353" s="252"/>
      <c r="Y353" s="252"/>
      <c r="Z353" s="253"/>
      <c r="AA353" s="253"/>
      <c r="AB353" s="253"/>
      <c r="AC353" s="253"/>
      <c r="AD353" s="253"/>
      <c r="AE353" s="253"/>
      <c r="AF353" s="253"/>
      <c r="AG353" s="253"/>
      <c r="AH353" s="252"/>
    </row>
    <row r="354" spans="3:34" x14ac:dyDescent="0.2">
      <c r="C354" s="252"/>
      <c r="D354" s="252"/>
      <c r="E354" s="252"/>
      <c r="F354" s="252"/>
      <c r="G354" s="252"/>
      <c r="H354" s="252"/>
      <c r="I354" s="252"/>
      <c r="J354" s="252"/>
      <c r="K354" s="252"/>
      <c r="L354" s="252"/>
      <c r="M354" s="253"/>
      <c r="N354" s="253"/>
      <c r="O354" s="253"/>
      <c r="P354" s="253"/>
      <c r="Q354" s="253"/>
      <c r="R354" s="254"/>
      <c r="S354" s="255"/>
      <c r="T354" s="252"/>
      <c r="U354" s="252"/>
      <c r="V354" s="252"/>
      <c r="W354" s="252"/>
      <c r="X354" s="252"/>
      <c r="Y354" s="252"/>
      <c r="Z354" s="253"/>
      <c r="AA354" s="253"/>
      <c r="AB354" s="253"/>
      <c r="AC354" s="253"/>
      <c r="AD354" s="253"/>
      <c r="AE354" s="253"/>
      <c r="AF354" s="253"/>
      <c r="AG354" s="253"/>
      <c r="AH354" s="252"/>
    </row>
    <row r="355" spans="3:34" x14ac:dyDescent="0.2">
      <c r="C355" s="252"/>
      <c r="D355" s="252"/>
      <c r="E355" s="252"/>
      <c r="F355" s="252"/>
      <c r="G355" s="252"/>
      <c r="H355" s="252"/>
      <c r="I355" s="252"/>
      <c r="J355" s="252"/>
      <c r="K355" s="252"/>
      <c r="L355" s="252"/>
      <c r="M355" s="253"/>
      <c r="N355" s="253"/>
      <c r="O355" s="253"/>
      <c r="P355" s="253"/>
      <c r="Q355" s="253"/>
      <c r="R355" s="254"/>
      <c r="S355" s="255"/>
      <c r="T355" s="252"/>
      <c r="U355" s="252"/>
      <c r="V355" s="252"/>
      <c r="W355" s="252"/>
      <c r="X355" s="252"/>
      <c r="Y355" s="252"/>
      <c r="Z355" s="253"/>
      <c r="AA355" s="253"/>
      <c r="AB355" s="253"/>
      <c r="AC355" s="253"/>
      <c r="AD355" s="253"/>
      <c r="AE355" s="253"/>
      <c r="AF355" s="253"/>
      <c r="AG355" s="253"/>
      <c r="AH355" s="252"/>
    </row>
    <row r="356" spans="3:34" x14ac:dyDescent="0.2">
      <c r="C356" s="252"/>
      <c r="D356" s="252"/>
      <c r="E356" s="252"/>
      <c r="F356" s="252"/>
      <c r="G356" s="252"/>
      <c r="H356" s="252"/>
      <c r="I356" s="252"/>
      <c r="J356" s="252"/>
      <c r="K356" s="252"/>
      <c r="L356" s="252"/>
      <c r="M356" s="253"/>
      <c r="N356" s="253"/>
      <c r="O356" s="253"/>
      <c r="P356" s="253"/>
      <c r="Q356" s="253"/>
      <c r="R356" s="254"/>
      <c r="S356" s="255"/>
      <c r="T356" s="252"/>
      <c r="U356" s="252"/>
      <c r="V356" s="252"/>
      <c r="W356" s="252"/>
      <c r="X356" s="252"/>
      <c r="Y356" s="252"/>
      <c r="Z356" s="253"/>
      <c r="AA356" s="253"/>
      <c r="AB356" s="253"/>
      <c r="AC356" s="253"/>
      <c r="AD356" s="253"/>
      <c r="AE356" s="253"/>
      <c r="AF356" s="253"/>
      <c r="AG356" s="253"/>
      <c r="AH356" s="252"/>
    </row>
    <row r="357" spans="3:34" x14ac:dyDescent="0.2">
      <c r="C357" s="252"/>
      <c r="D357" s="252"/>
      <c r="E357" s="252"/>
      <c r="F357" s="252"/>
      <c r="G357" s="252"/>
      <c r="H357" s="252"/>
      <c r="I357" s="252"/>
      <c r="J357" s="252"/>
      <c r="K357" s="252"/>
      <c r="L357" s="252"/>
      <c r="M357" s="253"/>
      <c r="N357" s="253"/>
      <c r="O357" s="253"/>
      <c r="P357" s="253"/>
      <c r="Q357" s="253"/>
      <c r="R357" s="254"/>
      <c r="S357" s="255"/>
      <c r="T357" s="252"/>
      <c r="U357" s="252"/>
      <c r="V357" s="252"/>
      <c r="W357" s="252"/>
      <c r="X357" s="252"/>
      <c r="Y357" s="252"/>
      <c r="Z357" s="253"/>
      <c r="AA357" s="253"/>
      <c r="AB357" s="253"/>
      <c r="AC357" s="253"/>
      <c r="AD357" s="253"/>
      <c r="AE357" s="253"/>
      <c r="AF357" s="253"/>
      <c r="AG357" s="253"/>
      <c r="AH357" s="252"/>
    </row>
    <row r="358" spans="3:34" x14ac:dyDescent="0.2">
      <c r="C358" s="252"/>
      <c r="D358" s="252"/>
      <c r="E358" s="252"/>
      <c r="F358" s="252"/>
      <c r="G358" s="252"/>
      <c r="H358" s="252"/>
      <c r="I358" s="252"/>
      <c r="J358" s="252"/>
      <c r="K358" s="252"/>
      <c r="L358" s="252"/>
      <c r="M358" s="253"/>
      <c r="N358" s="253"/>
      <c r="O358" s="253"/>
      <c r="P358" s="253"/>
      <c r="Q358" s="253"/>
      <c r="R358" s="254"/>
      <c r="S358" s="255"/>
      <c r="T358" s="252"/>
      <c r="U358" s="252"/>
      <c r="V358" s="252"/>
      <c r="W358" s="252"/>
      <c r="X358" s="252"/>
      <c r="Y358" s="252"/>
      <c r="Z358" s="253"/>
      <c r="AA358" s="253"/>
      <c r="AB358" s="253"/>
      <c r="AC358" s="253"/>
      <c r="AD358" s="253"/>
      <c r="AE358" s="253"/>
      <c r="AF358" s="253"/>
      <c r="AG358" s="253"/>
      <c r="AH358" s="252"/>
    </row>
    <row r="359" spans="3:34" x14ac:dyDescent="0.2">
      <c r="C359" s="252"/>
      <c r="D359" s="252"/>
      <c r="E359" s="252"/>
      <c r="F359" s="252"/>
      <c r="G359" s="252"/>
      <c r="H359" s="252"/>
      <c r="I359" s="252"/>
      <c r="J359" s="252"/>
      <c r="K359" s="252"/>
      <c r="L359" s="252"/>
      <c r="M359" s="253"/>
      <c r="N359" s="253"/>
      <c r="O359" s="253"/>
      <c r="P359" s="253"/>
      <c r="Q359" s="253"/>
      <c r="R359" s="254"/>
      <c r="S359" s="255"/>
      <c r="T359" s="252"/>
      <c r="U359" s="252"/>
      <c r="V359" s="252"/>
      <c r="W359" s="252"/>
      <c r="X359" s="252"/>
      <c r="Y359" s="252"/>
      <c r="Z359" s="253"/>
      <c r="AA359" s="253"/>
      <c r="AB359" s="253"/>
      <c r="AC359" s="253"/>
      <c r="AD359" s="253"/>
      <c r="AE359" s="253"/>
      <c r="AF359" s="253"/>
      <c r="AG359" s="253"/>
      <c r="AH359" s="252"/>
    </row>
    <row r="360" spans="3:34" x14ac:dyDescent="0.2">
      <c r="C360" s="252"/>
      <c r="D360" s="252"/>
      <c r="E360" s="252"/>
      <c r="F360" s="252"/>
      <c r="G360" s="252"/>
      <c r="H360" s="252"/>
      <c r="I360" s="252"/>
      <c r="J360" s="252"/>
      <c r="K360" s="252"/>
      <c r="L360" s="252"/>
      <c r="M360" s="253"/>
      <c r="N360" s="253"/>
      <c r="O360" s="253"/>
      <c r="P360" s="253"/>
      <c r="Q360" s="253"/>
      <c r="R360" s="254"/>
      <c r="S360" s="255"/>
      <c r="T360" s="252"/>
      <c r="U360" s="252"/>
      <c r="V360" s="252"/>
      <c r="W360" s="252"/>
      <c r="X360" s="252"/>
      <c r="Y360" s="252"/>
      <c r="Z360" s="253"/>
      <c r="AA360" s="253"/>
      <c r="AB360" s="253"/>
      <c r="AC360" s="253"/>
      <c r="AD360" s="253"/>
      <c r="AE360" s="253"/>
      <c r="AF360" s="253"/>
      <c r="AG360" s="253"/>
      <c r="AH360" s="252"/>
    </row>
    <row r="361" spans="3:34" x14ac:dyDescent="0.2">
      <c r="C361" s="252"/>
      <c r="D361" s="252"/>
      <c r="E361" s="252"/>
      <c r="F361" s="252"/>
      <c r="G361" s="252"/>
      <c r="H361" s="252"/>
      <c r="I361" s="252"/>
      <c r="J361" s="252"/>
      <c r="K361" s="252"/>
      <c r="L361" s="252"/>
      <c r="M361" s="253"/>
      <c r="N361" s="253"/>
      <c r="O361" s="253"/>
      <c r="P361" s="253"/>
      <c r="Q361" s="253"/>
      <c r="R361" s="254"/>
      <c r="S361" s="255"/>
      <c r="T361" s="252"/>
      <c r="U361" s="252"/>
      <c r="V361" s="252"/>
      <c r="W361" s="252"/>
      <c r="X361" s="252"/>
      <c r="Y361" s="252"/>
      <c r="Z361" s="253"/>
      <c r="AA361" s="253"/>
      <c r="AB361" s="253"/>
      <c r="AC361" s="253"/>
      <c r="AD361" s="253"/>
      <c r="AE361" s="253"/>
      <c r="AF361" s="253"/>
      <c r="AG361" s="253"/>
      <c r="AH361" s="252"/>
    </row>
    <row r="362" spans="3:34" x14ac:dyDescent="0.2">
      <c r="C362" s="252"/>
      <c r="D362" s="252"/>
      <c r="E362" s="252"/>
      <c r="F362" s="252"/>
      <c r="G362" s="252"/>
      <c r="H362" s="252"/>
      <c r="I362" s="252"/>
      <c r="J362" s="252"/>
      <c r="K362" s="252"/>
      <c r="L362" s="252"/>
      <c r="M362" s="253"/>
      <c r="N362" s="253"/>
      <c r="O362" s="253"/>
      <c r="P362" s="253"/>
      <c r="Q362" s="253"/>
      <c r="R362" s="254"/>
      <c r="S362" s="255"/>
      <c r="T362" s="252"/>
      <c r="U362" s="252"/>
      <c r="V362" s="252"/>
      <c r="W362" s="252"/>
      <c r="X362" s="252"/>
      <c r="Y362" s="252"/>
      <c r="Z362" s="253"/>
      <c r="AA362" s="253"/>
      <c r="AB362" s="253"/>
      <c r="AC362" s="253"/>
      <c r="AD362" s="253"/>
      <c r="AE362" s="253"/>
      <c r="AF362" s="253"/>
      <c r="AG362" s="253"/>
      <c r="AH362" s="252"/>
    </row>
    <row r="363" spans="3:34" x14ac:dyDescent="0.2">
      <c r="C363" s="252"/>
      <c r="D363" s="252"/>
      <c r="E363" s="252"/>
      <c r="F363" s="252"/>
      <c r="G363" s="252"/>
      <c r="H363" s="252"/>
      <c r="I363" s="252"/>
      <c r="J363" s="252"/>
      <c r="K363" s="252"/>
      <c r="L363" s="252"/>
      <c r="M363" s="253"/>
      <c r="N363" s="253"/>
      <c r="O363" s="253"/>
      <c r="P363" s="253"/>
      <c r="Q363" s="253"/>
      <c r="R363" s="254"/>
      <c r="S363" s="255"/>
      <c r="T363" s="252"/>
      <c r="U363" s="252"/>
      <c r="V363" s="252"/>
      <c r="W363" s="252"/>
      <c r="X363" s="252"/>
      <c r="Y363" s="252"/>
      <c r="Z363" s="253"/>
      <c r="AA363" s="253"/>
      <c r="AB363" s="253"/>
      <c r="AC363" s="253"/>
      <c r="AD363" s="253"/>
      <c r="AE363" s="253"/>
      <c r="AF363" s="253"/>
      <c r="AG363" s="253"/>
      <c r="AH363" s="252"/>
    </row>
  </sheetData>
  <sheetProtection formatCells="0" formatColumns="0" formatRows="0" insertColumns="0" insertRows="0" insertHyperlinks="0" deleteColumns="0" deleteRows="0" sort="0" autoFilter="0" pivotTables="0"/>
  <autoFilter ref="A4:AK4"/>
  <mergeCells count="9">
    <mergeCell ref="Z3:AG3"/>
    <mergeCell ref="B61:B68"/>
    <mergeCell ref="G2:K2"/>
    <mergeCell ref="L2:Y2"/>
    <mergeCell ref="C3:G3"/>
    <mergeCell ref="H3:K3"/>
    <mergeCell ref="L3:S3"/>
    <mergeCell ref="T3:V3"/>
    <mergeCell ref="W3:Y3"/>
  </mergeCells>
  <dataValidations count="9">
    <dataValidation type="list" allowBlank="1" showInputMessage="1" showErrorMessage="1" sqref="J61:J68 J31:J36 J56:J59 J15:J25 J38:J54 J28 J5:J7 J9:J13">
      <formula1>$C$77:$C$79</formula1>
    </dataValidation>
    <dataValidation type="list" allowBlank="1" showInputMessage="1" showErrorMessage="1" sqref="J14 J26">
      <formula1>$C$64:$C$67</formula1>
    </dataValidation>
    <dataValidation type="list" allowBlank="1" showInputMessage="1" showErrorMessage="1" sqref="J27">
      <formula1>$C$63:$C$66</formula1>
    </dataValidation>
    <dataValidation type="list" allowBlank="1" showInputMessage="1" showErrorMessage="1" sqref="J55">
      <formula1>$C$62:$C$64</formula1>
    </dataValidation>
    <dataValidation type="list" allowBlank="1" showInputMessage="1" showErrorMessage="1" sqref="J37">
      <formula1>$C$102:$C$104</formula1>
    </dataValidation>
    <dataValidation type="list" allowBlank="1" showInputMessage="1" showErrorMessage="1" sqref="J60">
      <formula1>$C$87:$C$89</formula1>
    </dataValidation>
    <dataValidation type="list" allowBlank="1" showInputMessage="1" showErrorMessage="1" sqref="J29">
      <formula1>$C$80:$C$82</formula1>
    </dataValidation>
    <dataValidation type="list" allowBlank="1" showInputMessage="1" showErrorMessage="1" sqref="J30">
      <formula1>$C$73:$C$75</formula1>
    </dataValidation>
    <dataValidation type="list" allowBlank="1" showInputMessage="1" showErrorMessage="1" sqref="J8">
      <formula1>$C$82:$C$84</formula1>
    </dataValidation>
  </dataValidations>
  <pageMargins left="0.7" right="0.7" top="0.75" bottom="0.75" header="0.3" footer="0.3"/>
  <pageSetup paperSize="9" scale="20"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4"/>
  <sheetViews>
    <sheetView workbookViewId="0">
      <selection activeCell="E5" sqref="E5"/>
    </sheetView>
  </sheetViews>
  <sheetFormatPr defaultRowHeight="15" x14ac:dyDescent="0.25"/>
  <cols>
    <col min="12" max="12" width="16.28515625" customWidth="1"/>
    <col min="14" max="14" width="17.140625" customWidth="1"/>
  </cols>
  <sheetData>
    <row r="2" spans="2:14" x14ac:dyDescent="0.25">
      <c r="E2" t="s">
        <v>294</v>
      </c>
      <c r="H2" t="s">
        <v>291</v>
      </c>
      <c r="L2" t="s">
        <v>253</v>
      </c>
      <c r="N2" t="s">
        <v>257</v>
      </c>
    </row>
    <row r="3" spans="2:14" x14ac:dyDescent="0.25">
      <c r="B3" t="s">
        <v>18</v>
      </c>
      <c r="E3" t="s">
        <v>66</v>
      </c>
      <c r="H3" t="s">
        <v>292</v>
      </c>
      <c r="L3" t="s">
        <v>254</v>
      </c>
      <c r="N3" t="s">
        <v>258</v>
      </c>
    </row>
    <row r="4" spans="2:14" x14ac:dyDescent="0.25">
      <c r="B4" t="s">
        <v>19</v>
      </c>
      <c r="E4" t="s">
        <v>293</v>
      </c>
      <c r="H4" t="s">
        <v>89</v>
      </c>
      <c r="L4" t="s">
        <v>289</v>
      </c>
      <c r="N4" t="s">
        <v>259</v>
      </c>
    </row>
    <row r="5" spans="2:14" x14ac:dyDescent="0.25">
      <c r="B5" t="s">
        <v>21</v>
      </c>
      <c r="E5" t="s">
        <v>65</v>
      </c>
      <c r="H5" t="s">
        <v>290</v>
      </c>
      <c r="L5" t="s">
        <v>255</v>
      </c>
      <c r="N5" t="s">
        <v>260</v>
      </c>
    </row>
    <row r="6" spans="2:14" x14ac:dyDescent="0.25">
      <c r="B6" t="s">
        <v>20</v>
      </c>
      <c r="N6" t="s">
        <v>261</v>
      </c>
    </row>
    <row r="7" spans="2:14" x14ac:dyDescent="0.25">
      <c r="N7" t="s">
        <v>266</v>
      </c>
    </row>
    <row r="8" spans="2:14" x14ac:dyDescent="0.25">
      <c r="B8" t="s">
        <v>449</v>
      </c>
      <c r="N8" t="s">
        <v>267</v>
      </c>
    </row>
    <row r="9" spans="2:14" x14ac:dyDescent="0.25">
      <c r="B9" t="s">
        <v>460</v>
      </c>
      <c r="N9" t="s">
        <v>268</v>
      </c>
    </row>
    <row r="10" spans="2:14" x14ac:dyDescent="0.25">
      <c r="B10" t="s">
        <v>450</v>
      </c>
      <c r="N10" t="s">
        <v>269</v>
      </c>
    </row>
    <row r="11" spans="2:14" x14ac:dyDescent="0.25">
      <c r="E11" s="10" t="e">
        <f>DATE+DATE(2013,1,1)</f>
        <v>#NAME?</v>
      </c>
      <c r="N11" t="s">
        <v>314</v>
      </c>
    </row>
    <row r="13" spans="2:14" x14ac:dyDescent="0.25">
      <c r="B13" t="s">
        <v>214</v>
      </c>
    </row>
    <row r="14" spans="2:14" x14ac:dyDescent="0.25">
      <c r="B14" t="s">
        <v>222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Guide</vt:lpstr>
      <vt:lpstr>Snapshot</vt:lpstr>
      <vt:lpstr>SituationAnalysis</vt:lpstr>
      <vt:lpstr>Funds analysis</vt:lpstr>
      <vt:lpstr>Cluster indicator</vt:lpstr>
      <vt:lpstr>UNICEF</vt:lpstr>
      <vt:lpstr>Database</vt:lpstr>
      <vt:lpstr>Agency funds received</vt:lpstr>
      <vt:lpstr>List</vt:lpstr>
      <vt:lpstr>'Agency funds received'!List</vt:lpstr>
      <vt:lpstr>Database!Print_Area</vt:lpstr>
      <vt:lpstr>Snapshot!Print_Area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MSB</dc:creator>
  <cp:lastModifiedBy>UNHCRuser</cp:lastModifiedBy>
  <cp:lastPrinted>2015-08-24T06:15:42Z</cp:lastPrinted>
  <dcterms:created xsi:type="dcterms:W3CDTF">2012-10-21T05:17:59Z</dcterms:created>
  <dcterms:modified xsi:type="dcterms:W3CDTF">2015-08-24T10:29:41Z</dcterms:modified>
</cp:coreProperties>
</file>