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drawings/drawing4.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Override PartName="/xl/charts/colors10.xml" ContentType="application/vnd.ms-office.chartcolorstyle+xml"/>
  <Override PartName="/xl/charts/style10.xml" ContentType="application/vnd.ms-office.chartstyle+xml"/>
  <Override PartName="/xl/charts/colors11.xml" ContentType="application/vnd.ms-office.chartcolorstyle+xml"/>
  <Override PartName="/xl/charts/style11.xml" ContentType="application/vnd.ms-office.chartstyle+xml"/>
  <Override PartName="/xl/charts/colors12.xml" ContentType="application/vnd.ms-office.chartcolorstyle+xml"/>
  <Override PartName="/xl/charts/style12.xml" ContentType="application/vnd.ms-office.chartstyle+xml"/>
  <Override PartName="/xl/charts/colors13.xml" ContentType="application/vnd.ms-office.chartcolorstyle+xml"/>
  <Override PartName="/xl/charts/style13.xml" ContentType="application/vnd.ms-office.chartstyle+xml"/>
  <Override PartName="/xl/charts/colors14.xml" ContentType="application/vnd.ms-office.chartcolorstyle+xml"/>
  <Override PartName="/xl/charts/style14.xml" ContentType="application/vnd.ms-office.chartstyle+xml"/>
  <Override PartName="/xl/charts/colors15.xml" ContentType="application/vnd.ms-office.chartcolorstyle+xml"/>
  <Override PartName="/xl/charts/style15.xml" ContentType="application/vnd.ms-office.chart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colors20.xml" ContentType="application/vnd.ms-office.chartcolorstyle+xml"/>
  <Override PartName="/xl/charts/style20.xml" ContentType="application/vnd.ms-office.chartstyle+xml"/>
  <Override PartName="/xl/charts/colors21.xml" ContentType="application/vnd.ms-office.chartcolorstyle+xml"/>
  <Override PartName="/xl/charts/style21.xml" ContentType="application/vnd.ms-office.chartstyle+xml"/>
  <Override PartName="/xl/charts/colors22.xml" ContentType="application/vnd.ms-office.chartcolorstyle+xml"/>
  <Override PartName="/xl/charts/style22.xml" ContentType="application/vnd.ms-office.chart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colors25.xml" ContentType="application/vnd.ms-office.chartcolorstyle+xml"/>
  <Override PartName="/xl/charts/style25.xml" ContentType="application/vnd.ms-office.chartstyle+xml"/>
  <Override PartName="/xl/charts/colors26.xml" ContentType="application/vnd.ms-office.chartcolorstyle+xml"/>
  <Override PartName="/xl/charts/style26.xml" ContentType="application/vnd.ms-office.chartstyle+xml"/>
  <Override PartName="/xl/charts/colors27.xml" ContentType="application/vnd.ms-office.chartcolorstyle+xml"/>
  <Override PartName="/xl/charts/style27.xml" ContentType="application/vnd.ms-office.chartstyle+xml"/>
  <Override PartName="/xl/charts/colors28.xml" ContentType="application/vnd.ms-office.chartcolorstyle+xml"/>
  <Override PartName="/xl/charts/style28.xml" ContentType="application/vnd.ms-office.chartstyle+xml"/>
  <Override PartName="/xl/charts/colors29.xml" ContentType="application/vnd.ms-office.chartcolorstyle+xml"/>
  <Override PartName="/xl/charts/style29.xml" ContentType="application/vnd.ms-office.chartstyle+xml"/>
  <Override PartName="/xl/charts/colors30.xml" ContentType="application/vnd.ms-office.chartcolorstyle+xml"/>
  <Override PartName="/xl/charts/style30.xml" ContentType="application/vnd.ms-office.chartstyle+xml"/>
  <Override PartName="/xl/charts/colors31.xml" ContentType="application/vnd.ms-office.chartcolorstyle+xml"/>
  <Override PartName="/xl/charts/style31.xml" ContentType="application/vnd.ms-office.chartstyle+xml"/>
  <Override PartName="/xl/charts/colors32.xml" ContentType="application/vnd.ms-office.chartcolorstyle+xml"/>
  <Override PartName="/xl/charts/style32.xml" ContentType="application/vnd.ms-office.chartstyle+xml"/>
  <Override PartName="/xl/charts/colors33.xml" ContentType="application/vnd.ms-office.chartcolorstyle+xml"/>
  <Override PartName="/xl/charts/style33.xml" ContentType="application/vnd.ms-office.chartstyle+xml"/>
  <Override PartName="/xl/charts/colors34.xml" ContentType="application/vnd.ms-office.chartcolorstyle+xml"/>
  <Override PartName="/xl/charts/style34.xml" ContentType="application/vnd.ms-office.chartstyle+xml"/>
  <Override PartName="/xl/charts/colors35.xml" ContentType="application/vnd.ms-office.chartcolorstyle+xml"/>
  <Override PartName="/xl/charts/style35.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updateLinks="never" hidePivotFieldList="1" defaultThemeVersion="124226"/>
  <bookViews>
    <workbookView xWindow="10065" yWindow="105" windowWidth="5535" windowHeight="2850" tabRatio="813" firstSheet="1" activeTab="1"/>
  </bookViews>
  <sheets>
    <sheet name="Guide" sheetId="39" state="hidden" r:id="rId1"/>
    <sheet name="Snapshot" sheetId="64" r:id="rId2"/>
    <sheet name="SituationAnalysis" sheetId="40" r:id="rId3"/>
    <sheet name="Funds analysis" sheetId="55" r:id="rId4"/>
    <sheet name="Cluster indicator" sheetId="57" r:id="rId5"/>
    <sheet name="Database" sheetId="58" r:id="rId6"/>
    <sheet name="Agency funds received" sheetId="63" r:id="rId7"/>
    <sheet name="List" sheetId="54" state="hidden" r:id="rId8"/>
  </sheets>
  <externalReferences>
    <externalReference r:id="rId9"/>
  </externalReferences>
  <definedNames>
    <definedName name="_xlnm._FilterDatabase" localSheetId="6" hidden="1">'Agency funds received'!$C$4:$H$62</definedName>
    <definedName name="_xlnm._FilterDatabase" localSheetId="5" hidden="1">Database!$B$4:$CH$4</definedName>
    <definedName name="aa" localSheetId="4">#REF!</definedName>
    <definedName name="aa">[1]List!$B$3:$B$6</definedName>
    <definedName name="List" localSheetId="6">'Agency funds received'!$C$70:$C$73</definedName>
    <definedName name="List">#REF!</definedName>
    <definedName name="_xlnm.Print_Area" localSheetId="5">Database!$B$4:$CH$4</definedName>
    <definedName name="_xlnm.Print_Area" localSheetId="1">Snapshot!$A$1:$O$39</definedName>
  </definedNames>
  <calcPr calcId="152511"/>
  <pivotCaches>
    <pivotCache cacheId="0" r:id="rId10"/>
    <pivotCache cacheId="1" r:id="rId11"/>
  </pivotCaches>
</workbook>
</file>

<file path=xl/calcChain.xml><?xml version="1.0" encoding="utf-8"?>
<calcChain xmlns="http://schemas.openxmlformats.org/spreadsheetml/2006/main">
  <c r="E11" i="57" l="1"/>
  <c r="E9" i="57"/>
  <c r="E8" i="57"/>
  <c r="E7" i="57"/>
  <c r="D9" i="57"/>
  <c r="D8" i="57"/>
  <c r="D7" i="57"/>
  <c r="K59" i="63" l="1"/>
  <c r="K38" i="63" l="1"/>
  <c r="AC35" i="63"/>
  <c r="AB35" i="63" s="1"/>
  <c r="AA35" i="63" s="1"/>
  <c r="N35" i="63"/>
  <c r="AC59" i="63"/>
  <c r="AB59" i="63" s="1"/>
  <c r="AA59" i="63" s="1"/>
  <c r="J3" i="58" l="1"/>
  <c r="E3" i="58"/>
  <c r="CE180" i="58"/>
  <c r="CC180" i="58"/>
  <c r="BW180" i="58"/>
  <c r="BX180" i="58" s="1"/>
  <c r="BY180" i="58" s="1"/>
  <c r="BZ180" i="58"/>
  <c r="BT179" i="58"/>
  <c r="BT180" i="58"/>
  <c r="BO180" i="58"/>
  <c r="BP180" i="58"/>
  <c r="BM180" i="58"/>
  <c r="BI180" i="58"/>
  <c r="BJ180" i="58" s="1"/>
  <c r="BK180" i="58"/>
  <c r="BE180" i="58"/>
  <c r="BF180" i="58"/>
  <c r="BB180" i="58"/>
  <c r="AW180" i="58"/>
  <c r="AX180" i="58" s="1"/>
  <c r="BA180" i="58"/>
  <c r="AQ6" i="58"/>
  <c r="AQ7" i="58"/>
  <c r="AQ8" i="58"/>
  <c r="AQ9" i="58"/>
  <c r="AQ10" i="58"/>
  <c r="AQ11" i="58"/>
  <c r="AQ12" i="58"/>
  <c r="AQ13" i="58"/>
  <c r="AQ14" i="58"/>
  <c r="AQ15" i="58"/>
  <c r="AQ16" i="58"/>
  <c r="AQ17" i="58"/>
  <c r="AQ18" i="58"/>
  <c r="AQ19" i="58"/>
  <c r="AQ20" i="58"/>
  <c r="AQ21" i="58"/>
  <c r="AQ22" i="58"/>
  <c r="AQ23" i="58"/>
  <c r="AQ24" i="58"/>
  <c r="AQ25" i="58"/>
  <c r="AQ26" i="58"/>
  <c r="AQ27" i="58"/>
  <c r="AQ28" i="58"/>
  <c r="AQ29" i="58"/>
  <c r="AQ30" i="58"/>
  <c r="AQ31" i="58"/>
  <c r="AQ32" i="58"/>
  <c r="AQ33" i="58"/>
  <c r="AQ34" i="58"/>
  <c r="AQ35" i="58"/>
  <c r="AQ36" i="58"/>
  <c r="AQ37" i="58"/>
  <c r="AQ38" i="58"/>
  <c r="AQ39" i="58"/>
  <c r="AQ40" i="58"/>
  <c r="AQ41" i="58"/>
  <c r="AQ42" i="58"/>
  <c r="AQ43" i="58"/>
  <c r="AQ44" i="58"/>
  <c r="AQ45" i="58"/>
  <c r="AQ46" i="58"/>
  <c r="AQ47" i="58"/>
  <c r="AQ48" i="58"/>
  <c r="AQ49" i="58"/>
  <c r="AQ50" i="58"/>
  <c r="AQ51" i="58"/>
  <c r="AQ52" i="58"/>
  <c r="AQ53" i="58"/>
  <c r="AQ54" i="58"/>
  <c r="AQ55" i="58"/>
  <c r="AQ56" i="58"/>
  <c r="AQ57" i="58"/>
  <c r="AQ58" i="58"/>
  <c r="AQ59" i="58"/>
  <c r="AQ60" i="58"/>
  <c r="AQ61" i="58"/>
  <c r="AQ62" i="58"/>
  <c r="AQ63" i="58"/>
  <c r="AQ64" i="58"/>
  <c r="AQ65" i="58"/>
  <c r="AQ66" i="58"/>
  <c r="AQ67" i="58"/>
  <c r="AQ68" i="58"/>
  <c r="AQ69" i="58"/>
  <c r="AQ70" i="58"/>
  <c r="AQ71" i="58"/>
  <c r="AQ72" i="58"/>
  <c r="AQ73" i="58"/>
  <c r="AQ74" i="58"/>
  <c r="AQ75" i="58"/>
  <c r="AQ76" i="58"/>
  <c r="AQ77" i="58"/>
  <c r="AQ78" i="58"/>
  <c r="AQ79" i="58"/>
  <c r="AQ80" i="58"/>
  <c r="AQ81" i="58"/>
  <c r="AQ82" i="58"/>
  <c r="AQ83" i="58"/>
  <c r="AQ84" i="58"/>
  <c r="AQ85" i="58"/>
  <c r="AQ86" i="58"/>
  <c r="AQ87" i="58"/>
  <c r="AQ88" i="58"/>
  <c r="AQ89" i="58"/>
  <c r="AQ90" i="58"/>
  <c r="AQ91" i="58"/>
  <c r="AQ92" i="58"/>
  <c r="AQ93" i="58"/>
  <c r="AQ94" i="58"/>
  <c r="AQ95" i="58"/>
  <c r="AQ96" i="58"/>
  <c r="AQ97" i="58"/>
  <c r="AQ98" i="58"/>
  <c r="AQ99" i="58"/>
  <c r="AQ100" i="58"/>
  <c r="AQ101" i="58"/>
  <c r="AQ102" i="58"/>
  <c r="AQ103" i="58"/>
  <c r="AQ104" i="58"/>
  <c r="AQ105" i="58"/>
  <c r="AQ106" i="58"/>
  <c r="AQ107" i="58"/>
  <c r="AQ108" i="58"/>
  <c r="AQ109" i="58"/>
  <c r="AQ110" i="58"/>
  <c r="AQ111" i="58"/>
  <c r="AQ112" i="58"/>
  <c r="AQ113" i="58"/>
  <c r="AQ114" i="58"/>
  <c r="AQ115" i="58"/>
  <c r="AQ116" i="58"/>
  <c r="AQ117" i="58"/>
  <c r="AQ118" i="58"/>
  <c r="AQ119" i="58"/>
  <c r="AQ120" i="58"/>
  <c r="AQ121" i="58"/>
  <c r="AQ122" i="58"/>
  <c r="AQ123" i="58"/>
  <c r="AQ124" i="58"/>
  <c r="AQ125" i="58"/>
  <c r="AQ126" i="58"/>
  <c r="AQ127" i="58"/>
  <c r="AQ128" i="58"/>
  <c r="AQ129" i="58"/>
  <c r="AQ130" i="58"/>
  <c r="AQ131" i="58"/>
  <c r="AQ132" i="58"/>
  <c r="AQ133" i="58"/>
  <c r="AQ134" i="58"/>
  <c r="AQ135" i="58"/>
  <c r="AQ136" i="58"/>
  <c r="AQ137" i="58"/>
  <c r="AQ138" i="58"/>
  <c r="AQ139" i="58"/>
  <c r="AQ140" i="58"/>
  <c r="AQ141" i="58"/>
  <c r="AQ142" i="58"/>
  <c r="AQ143" i="58"/>
  <c r="AQ144" i="58"/>
  <c r="AQ145" i="58"/>
  <c r="AQ146" i="58"/>
  <c r="AQ147" i="58"/>
  <c r="AQ148" i="58"/>
  <c r="AQ149" i="58"/>
  <c r="AQ150" i="58"/>
  <c r="AQ151" i="58"/>
  <c r="AQ152" i="58"/>
  <c r="AQ153" i="58"/>
  <c r="AQ154" i="58"/>
  <c r="AQ155" i="58"/>
  <c r="AQ156" i="58"/>
  <c r="AQ157" i="58"/>
  <c r="AQ158" i="58"/>
  <c r="AQ159" i="58"/>
  <c r="AQ160" i="58"/>
  <c r="AQ161" i="58"/>
  <c r="AQ162" i="58"/>
  <c r="AQ163" i="58"/>
  <c r="AQ164" i="58"/>
  <c r="AQ165" i="58"/>
  <c r="AQ166" i="58"/>
  <c r="AQ167" i="58"/>
  <c r="AQ168" i="58"/>
  <c r="AQ169" i="58"/>
  <c r="AQ170" i="58"/>
  <c r="AQ171" i="58"/>
  <c r="AQ172" i="58"/>
  <c r="AQ173" i="58"/>
  <c r="AQ174" i="58"/>
  <c r="AQ175" i="58"/>
  <c r="AQ176" i="58"/>
  <c r="AQ177" i="58"/>
  <c r="AQ178" i="58"/>
  <c r="AQ179" i="58"/>
  <c r="AQ180" i="58"/>
  <c r="AD180" i="58"/>
  <c r="AE180" i="58" s="1"/>
  <c r="AF180" i="58"/>
  <c r="AG180" i="58"/>
  <c r="AH180" i="58"/>
  <c r="AI180" i="58" s="1"/>
  <c r="AC117" i="58"/>
  <c r="U180" i="58"/>
  <c r="P180" i="58"/>
  <c r="M180" i="58"/>
  <c r="AY180" i="58" l="1"/>
  <c r="AZ180" i="58" s="1"/>
  <c r="AK180" i="58"/>
  <c r="AJ180" i="58"/>
  <c r="AC39" i="63" l="1"/>
  <c r="AB39" i="63" s="1"/>
  <c r="AA39" i="63" s="1"/>
  <c r="K39" i="63"/>
  <c r="AC38" i="63"/>
  <c r="AB38" i="63" s="1"/>
  <c r="AA38" i="63" s="1"/>
  <c r="K52" i="63" l="1"/>
  <c r="K53" i="63"/>
  <c r="K54" i="63"/>
  <c r="K40" i="63"/>
  <c r="N53" i="63" l="1"/>
  <c r="AC52" i="63"/>
  <c r="AB52" i="63" s="1"/>
  <c r="AA52" i="63" s="1"/>
  <c r="AC53" i="63"/>
  <c r="AB53" i="63" s="1"/>
  <c r="AA53" i="63" s="1"/>
  <c r="P176" i="58" l="1"/>
  <c r="P175" i="58"/>
  <c r="P174" i="58"/>
  <c r="P179" i="58"/>
  <c r="P178" i="58"/>
  <c r="P173" i="58"/>
  <c r="P172" i="58"/>
  <c r="P171" i="58"/>
  <c r="P170" i="58"/>
  <c r="P169" i="58"/>
  <c r="P168" i="58"/>
  <c r="P167" i="58"/>
  <c r="P166" i="58"/>
  <c r="P165" i="58"/>
  <c r="P164" i="58"/>
  <c r="P163" i="58"/>
  <c r="P162" i="58"/>
  <c r="P161" i="58"/>
  <c r="P160" i="58"/>
  <c r="P159" i="58"/>
  <c r="P158" i="58"/>
  <c r="P157" i="58"/>
  <c r="P156" i="58"/>
  <c r="P155" i="58"/>
  <c r="P154" i="58"/>
  <c r="P153" i="58"/>
  <c r="P152" i="58"/>
  <c r="P151" i="58"/>
  <c r="P150" i="58"/>
  <c r="P149" i="58"/>
  <c r="P148" i="58"/>
  <c r="P147" i="58"/>
  <c r="P146" i="58"/>
  <c r="P145" i="58"/>
  <c r="P144" i="58"/>
  <c r="P143" i="58"/>
  <c r="P142" i="58"/>
  <c r="P141" i="58"/>
  <c r="P140" i="58"/>
  <c r="P139" i="58"/>
  <c r="P138" i="58"/>
  <c r="P137" i="58"/>
  <c r="P136" i="58"/>
  <c r="P135" i="58"/>
  <c r="P134" i="58"/>
  <c r="P133" i="58"/>
  <c r="P132" i="58"/>
  <c r="P131" i="58"/>
  <c r="P130" i="58"/>
  <c r="P129" i="58"/>
  <c r="P128" i="58"/>
  <c r="P127" i="58"/>
  <c r="P126" i="58"/>
  <c r="P125" i="58"/>
  <c r="P124" i="58"/>
  <c r="P123" i="58"/>
  <c r="P122" i="58"/>
  <c r="P121" i="58"/>
  <c r="P120" i="58"/>
  <c r="P119" i="58"/>
  <c r="P118" i="58"/>
  <c r="P117" i="58"/>
  <c r="P116" i="58"/>
  <c r="P115" i="58"/>
  <c r="P114" i="58"/>
  <c r="P113" i="58"/>
  <c r="P112" i="58"/>
  <c r="P111" i="58"/>
  <c r="P110" i="58"/>
  <c r="P109" i="58"/>
  <c r="P108" i="58"/>
  <c r="P107" i="58"/>
  <c r="P106" i="58"/>
  <c r="P105" i="58"/>
  <c r="P104" i="58"/>
  <c r="P103" i="58"/>
  <c r="P102" i="58"/>
  <c r="P101" i="58"/>
  <c r="P100" i="58"/>
  <c r="P99" i="58"/>
  <c r="P98" i="58"/>
  <c r="P97" i="58"/>
  <c r="P96" i="58"/>
  <c r="P95" i="58"/>
  <c r="P94" i="58"/>
  <c r="P93" i="58"/>
  <c r="P92" i="58"/>
  <c r="P91" i="58"/>
  <c r="P90" i="58"/>
  <c r="P89" i="58"/>
  <c r="P88" i="58"/>
  <c r="P87" i="58"/>
  <c r="P86" i="58"/>
  <c r="P85" i="58"/>
  <c r="P84" i="58"/>
  <c r="P83" i="58"/>
  <c r="P82" i="58"/>
  <c r="P81" i="58"/>
  <c r="P80" i="58"/>
  <c r="P79" i="58"/>
  <c r="P78" i="58"/>
  <c r="P77" i="58"/>
  <c r="P76" i="58"/>
  <c r="P75" i="58"/>
  <c r="P74" i="58"/>
  <c r="P73" i="58"/>
  <c r="P72" i="58"/>
  <c r="P71" i="58"/>
  <c r="P70" i="58"/>
  <c r="P69" i="58"/>
  <c r="P68" i="58"/>
  <c r="P67" i="58"/>
  <c r="P66" i="58"/>
  <c r="P65" i="58"/>
  <c r="P64" i="58"/>
  <c r="P63" i="58"/>
  <c r="P62" i="58"/>
  <c r="P61" i="58"/>
  <c r="P60" i="58"/>
  <c r="P59" i="58"/>
  <c r="P58" i="58"/>
  <c r="P57" i="58"/>
  <c r="P56" i="58"/>
  <c r="P55" i="58"/>
  <c r="P54" i="58"/>
  <c r="P53" i="58"/>
  <c r="P52" i="58"/>
  <c r="P51" i="58"/>
  <c r="P50" i="58"/>
  <c r="P49" i="58"/>
  <c r="P48" i="58"/>
  <c r="P47" i="58"/>
  <c r="P46" i="58"/>
  <c r="P45" i="58"/>
  <c r="P44" i="58"/>
  <c r="P43" i="58"/>
  <c r="P42" i="58"/>
  <c r="P41" i="58"/>
  <c r="P40" i="58"/>
  <c r="P39" i="58"/>
  <c r="P38" i="58"/>
  <c r="P37" i="58"/>
  <c r="P36" i="58"/>
  <c r="P35" i="58"/>
  <c r="P34" i="58"/>
  <c r="P33" i="58"/>
  <c r="P32" i="58"/>
  <c r="P31" i="58"/>
  <c r="P30" i="58"/>
  <c r="P29" i="58"/>
  <c r="P28" i="58"/>
  <c r="P27" i="58"/>
  <c r="P26" i="58"/>
  <c r="P25" i="58"/>
  <c r="P24" i="58"/>
  <c r="P23" i="58"/>
  <c r="P22" i="58"/>
  <c r="P21" i="58"/>
  <c r="P20" i="58"/>
  <c r="P19" i="58"/>
  <c r="P18" i="58"/>
  <c r="P17" i="58"/>
  <c r="P16" i="58"/>
  <c r="P15" i="58"/>
  <c r="P14" i="58"/>
  <c r="P13" i="58"/>
  <c r="P12" i="58"/>
  <c r="P11" i="58"/>
  <c r="P10" i="58"/>
  <c r="P9" i="58"/>
  <c r="P8" i="58"/>
  <c r="P7" i="58"/>
  <c r="P6" i="58"/>
  <c r="P5" i="58"/>
  <c r="L3" i="58"/>
  <c r="K3" i="58"/>
  <c r="M177" i="58"/>
  <c r="U177" i="58"/>
  <c r="AD177" i="58"/>
  <c r="AE177" i="58" s="1"/>
  <c r="AF177" i="58"/>
  <c r="AG177" i="58" s="1"/>
  <c r="AM177" i="58"/>
  <c r="AN177" i="58"/>
  <c r="AO177" i="58"/>
  <c r="AW177" i="58"/>
  <c r="AX177" i="58" s="1"/>
  <c r="BA177" i="58"/>
  <c r="BB177" i="58" s="1"/>
  <c r="BE177" i="58"/>
  <c r="BF177" i="58"/>
  <c r="BI177" i="58"/>
  <c r="BJ177" i="58" s="1"/>
  <c r="BK177" i="58"/>
  <c r="BO177" i="58"/>
  <c r="BP177" i="58"/>
  <c r="BT177" i="58"/>
  <c r="BW177" i="58" s="1"/>
  <c r="BX177" i="58" s="1"/>
  <c r="BY177" i="58" s="1"/>
  <c r="BZ177" i="58"/>
  <c r="CE177" i="58"/>
  <c r="AY177" i="58" l="1"/>
  <c r="AZ177" i="58" s="1"/>
  <c r="AH177" i="58"/>
  <c r="AI177" i="58" s="1"/>
  <c r="AK177" i="58"/>
  <c r="AL177" i="58" s="1"/>
  <c r="AJ177" i="58"/>
  <c r="BT174" i="58"/>
  <c r="BT175" i="58"/>
  <c r="BT176" i="58"/>
  <c r="CE174" i="58" l="1"/>
  <c r="CE175" i="58"/>
  <c r="CE176" i="58"/>
  <c r="CC174" i="58"/>
  <c r="CC175" i="58"/>
  <c r="CC176" i="58"/>
  <c r="BW174" i="58"/>
  <c r="BX174" i="58" s="1"/>
  <c r="BY174" i="58" s="1"/>
  <c r="BZ174" i="58"/>
  <c r="BW175" i="58"/>
  <c r="BX175" i="58" s="1"/>
  <c r="BY175" i="58" s="1"/>
  <c r="BZ175" i="58"/>
  <c r="BW176" i="58"/>
  <c r="BX176" i="58" s="1"/>
  <c r="BY176" i="58" s="1"/>
  <c r="BZ176" i="58"/>
  <c r="BO174" i="58"/>
  <c r="BP174" i="58"/>
  <c r="BO175" i="58"/>
  <c r="BP175" i="58"/>
  <c r="BO176" i="58"/>
  <c r="BP176" i="58"/>
  <c r="BM174" i="58"/>
  <c r="BM175" i="58"/>
  <c r="BM176" i="58"/>
  <c r="BI174" i="58"/>
  <c r="BJ174" i="58" s="1"/>
  <c r="BK174" i="58"/>
  <c r="BI175" i="58"/>
  <c r="BJ175" i="58" s="1"/>
  <c r="BK175" i="58"/>
  <c r="BI176" i="58"/>
  <c r="BJ176" i="58" s="1"/>
  <c r="BK176" i="58"/>
  <c r="BE174" i="58"/>
  <c r="BF174" i="58"/>
  <c r="BE175" i="58"/>
  <c r="BF175" i="58"/>
  <c r="BE176" i="58"/>
  <c r="BF176" i="58"/>
  <c r="AW174" i="58"/>
  <c r="AX174" i="58" s="1"/>
  <c r="BA174" i="58"/>
  <c r="BB174" i="58" s="1"/>
  <c r="AW175" i="58"/>
  <c r="AX175" i="58" s="1"/>
  <c r="BA175" i="58"/>
  <c r="BB175" i="58" s="1"/>
  <c r="AW176" i="58"/>
  <c r="AX176" i="58" s="1"/>
  <c r="BA176" i="58"/>
  <c r="BB176" i="58" s="1"/>
  <c r="AD174" i="58"/>
  <c r="AE174" i="58" s="1"/>
  <c r="AF174" i="58"/>
  <c r="AG174" i="58" s="1"/>
  <c r="AM174" i="58"/>
  <c r="AN174" i="58"/>
  <c r="AO174" i="58"/>
  <c r="AD175" i="58"/>
  <c r="AE175" i="58" s="1"/>
  <c r="AF175" i="58"/>
  <c r="AG175" i="58" s="1"/>
  <c r="AM175" i="58"/>
  <c r="AN175" i="58"/>
  <c r="AO175" i="58"/>
  <c r="AD176" i="58"/>
  <c r="AE176" i="58" s="1"/>
  <c r="AF176" i="58"/>
  <c r="AG176" i="58" s="1"/>
  <c r="AM176" i="58"/>
  <c r="AN176" i="58"/>
  <c r="AO176" i="58"/>
  <c r="U174" i="58"/>
  <c r="U175" i="58"/>
  <c r="U176" i="58"/>
  <c r="M174" i="58"/>
  <c r="M175" i="58"/>
  <c r="M176" i="58"/>
  <c r="AY174" i="58" l="1"/>
  <c r="AZ174" i="58" s="1"/>
  <c r="AH175" i="58"/>
  <c r="AI175" i="58" s="1"/>
  <c r="AY176" i="58"/>
  <c r="AZ176" i="58" s="1"/>
  <c r="AH176" i="58"/>
  <c r="AI176" i="58" s="1"/>
  <c r="AH174" i="58"/>
  <c r="AI174" i="58" s="1"/>
  <c r="AY175" i="58"/>
  <c r="AZ175" i="58" s="1"/>
  <c r="AK176" i="58"/>
  <c r="AL176" i="58" s="1"/>
  <c r="AK175" i="58"/>
  <c r="AL175" i="58" s="1"/>
  <c r="AK174" i="58"/>
  <c r="AL174" i="58" s="1"/>
  <c r="AJ176" i="58"/>
  <c r="AJ175" i="58"/>
  <c r="AJ174" i="58"/>
  <c r="AQ5" i="58" l="1"/>
  <c r="AD5" i="58"/>
  <c r="AJ5" i="58" s="1"/>
  <c r="AF5" i="58"/>
  <c r="AG5" i="58" s="1"/>
  <c r="AM5" i="58"/>
  <c r="AN5" i="58"/>
  <c r="AO5" i="58"/>
  <c r="AD6" i="58"/>
  <c r="AF6" i="58"/>
  <c r="AG6" i="58" s="1"/>
  <c r="AM6" i="58"/>
  <c r="AN6" i="58"/>
  <c r="AO6" i="58"/>
  <c r="AD7" i="58"/>
  <c r="AH7" i="58" s="1"/>
  <c r="AI7" i="58" s="1"/>
  <c r="AF7" i="58"/>
  <c r="AG7" i="58" s="1"/>
  <c r="AM7" i="58"/>
  <c r="AN7" i="58"/>
  <c r="AO7" i="58"/>
  <c r="AD8" i="58"/>
  <c r="AF8" i="58"/>
  <c r="AG8" i="58" s="1"/>
  <c r="AM8" i="58"/>
  <c r="AN8" i="58"/>
  <c r="AO8" i="58"/>
  <c r="AD9" i="58"/>
  <c r="AJ9" i="58" s="1"/>
  <c r="AF9" i="58"/>
  <c r="AG9" i="58" s="1"/>
  <c r="AM9" i="58"/>
  <c r="AN9" i="58"/>
  <c r="AO9" i="58"/>
  <c r="AD10" i="58"/>
  <c r="AF10" i="58"/>
  <c r="AG10" i="58" s="1"/>
  <c r="AM10" i="58"/>
  <c r="AN10" i="58"/>
  <c r="AO10" i="58"/>
  <c r="AD11" i="58"/>
  <c r="AH11" i="58" s="1"/>
  <c r="AI11" i="58" s="1"/>
  <c r="AF11" i="58"/>
  <c r="AG11" i="58" s="1"/>
  <c r="AM11" i="58"/>
  <c r="AN11" i="58"/>
  <c r="AO11" i="58"/>
  <c r="AD12" i="58"/>
  <c r="AF12" i="58"/>
  <c r="AG12" i="58" s="1"/>
  <c r="AM12" i="58"/>
  <c r="AN12" i="58"/>
  <c r="AO12" i="58"/>
  <c r="AD13" i="58"/>
  <c r="AJ13" i="58" s="1"/>
  <c r="AF13" i="58"/>
  <c r="AG13" i="58" s="1"/>
  <c r="AM13" i="58"/>
  <c r="AN13" i="58"/>
  <c r="AO13" i="58"/>
  <c r="AD14" i="58"/>
  <c r="AF14" i="58"/>
  <c r="AG14" i="58" s="1"/>
  <c r="AM14" i="58"/>
  <c r="AN14" i="58"/>
  <c r="AO14" i="58"/>
  <c r="AD15" i="58"/>
  <c r="AH15" i="58" s="1"/>
  <c r="AI15" i="58" s="1"/>
  <c r="AF15" i="58"/>
  <c r="AG15" i="58" s="1"/>
  <c r="AM15" i="58"/>
  <c r="AN15" i="58"/>
  <c r="AO15" i="58"/>
  <c r="AD16" i="58"/>
  <c r="AF16" i="58"/>
  <c r="AM16" i="58"/>
  <c r="AN16" i="58"/>
  <c r="AO16" i="58"/>
  <c r="AD17" i="58"/>
  <c r="AJ17" i="58" s="1"/>
  <c r="AF17" i="58"/>
  <c r="AG17" i="58" s="1"/>
  <c r="AM17" i="58"/>
  <c r="AN17" i="58"/>
  <c r="AO17" i="58"/>
  <c r="AD18" i="58"/>
  <c r="AF18" i="58"/>
  <c r="AG18" i="58" s="1"/>
  <c r="AM18" i="58"/>
  <c r="AN18" i="58"/>
  <c r="AO18" i="58"/>
  <c r="AD19" i="58"/>
  <c r="AF19" i="58"/>
  <c r="AG19" i="58" s="1"/>
  <c r="AM19" i="58"/>
  <c r="AN19" i="58"/>
  <c r="AO19" i="58"/>
  <c r="AD20" i="58"/>
  <c r="AF20" i="58"/>
  <c r="AG20" i="58" s="1"/>
  <c r="AM20" i="58"/>
  <c r="AN20" i="58"/>
  <c r="AO20" i="58"/>
  <c r="AD21" i="58"/>
  <c r="AJ21" i="58" s="1"/>
  <c r="AF21" i="58"/>
  <c r="AG21" i="58" s="1"/>
  <c r="AM21" i="58"/>
  <c r="AN21" i="58"/>
  <c r="AO21" i="58"/>
  <c r="AD22" i="58"/>
  <c r="AF22" i="58"/>
  <c r="AG22" i="58" s="1"/>
  <c r="AM22" i="58"/>
  <c r="AN22" i="58"/>
  <c r="AO22" i="58"/>
  <c r="AD23" i="58"/>
  <c r="AH23" i="58" s="1"/>
  <c r="AI23" i="58" s="1"/>
  <c r="AF23" i="58"/>
  <c r="AG23" i="58" s="1"/>
  <c r="AM23" i="58"/>
  <c r="AN23" i="58"/>
  <c r="AO23" i="58"/>
  <c r="AD24" i="58"/>
  <c r="AF24" i="58"/>
  <c r="AM24" i="58"/>
  <c r="AN24" i="58"/>
  <c r="AO24" i="58"/>
  <c r="AD25" i="58"/>
  <c r="AJ25" i="58" s="1"/>
  <c r="AF25" i="58"/>
  <c r="AG25" i="58" s="1"/>
  <c r="AM25" i="58"/>
  <c r="AN25" i="58"/>
  <c r="AO25" i="58"/>
  <c r="AD26" i="58"/>
  <c r="AF26" i="58"/>
  <c r="AG26" i="58" s="1"/>
  <c r="AM26" i="58"/>
  <c r="AN26" i="58"/>
  <c r="AO26" i="58"/>
  <c r="AD27" i="58"/>
  <c r="AH27" i="58" s="1"/>
  <c r="AI27" i="58" s="1"/>
  <c r="AF27" i="58"/>
  <c r="AG27" i="58" s="1"/>
  <c r="AM27" i="58"/>
  <c r="AN27" i="58"/>
  <c r="AO27" i="58"/>
  <c r="AD28" i="58"/>
  <c r="AF28" i="58"/>
  <c r="AG28" i="58" s="1"/>
  <c r="AM28" i="58"/>
  <c r="AN28" i="58"/>
  <c r="AO28" i="58"/>
  <c r="AD29" i="58"/>
  <c r="AJ29" i="58" s="1"/>
  <c r="AF29" i="58"/>
  <c r="AG29" i="58" s="1"/>
  <c r="AM29" i="58"/>
  <c r="AN29" i="58"/>
  <c r="AO29" i="58"/>
  <c r="AD30" i="58"/>
  <c r="AF30" i="58"/>
  <c r="AG30" i="58" s="1"/>
  <c r="AM30" i="58"/>
  <c r="AN30" i="58"/>
  <c r="AO30" i="58"/>
  <c r="AD31" i="58"/>
  <c r="AH31" i="58" s="1"/>
  <c r="AI31" i="58" s="1"/>
  <c r="AF31" i="58"/>
  <c r="AG31" i="58" s="1"/>
  <c r="AM31" i="58"/>
  <c r="AN31" i="58"/>
  <c r="AO31" i="58"/>
  <c r="AD32" i="58"/>
  <c r="AF32" i="58"/>
  <c r="AM32" i="58"/>
  <c r="AN32" i="58"/>
  <c r="AO32" i="58"/>
  <c r="AD33" i="58"/>
  <c r="AJ33" i="58" s="1"/>
  <c r="AF33" i="58"/>
  <c r="AG33" i="58" s="1"/>
  <c r="AM33" i="58"/>
  <c r="AN33" i="58"/>
  <c r="AO33" i="58"/>
  <c r="AD34" i="58"/>
  <c r="AF34" i="58"/>
  <c r="AG34" i="58" s="1"/>
  <c r="AM34" i="58"/>
  <c r="AN34" i="58"/>
  <c r="AO34" i="58"/>
  <c r="AD35" i="58"/>
  <c r="AH35" i="58" s="1"/>
  <c r="AI35" i="58" s="1"/>
  <c r="AF35" i="58"/>
  <c r="AG35" i="58" s="1"/>
  <c r="AM35" i="58"/>
  <c r="AN35" i="58"/>
  <c r="AO35" i="58"/>
  <c r="AD36" i="58"/>
  <c r="AF36" i="58"/>
  <c r="AG36" i="58" s="1"/>
  <c r="AM36" i="58"/>
  <c r="AN36" i="58"/>
  <c r="AO36" i="58"/>
  <c r="AD37" i="58"/>
  <c r="AJ37" i="58" s="1"/>
  <c r="AF37" i="58"/>
  <c r="AG37" i="58" s="1"/>
  <c r="AM37" i="58"/>
  <c r="AN37" i="58"/>
  <c r="AO37" i="58"/>
  <c r="AD38" i="58"/>
  <c r="AF38" i="58"/>
  <c r="AG38" i="58" s="1"/>
  <c r="AM38" i="58"/>
  <c r="AN38" i="58"/>
  <c r="AO38" i="58"/>
  <c r="AD39" i="58"/>
  <c r="AH39" i="58" s="1"/>
  <c r="AI39" i="58" s="1"/>
  <c r="AF39" i="58"/>
  <c r="AG39" i="58" s="1"/>
  <c r="AM39" i="58"/>
  <c r="AN39" i="58"/>
  <c r="AO39" i="58"/>
  <c r="AD40" i="58"/>
  <c r="AF40" i="58"/>
  <c r="AG40" i="58" s="1"/>
  <c r="AM40" i="58"/>
  <c r="AN40" i="58"/>
  <c r="AO40" i="58"/>
  <c r="AD41" i="58"/>
  <c r="AJ41" i="58" s="1"/>
  <c r="AF41" i="58"/>
  <c r="AG41" i="58" s="1"/>
  <c r="AM41" i="58"/>
  <c r="AN41" i="58"/>
  <c r="AO41" i="58"/>
  <c r="AD42" i="58"/>
  <c r="AF42" i="58"/>
  <c r="AG42" i="58" s="1"/>
  <c r="AM42" i="58"/>
  <c r="AN42" i="58"/>
  <c r="AO42" i="58"/>
  <c r="AD43" i="58"/>
  <c r="AH43" i="58" s="1"/>
  <c r="AI43" i="58" s="1"/>
  <c r="AF43" i="58"/>
  <c r="AG43" i="58" s="1"/>
  <c r="AM43" i="58"/>
  <c r="AN43" i="58"/>
  <c r="AO43" i="58"/>
  <c r="AD44" i="58"/>
  <c r="AF44" i="58"/>
  <c r="AG44" i="58" s="1"/>
  <c r="AM44" i="58"/>
  <c r="AN44" i="58"/>
  <c r="AO44" i="58"/>
  <c r="AD45" i="58"/>
  <c r="AJ45" i="58" s="1"/>
  <c r="AF45" i="58"/>
  <c r="AG45" i="58" s="1"/>
  <c r="AM45" i="58"/>
  <c r="AN45" i="58"/>
  <c r="AO45" i="58"/>
  <c r="AD46" i="58"/>
  <c r="AF46" i="58"/>
  <c r="AG46" i="58" s="1"/>
  <c r="AM46" i="58"/>
  <c r="AN46" i="58"/>
  <c r="AO46" i="58"/>
  <c r="AD47" i="58"/>
  <c r="AH47" i="58" s="1"/>
  <c r="AI47" i="58" s="1"/>
  <c r="AF47" i="58"/>
  <c r="AG47" i="58" s="1"/>
  <c r="AM47" i="58"/>
  <c r="AN47" i="58"/>
  <c r="AO47" i="58"/>
  <c r="AD48" i="58"/>
  <c r="AJ48" i="58" s="1"/>
  <c r="AF48" i="58"/>
  <c r="AG48" i="58" s="1"/>
  <c r="AM48" i="58"/>
  <c r="AN48" i="58"/>
  <c r="AO48" i="58"/>
  <c r="AD49" i="58"/>
  <c r="AF49" i="58"/>
  <c r="AG49" i="58" s="1"/>
  <c r="AM49" i="58"/>
  <c r="AN49" i="58"/>
  <c r="AO49" i="58"/>
  <c r="AD50" i="58"/>
  <c r="AF50" i="58"/>
  <c r="AG50" i="58" s="1"/>
  <c r="AM50" i="58"/>
  <c r="AN50" i="58"/>
  <c r="AO50" i="58"/>
  <c r="AD51" i="58"/>
  <c r="AF51" i="58"/>
  <c r="AG51" i="58" s="1"/>
  <c r="AM51" i="58"/>
  <c r="AN51" i="58"/>
  <c r="AO51" i="58"/>
  <c r="AD52" i="58"/>
  <c r="AJ52" i="58" s="1"/>
  <c r="AF52" i="58"/>
  <c r="AG52" i="58" s="1"/>
  <c r="AM52" i="58"/>
  <c r="AN52" i="58"/>
  <c r="AO52" i="58"/>
  <c r="AD53" i="58"/>
  <c r="AE53" i="58" s="1"/>
  <c r="AF53" i="58"/>
  <c r="AG53" i="58" s="1"/>
  <c r="AM53" i="58"/>
  <c r="AN53" i="58"/>
  <c r="AO53" i="58"/>
  <c r="AD54" i="58"/>
  <c r="AF54" i="58"/>
  <c r="AG54" i="58" s="1"/>
  <c r="AM54" i="58"/>
  <c r="AN54" i="58"/>
  <c r="AO54" i="58"/>
  <c r="AD55" i="58"/>
  <c r="AJ55" i="58" s="1"/>
  <c r="AF55" i="58"/>
  <c r="AG55" i="58" s="1"/>
  <c r="AM55" i="58"/>
  <c r="AN55" i="58"/>
  <c r="AO55" i="58"/>
  <c r="AD56" i="58"/>
  <c r="AE56" i="58" s="1"/>
  <c r="AF56" i="58"/>
  <c r="AG56" i="58" s="1"/>
  <c r="AM56" i="58"/>
  <c r="AN56" i="58"/>
  <c r="AO56" i="58"/>
  <c r="AD57" i="58"/>
  <c r="AH57" i="58" s="1"/>
  <c r="AI57" i="58" s="1"/>
  <c r="AF57" i="58"/>
  <c r="AG57" i="58" s="1"/>
  <c r="AM57" i="58"/>
  <c r="AN57" i="58"/>
  <c r="AO57" i="58"/>
  <c r="AD58" i="58"/>
  <c r="AJ58" i="58" s="1"/>
  <c r="AF58" i="58"/>
  <c r="AG58" i="58" s="1"/>
  <c r="AM58" i="58"/>
  <c r="AN58" i="58"/>
  <c r="AO58" i="58"/>
  <c r="AD59" i="58"/>
  <c r="AF59" i="58"/>
  <c r="AG59" i="58" s="1"/>
  <c r="AM59" i="58"/>
  <c r="AN59" i="58"/>
  <c r="AO59" i="58"/>
  <c r="AD60" i="58"/>
  <c r="AE60" i="58" s="1"/>
  <c r="AF60" i="58"/>
  <c r="AG60" i="58" s="1"/>
  <c r="AM60" i="58"/>
  <c r="AN60" i="58"/>
  <c r="AO60" i="58"/>
  <c r="AD61" i="58"/>
  <c r="AJ61" i="58" s="1"/>
  <c r="AF61" i="58"/>
  <c r="AG61" i="58" s="1"/>
  <c r="AM61" i="58"/>
  <c r="AN61" i="58"/>
  <c r="AO61" i="58"/>
  <c r="AD62" i="58"/>
  <c r="AF62" i="58"/>
  <c r="AG62" i="58" s="1"/>
  <c r="AM62" i="58"/>
  <c r="AN62" i="58"/>
  <c r="AO62" i="58"/>
  <c r="AD63" i="58"/>
  <c r="AH63" i="58" s="1"/>
  <c r="AI63" i="58" s="1"/>
  <c r="AF63" i="58"/>
  <c r="AG63" i="58" s="1"/>
  <c r="AM63" i="58"/>
  <c r="AN63" i="58"/>
  <c r="AO63" i="58"/>
  <c r="AD64" i="58"/>
  <c r="AF64" i="58"/>
  <c r="AG64" i="58" s="1"/>
  <c r="AM64" i="58"/>
  <c r="AN64" i="58"/>
  <c r="AO64" i="58"/>
  <c r="AD65" i="58"/>
  <c r="AE65" i="58" s="1"/>
  <c r="AF65" i="58"/>
  <c r="AG65" i="58" s="1"/>
  <c r="AM65" i="58"/>
  <c r="AN65" i="58"/>
  <c r="AO65" i="58"/>
  <c r="AD66" i="58"/>
  <c r="AJ66" i="58" s="1"/>
  <c r="AF66" i="58"/>
  <c r="AG66" i="58" s="1"/>
  <c r="AM66" i="58"/>
  <c r="AN66" i="58"/>
  <c r="AO66" i="58"/>
  <c r="AD67" i="58"/>
  <c r="AF67" i="58"/>
  <c r="AG67" i="58" s="1"/>
  <c r="AM67" i="58"/>
  <c r="AN67" i="58"/>
  <c r="AO67" i="58"/>
  <c r="AD68" i="58"/>
  <c r="AE68" i="58" s="1"/>
  <c r="AF68" i="58"/>
  <c r="AG68" i="58" s="1"/>
  <c r="AM68" i="58"/>
  <c r="AN68" i="58"/>
  <c r="AO68" i="58"/>
  <c r="AD69" i="58"/>
  <c r="AF69" i="58"/>
  <c r="AG69" i="58" s="1"/>
  <c r="AM69" i="58"/>
  <c r="AN69" i="58"/>
  <c r="AO69" i="58"/>
  <c r="AD70" i="58"/>
  <c r="AJ70" i="58" s="1"/>
  <c r="AF70" i="58"/>
  <c r="AG70" i="58" s="1"/>
  <c r="AM70" i="58"/>
  <c r="AN70" i="58"/>
  <c r="AO70" i="58"/>
  <c r="AD71" i="58"/>
  <c r="AF71" i="58"/>
  <c r="AG71" i="58" s="1"/>
  <c r="AM71" i="58"/>
  <c r="AN71" i="58"/>
  <c r="AO71" i="58"/>
  <c r="AD72" i="58"/>
  <c r="AH72" i="58" s="1"/>
  <c r="AI72" i="58" s="1"/>
  <c r="AF72" i="58"/>
  <c r="AM72" i="58"/>
  <c r="AN72" i="58"/>
  <c r="AO72" i="58"/>
  <c r="AD73" i="58"/>
  <c r="AJ73" i="58" s="1"/>
  <c r="AF73" i="58"/>
  <c r="AG73" i="58" s="1"/>
  <c r="AM73" i="58"/>
  <c r="AN73" i="58"/>
  <c r="AO73" i="58"/>
  <c r="AD74" i="58"/>
  <c r="AF74" i="58"/>
  <c r="AG74" i="58" s="1"/>
  <c r="AM74" i="58"/>
  <c r="AN74" i="58"/>
  <c r="AO74" i="58"/>
  <c r="AD75" i="58"/>
  <c r="AF75" i="58"/>
  <c r="AG75" i="58" s="1"/>
  <c r="AM75" i="58"/>
  <c r="AN75" i="58"/>
  <c r="AO75" i="58"/>
  <c r="AD76" i="58"/>
  <c r="AJ76" i="58" s="1"/>
  <c r="AF76" i="58"/>
  <c r="AG76" i="58" s="1"/>
  <c r="AM76" i="58"/>
  <c r="AN76" i="58"/>
  <c r="AO76" i="58"/>
  <c r="AD77" i="58"/>
  <c r="AF77" i="58"/>
  <c r="AG77" i="58" s="1"/>
  <c r="AM77" i="58"/>
  <c r="AN77" i="58"/>
  <c r="AO77" i="58"/>
  <c r="AD78" i="58"/>
  <c r="AJ78" i="58" s="1"/>
  <c r="AF78" i="58"/>
  <c r="AG78" i="58" s="1"/>
  <c r="AM78" i="58"/>
  <c r="AN78" i="58"/>
  <c r="AO78" i="58"/>
  <c r="AD79" i="58"/>
  <c r="AH79" i="58" s="1"/>
  <c r="AI79" i="58" s="1"/>
  <c r="AF79" i="58"/>
  <c r="AG79" i="58" s="1"/>
  <c r="AM79" i="58"/>
  <c r="AN79" i="58"/>
  <c r="AO79" i="58"/>
  <c r="AD80" i="58"/>
  <c r="AH80" i="58" s="1"/>
  <c r="AI80" i="58" s="1"/>
  <c r="AF80" i="58"/>
  <c r="AG80" i="58" s="1"/>
  <c r="AM80" i="58"/>
  <c r="AN80" i="58"/>
  <c r="AO80" i="58"/>
  <c r="AD81" i="58"/>
  <c r="AJ81" i="58" s="1"/>
  <c r="AF81" i="58"/>
  <c r="AG81" i="58" s="1"/>
  <c r="AM81" i="58"/>
  <c r="AN81" i="58"/>
  <c r="AO81" i="58"/>
  <c r="AD82" i="58"/>
  <c r="AF82" i="58"/>
  <c r="AG82" i="58" s="1"/>
  <c r="AM82" i="58"/>
  <c r="AN82" i="58"/>
  <c r="AO82" i="58"/>
  <c r="AD83" i="58"/>
  <c r="AJ83" i="58" s="1"/>
  <c r="AF83" i="58"/>
  <c r="AG83" i="58" s="1"/>
  <c r="AM83" i="58"/>
  <c r="AN83" i="58"/>
  <c r="AO83" i="58"/>
  <c r="AD84" i="58"/>
  <c r="AE84" i="58" s="1"/>
  <c r="AF84" i="58"/>
  <c r="AG84" i="58" s="1"/>
  <c r="AM84" i="58"/>
  <c r="AN84" i="58"/>
  <c r="AO84" i="58"/>
  <c r="AD85" i="58"/>
  <c r="AF85" i="58"/>
  <c r="AG85" i="58" s="1"/>
  <c r="AM85" i="58"/>
  <c r="AN85" i="58"/>
  <c r="AO85" i="58"/>
  <c r="AD86" i="58"/>
  <c r="AJ86" i="58" s="1"/>
  <c r="AF86" i="58"/>
  <c r="AG86" i="58" s="1"/>
  <c r="AM86" i="58"/>
  <c r="AN86" i="58"/>
  <c r="AO86" i="58"/>
  <c r="AD87" i="58"/>
  <c r="AF87" i="58"/>
  <c r="AG87" i="58" s="1"/>
  <c r="AM87" i="58"/>
  <c r="AN87" i="58"/>
  <c r="AO87" i="58"/>
  <c r="AD88" i="58"/>
  <c r="AF88" i="58"/>
  <c r="AG88" i="58" s="1"/>
  <c r="AM88" i="58"/>
  <c r="AN88" i="58"/>
  <c r="AO88" i="58"/>
  <c r="AD89" i="58"/>
  <c r="AJ89" i="58" s="1"/>
  <c r="AF89" i="58"/>
  <c r="AG89" i="58" s="1"/>
  <c r="AM89" i="58"/>
  <c r="AN89" i="58"/>
  <c r="AO89" i="58"/>
  <c r="AD90" i="58"/>
  <c r="AE90" i="58" s="1"/>
  <c r="AF90" i="58"/>
  <c r="AG90" i="58" s="1"/>
  <c r="AM90" i="58"/>
  <c r="AN90" i="58"/>
  <c r="AO90" i="58"/>
  <c r="AD91" i="58"/>
  <c r="AE91" i="58" s="1"/>
  <c r="AF91" i="58"/>
  <c r="AG91" i="58" s="1"/>
  <c r="AM91" i="58"/>
  <c r="AN91" i="58"/>
  <c r="AO91" i="58"/>
  <c r="AD92" i="58"/>
  <c r="AJ92" i="58" s="1"/>
  <c r="AF92" i="58"/>
  <c r="AG92" i="58" s="1"/>
  <c r="AM92" i="58"/>
  <c r="AN92" i="58"/>
  <c r="AO92" i="58"/>
  <c r="AD93" i="58"/>
  <c r="AF93" i="58"/>
  <c r="AG93" i="58" s="1"/>
  <c r="AM93" i="58"/>
  <c r="AN93" i="58"/>
  <c r="AO93" i="58"/>
  <c r="AD94" i="58"/>
  <c r="AJ94" i="58" s="1"/>
  <c r="AF94" i="58"/>
  <c r="AG94" i="58" s="1"/>
  <c r="AM94" i="58"/>
  <c r="AN94" i="58"/>
  <c r="AO94" i="58"/>
  <c r="AD95" i="58"/>
  <c r="AF95" i="58"/>
  <c r="AG95" i="58" s="1"/>
  <c r="AM95" i="58"/>
  <c r="AN95" i="58"/>
  <c r="AO95" i="58"/>
  <c r="AD96" i="58"/>
  <c r="AF96" i="58"/>
  <c r="AG96" i="58" s="1"/>
  <c r="AM96" i="58"/>
  <c r="AN96" i="58"/>
  <c r="AO96" i="58"/>
  <c r="AD97" i="58"/>
  <c r="AJ97" i="58" s="1"/>
  <c r="AF97" i="58"/>
  <c r="AG97" i="58" s="1"/>
  <c r="AM97" i="58"/>
  <c r="AN97" i="58"/>
  <c r="AO97" i="58"/>
  <c r="AD98" i="58"/>
  <c r="AF98" i="58"/>
  <c r="AG98" i="58" s="1"/>
  <c r="AM98" i="58"/>
  <c r="AN98" i="58"/>
  <c r="AO98" i="58"/>
  <c r="AD99" i="58"/>
  <c r="AJ99" i="58" s="1"/>
  <c r="AF99" i="58"/>
  <c r="AG99" i="58" s="1"/>
  <c r="AM99" i="58"/>
  <c r="AN99" i="58"/>
  <c r="AO99" i="58"/>
  <c r="AD100" i="58"/>
  <c r="AE100" i="58" s="1"/>
  <c r="AF100" i="58"/>
  <c r="AG100" i="58" s="1"/>
  <c r="AM100" i="58"/>
  <c r="AN100" i="58"/>
  <c r="AO100" i="58"/>
  <c r="AD101" i="58"/>
  <c r="AF101" i="58"/>
  <c r="AG101" i="58" s="1"/>
  <c r="AM101" i="58"/>
  <c r="AN101" i="58"/>
  <c r="AO101" i="58"/>
  <c r="AD102" i="58"/>
  <c r="AJ102" i="58" s="1"/>
  <c r="AF102" i="58"/>
  <c r="AG102" i="58" s="1"/>
  <c r="AM102" i="58"/>
  <c r="AN102" i="58"/>
  <c r="AO102" i="58"/>
  <c r="AD103" i="58"/>
  <c r="AH103" i="58" s="1"/>
  <c r="AI103" i="58" s="1"/>
  <c r="AF103" i="58"/>
  <c r="AG103" i="58" s="1"/>
  <c r="AM103" i="58"/>
  <c r="AN103" i="58"/>
  <c r="AO103" i="58"/>
  <c r="AD104" i="58"/>
  <c r="AH104" i="58" s="1"/>
  <c r="AI104" i="58" s="1"/>
  <c r="AF104" i="58"/>
  <c r="AG104" i="58" s="1"/>
  <c r="AM104" i="58"/>
  <c r="AN104" i="58"/>
  <c r="AO104" i="58"/>
  <c r="AD105" i="58"/>
  <c r="AJ105" i="58" s="1"/>
  <c r="AF105" i="58"/>
  <c r="AG105" i="58" s="1"/>
  <c r="AM105" i="58"/>
  <c r="AN105" i="58"/>
  <c r="AO105" i="58"/>
  <c r="AD106" i="58"/>
  <c r="AH106" i="58" s="1"/>
  <c r="AI106" i="58" s="1"/>
  <c r="AF106" i="58"/>
  <c r="AG106" i="58" s="1"/>
  <c r="AM106" i="58"/>
  <c r="AN106" i="58"/>
  <c r="AO106" i="58"/>
  <c r="AD107" i="58"/>
  <c r="AH107" i="58" s="1"/>
  <c r="AI107" i="58" s="1"/>
  <c r="AF107" i="58"/>
  <c r="AG107" i="58" s="1"/>
  <c r="AM107" i="58"/>
  <c r="AN107" i="58"/>
  <c r="AO107" i="58"/>
  <c r="AD108" i="58"/>
  <c r="AF108" i="58"/>
  <c r="AG108" i="58" s="1"/>
  <c r="AM108" i="58"/>
  <c r="AN108" i="58"/>
  <c r="AO108" i="58"/>
  <c r="AD109" i="58"/>
  <c r="AJ109" i="58" s="1"/>
  <c r="AF109" i="58"/>
  <c r="AG109" i="58" s="1"/>
  <c r="AM109" i="58"/>
  <c r="AN109" i="58"/>
  <c r="AO109" i="58"/>
  <c r="AD110" i="58"/>
  <c r="AJ110" i="58" s="1"/>
  <c r="AF110" i="58"/>
  <c r="AG110" i="58" s="1"/>
  <c r="AM110" i="58"/>
  <c r="AN110" i="58"/>
  <c r="AO110" i="58"/>
  <c r="AD111" i="58"/>
  <c r="AF111" i="58"/>
  <c r="AG111" i="58" s="1"/>
  <c r="AM111" i="58"/>
  <c r="AN111" i="58"/>
  <c r="AO111" i="58"/>
  <c r="AD112" i="58"/>
  <c r="AF112" i="58"/>
  <c r="AG112" i="58" s="1"/>
  <c r="AM112" i="58"/>
  <c r="AN112" i="58"/>
  <c r="AO112" i="58"/>
  <c r="AD113" i="58"/>
  <c r="AJ113" i="58" s="1"/>
  <c r="AF113" i="58"/>
  <c r="AG113" i="58" s="1"/>
  <c r="AM113" i="58"/>
  <c r="AN113" i="58"/>
  <c r="AO113" i="58"/>
  <c r="AD114" i="58"/>
  <c r="AH114" i="58" s="1"/>
  <c r="AI114" i="58" s="1"/>
  <c r="AF114" i="58"/>
  <c r="AG114" i="58" s="1"/>
  <c r="AM114" i="58"/>
  <c r="AN114" i="58"/>
  <c r="AO114" i="58"/>
  <c r="AD115" i="58"/>
  <c r="AH115" i="58" s="1"/>
  <c r="AI115" i="58" s="1"/>
  <c r="AF115" i="58"/>
  <c r="AG115" i="58" s="1"/>
  <c r="AM115" i="58"/>
  <c r="AN115" i="58"/>
  <c r="AO115" i="58"/>
  <c r="AD116" i="58"/>
  <c r="AE116" i="58" s="1"/>
  <c r="AF116" i="58"/>
  <c r="AG116" i="58" s="1"/>
  <c r="AM116" i="58"/>
  <c r="AN116" i="58"/>
  <c r="AO116" i="58"/>
  <c r="AD117" i="58"/>
  <c r="AJ117" i="58" s="1"/>
  <c r="AF117" i="58"/>
  <c r="AG117" i="58" s="1"/>
  <c r="AM117" i="58"/>
  <c r="AN117" i="58"/>
  <c r="AO117" i="58"/>
  <c r="AD118" i="58"/>
  <c r="AF118" i="58"/>
  <c r="AG118" i="58" s="1"/>
  <c r="AM118" i="58"/>
  <c r="AN118" i="58"/>
  <c r="AO118" i="58"/>
  <c r="AD119" i="58"/>
  <c r="AE119" i="58" s="1"/>
  <c r="AF119" i="58"/>
  <c r="AG119" i="58" s="1"/>
  <c r="AM119" i="58"/>
  <c r="AN119" i="58"/>
  <c r="AO119" i="58"/>
  <c r="AD120" i="58"/>
  <c r="AJ120" i="58" s="1"/>
  <c r="AF120" i="58"/>
  <c r="AG120" i="58" s="1"/>
  <c r="AM120" i="58"/>
  <c r="AN120" i="58"/>
  <c r="AO120" i="58"/>
  <c r="AD121" i="58"/>
  <c r="AJ121" i="58" s="1"/>
  <c r="AF121" i="58"/>
  <c r="AG121" i="58" s="1"/>
  <c r="AM121" i="58"/>
  <c r="AN121" i="58"/>
  <c r="AO121" i="58"/>
  <c r="AD122" i="58"/>
  <c r="AH122" i="58" s="1"/>
  <c r="AI122" i="58" s="1"/>
  <c r="AF122" i="58"/>
  <c r="AG122" i="58" s="1"/>
  <c r="AM122" i="58"/>
  <c r="AN122" i="58"/>
  <c r="AO122" i="58"/>
  <c r="AD123" i="58"/>
  <c r="AF123" i="58"/>
  <c r="AM123" i="58"/>
  <c r="AN123" i="58"/>
  <c r="AO123" i="58"/>
  <c r="AD124" i="58"/>
  <c r="AJ124" i="58" s="1"/>
  <c r="AF124" i="58"/>
  <c r="AG124" i="58" s="1"/>
  <c r="AM124" i="58"/>
  <c r="AN124" i="58"/>
  <c r="AO124" i="58"/>
  <c r="AD125" i="58"/>
  <c r="AJ125" i="58" s="1"/>
  <c r="AF125" i="58"/>
  <c r="AG125" i="58" s="1"/>
  <c r="AM125" i="58"/>
  <c r="AN125" i="58"/>
  <c r="AO125" i="58"/>
  <c r="AD126" i="58"/>
  <c r="AF126" i="58"/>
  <c r="AG126" i="58" s="1"/>
  <c r="AM126" i="58"/>
  <c r="AN126" i="58"/>
  <c r="AO126" i="58"/>
  <c r="AD127" i="58"/>
  <c r="AJ127" i="58" s="1"/>
  <c r="AF127" i="58"/>
  <c r="AG127" i="58" s="1"/>
  <c r="AM127" i="58"/>
  <c r="AN127" i="58"/>
  <c r="AO127" i="58"/>
  <c r="AD128" i="58"/>
  <c r="AE128" i="58" s="1"/>
  <c r="AF128" i="58"/>
  <c r="AG128" i="58" s="1"/>
  <c r="AM128" i="58"/>
  <c r="AN128" i="58"/>
  <c r="AO128" i="58"/>
  <c r="AD129" i="58"/>
  <c r="AF129" i="58"/>
  <c r="AG129" i="58" s="1"/>
  <c r="AM129" i="58"/>
  <c r="AN129" i="58"/>
  <c r="AO129" i="58"/>
  <c r="AD130" i="58"/>
  <c r="AF130" i="58"/>
  <c r="AG130" i="58" s="1"/>
  <c r="AM130" i="58"/>
  <c r="AN130" i="58"/>
  <c r="AO130" i="58"/>
  <c r="AD131" i="58"/>
  <c r="AJ131" i="58" s="1"/>
  <c r="AF131" i="58"/>
  <c r="AG131" i="58" s="1"/>
  <c r="AM131" i="58"/>
  <c r="AN131" i="58"/>
  <c r="AO131" i="58"/>
  <c r="AD132" i="58"/>
  <c r="AH132" i="58" s="1"/>
  <c r="AI132" i="58" s="1"/>
  <c r="AF132" i="58"/>
  <c r="AG132" i="58" s="1"/>
  <c r="AM132" i="58"/>
  <c r="AN132" i="58"/>
  <c r="AO132" i="58"/>
  <c r="AD133" i="58"/>
  <c r="AJ133" i="58" s="1"/>
  <c r="AF133" i="58"/>
  <c r="AG133" i="58" s="1"/>
  <c r="AM133" i="58"/>
  <c r="AN133" i="58"/>
  <c r="AO133" i="58"/>
  <c r="AD134" i="58"/>
  <c r="AJ134" i="58" s="1"/>
  <c r="AF134" i="58"/>
  <c r="AG134" i="58" s="1"/>
  <c r="AM134" i="58"/>
  <c r="AN134" i="58"/>
  <c r="AO134" i="58"/>
  <c r="AD135" i="58"/>
  <c r="AH135" i="58" s="1"/>
  <c r="AI135" i="58" s="1"/>
  <c r="AF135" i="58"/>
  <c r="AG135" i="58" s="1"/>
  <c r="AM135" i="58"/>
  <c r="AN135" i="58"/>
  <c r="AO135" i="58"/>
  <c r="AD136" i="58"/>
  <c r="AJ136" i="58" s="1"/>
  <c r="AF136" i="58"/>
  <c r="AG136" i="58" s="1"/>
  <c r="AM136" i="58"/>
  <c r="AN136" i="58"/>
  <c r="AO136" i="58"/>
  <c r="AD137" i="58"/>
  <c r="AJ137" i="58" s="1"/>
  <c r="AF137" i="58"/>
  <c r="AG137" i="58" s="1"/>
  <c r="AM137" i="58"/>
  <c r="AN137" i="58"/>
  <c r="AO137" i="58"/>
  <c r="AD138" i="58"/>
  <c r="AH138" i="58" s="1"/>
  <c r="AI138" i="58" s="1"/>
  <c r="AF138" i="58"/>
  <c r="AG138" i="58" s="1"/>
  <c r="AM138" i="58"/>
  <c r="AN138" i="58"/>
  <c r="AO138" i="58"/>
  <c r="AD139" i="58"/>
  <c r="AF139" i="58"/>
  <c r="AG139" i="58" s="1"/>
  <c r="AM139" i="58"/>
  <c r="AN139" i="58"/>
  <c r="AO139" i="58"/>
  <c r="AD140" i="58"/>
  <c r="AJ140" i="58" s="1"/>
  <c r="AF140" i="58"/>
  <c r="AG140" i="58" s="1"/>
  <c r="AM140" i="58"/>
  <c r="AN140" i="58"/>
  <c r="AO140" i="58"/>
  <c r="AD141" i="58"/>
  <c r="AJ141" i="58" s="1"/>
  <c r="AF141" i="58"/>
  <c r="AG141" i="58" s="1"/>
  <c r="AM141" i="58"/>
  <c r="AN141" i="58"/>
  <c r="AO141" i="58"/>
  <c r="AD142" i="58"/>
  <c r="AF142" i="58"/>
  <c r="AG142" i="58" s="1"/>
  <c r="AM142" i="58"/>
  <c r="AN142" i="58"/>
  <c r="AO142" i="58"/>
  <c r="AD143" i="58"/>
  <c r="AH143" i="58" s="1"/>
  <c r="AI143" i="58" s="1"/>
  <c r="AF143" i="58"/>
  <c r="AG143" i="58" s="1"/>
  <c r="AM143" i="58"/>
  <c r="AN143" i="58"/>
  <c r="AO143" i="58"/>
  <c r="AD144" i="58"/>
  <c r="AJ144" i="58" s="1"/>
  <c r="AF144" i="58"/>
  <c r="AG144" i="58" s="1"/>
  <c r="AM144" i="58"/>
  <c r="AN144" i="58"/>
  <c r="AO144" i="58"/>
  <c r="AD145" i="58"/>
  <c r="AJ145" i="58" s="1"/>
  <c r="AF145" i="58"/>
  <c r="AG145" i="58" s="1"/>
  <c r="AM145" i="58"/>
  <c r="AN145" i="58"/>
  <c r="AO145" i="58"/>
  <c r="AD146" i="58"/>
  <c r="AH146" i="58" s="1"/>
  <c r="AI146" i="58" s="1"/>
  <c r="AF146" i="58"/>
  <c r="AG146" i="58" s="1"/>
  <c r="AM146" i="58"/>
  <c r="AN146" i="58"/>
  <c r="AO146" i="58"/>
  <c r="AD147" i="58"/>
  <c r="AJ147" i="58" s="1"/>
  <c r="AF147" i="58"/>
  <c r="AG147" i="58" s="1"/>
  <c r="AM147" i="58"/>
  <c r="AN147" i="58"/>
  <c r="AO147" i="58"/>
  <c r="AD148" i="58"/>
  <c r="AF148" i="58"/>
  <c r="AG148" i="58" s="1"/>
  <c r="AM148" i="58"/>
  <c r="AN148" i="58"/>
  <c r="AO148" i="58"/>
  <c r="AD149" i="58"/>
  <c r="AJ149" i="58" s="1"/>
  <c r="AF149" i="58"/>
  <c r="AG149" i="58" s="1"/>
  <c r="AM149" i="58"/>
  <c r="AN149" i="58"/>
  <c r="AO149" i="58"/>
  <c r="AD150" i="58"/>
  <c r="AF150" i="58"/>
  <c r="AG150" i="58" s="1"/>
  <c r="AM150" i="58"/>
  <c r="AN150" i="58"/>
  <c r="AO150" i="58"/>
  <c r="AD151" i="58"/>
  <c r="AJ151" i="58" s="1"/>
  <c r="AF151" i="58"/>
  <c r="AG151" i="58" s="1"/>
  <c r="AM151" i="58"/>
  <c r="AN151" i="58"/>
  <c r="AO151" i="58"/>
  <c r="AD152" i="58"/>
  <c r="AJ152" i="58" s="1"/>
  <c r="AF152" i="58"/>
  <c r="AG152" i="58" s="1"/>
  <c r="AM152" i="58"/>
  <c r="AN152" i="58"/>
  <c r="AO152" i="58"/>
  <c r="AD153" i="58"/>
  <c r="AJ153" i="58" s="1"/>
  <c r="AF153" i="58"/>
  <c r="AG153" i="58" s="1"/>
  <c r="AM153" i="58"/>
  <c r="AN153" i="58"/>
  <c r="AO153" i="58"/>
  <c r="AD154" i="58"/>
  <c r="AF154" i="58"/>
  <c r="AG154" i="58" s="1"/>
  <c r="AM154" i="58"/>
  <c r="AN154" i="58"/>
  <c r="AO154" i="58"/>
  <c r="AD155" i="58"/>
  <c r="AJ155" i="58" s="1"/>
  <c r="AF155" i="58"/>
  <c r="AG155" i="58" s="1"/>
  <c r="AM155" i="58"/>
  <c r="AN155" i="58"/>
  <c r="AO155" i="58"/>
  <c r="AD156" i="58"/>
  <c r="AF156" i="58"/>
  <c r="AG156" i="58" s="1"/>
  <c r="AM156" i="58"/>
  <c r="AN156" i="58"/>
  <c r="AO156" i="58"/>
  <c r="AD157" i="58"/>
  <c r="AJ157" i="58" s="1"/>
  <c r="AF157" i="58"/>
  <c r="AG157" i="58" s="1"/>
  <c r="AM157" i="58"/>
  <c r="AN157" i="58"/>
  <c r="AO157" i="58"/>
  <c r="AD158" i="58"/>
  <c r="AF158" i="58"/>
  <c r="AG158" i="58" s="1"/>
  <c r="AM158" i="58"/>
  <c r="AN158" i="58"/>
  <c r="AO158" i="58"/>
  <c r="AD159" i="58"/>
  <c r="AF159" i="58"/>
  <c r="AG159" i="58" s="1"/>
  <c r="AM159" i="58"/>
  <c r="AN159" i="58"/>
  <c r="AO159" i="58"/>
  <c r="AD160" i="58"/>
  <c r="AJ160" i="58" s="1"/>
  <c r="AF160" i="58"/>
  <c r="AG160" i="58" s="1"/>
  <c r="AM160" i="58"/>
  <c r="AN160" i="58"/>
  <c r="AO160" i="58"/>
  <c r="AD161" i="58"/>
  <c r="AJ161" i="58" s="1"/>
  <c r="AF161" i="58"/>
  <c r="AG161" i="58" s="1"/>
  <c r="AM161" i="58"/>
  <c r="AN161" i="58"/>
  <c r="AO161" i="58"/>
  <c r="AD162" i="58"/>
  <c r="AH162" i="58" s="1"/>
  <c r="AI162" i="58" s="1"/>
  <c r="AF162" i="58"/>
  <c r="AG162" i="58" s="1"/>
  <c r="AM162" i="58"/>
  <c r="AN162" i="58"/>
  <c r="AO162" i="58"/>
  <c r="AD163" i="58"/>
  <c r="AJ163" i="58" s="1"/>
  <c r="AF163" i="58"/>
  <c r="AG163" i="58" s="1"/>
  <c r="AM163" i="58"/>
  <c r="AN163" i="58"/>
  <c r="AO163" i="58"/>
  <c r="AD164" i="58"/>
  <c r="AF164" i="58"/>
  <c r="AG164" i="58" s="1"/>
  <c r="AM164" i="58"/>
  <c r="AN164" i="58"/>
  <c r="AO164" i="58"/>
  <c r="AD165" i="58"/>
  <c r="AJ165" i="58" s="1"/>
  <c r="AF165" i="58"/>
  <c r="AG165" i="58" s="1"/>
  <c r="AM165" i="58"/>
  <c r="AN165" i="58"/>
  <c r="AO165" i="58"/>
  <c r="AD166" i="58"/>
  <c r="AF166" i="58"/>
  <c r="AG166" i="58" s="1"/>
  <c r="AM166" i="58"/>
  <c r="AN166" i="58"/>
  <c r="AO166" i="58"/>
  <c r="AD167" i="58"/>
  <c r="AJ167" i="58" s="1"/>
  <c r="AF167" i="58"/>
  <c r="AG167" i="58" s="1"/>
  <c r="AM167" i="58"/>
  <c r="AN167" i="58"/>
  <c r="AO167" i="58"/>
  <c r="AD168" i="58"/>
  <c r="AJ168" i="58" s="1"/>
  <c r="AF168" i="58"/>
  <c r="AG168" i="58" s="1"/>
  <c r="AM168" i="58"/>
  <c r="AN168" i="58"/>
  <c r="AO168" i="58"/>
  <c r="AD169" i="58"/>
  <c r="AJ169" i="58" s="1"/>
  <c r="AF169" i="58"/>
  <c r="AG169" i="58" s="1"/>
  <c r="AM169" i="58"/>
  <c r="AN169" i="58"/>
  <c r="AO169" i="58"/>
  <c r="AD170" i="58"/>
  <c r="AH170" i="58" s="1"/>
  <c r="AI170" i="58" s="1"/>
  <c r="AF170" i="58"/>
  <c r="AG170" i="58" s="1"/>
  <c r="AM170" i="58"/>
  <c r="AN170" i="58"/>
  <c r="AO170" i="58"/>
  <c r="AD171" i="58"/>
  <c r="AJ171" i="58" s="1"/>
  <c r="AF171" i="58"/>
  <c r="AG171" i="58" s="1"/>
  <c r="AM171" i="58"/>
  <c r="AN171" i="58"/>
  <c r="AO171" i="58"/>
  <c r="AE110" i="58" l="1"/>
  <c r="AE151" i="58"/>
  <c r="AH127" i="58"/>
  <c r="AI127" i="58" s="1"/>
  <c r="AH120" i="58"/>
  <c r="AI120" i="58" s="1"/>
  <c r="AH151" i="58"/>
  <c r="AI151" i="58" s="1"/>
  <c r="AH91" i="58"/>
  <c r="AI91" i="58" s="1"/>
  <c r="AH147" i="58"/>
  <c r="AI147" i="58" s="1"/>
  <c r="AH144" i="58"/>
  <c r="AI144" i="58" s="1"/>
  <c r="AE61" i="58"/>
  <c r="AJ35" i="58"/>
  <c r="AH128" i="58"/>
  <c r="AI128" i="58" s="1"/>
  <c r="AJ7" i="58"/>
  <c r="AE171" i="58"/>
  <c r="AH168" i="58"/>
  <c r="AI168" i="58" s="1"/>
  <c r="AH48" i="58"/>
  <c r="AI48" i="58" s="1"/>
  <c r="AE70" i="58"/>
  <c r="AK24" i="58"/>
  <c r="AL24" i="58" s="1"/>
  <c r="AH152" i="58"/>
  <c r="AI152" i="58" s="1"/>
  <c r="AE155" i="58"/>
  <c r="AE152" i="58"/>
  <c r="AH94" i="58"/>
  <c r="AI94" i="58" s="1"/>
  <c r="AK155" i="58"/>
  <c r="AL155" i="58" s="1"/>
  <c r="AE144" i="58"/>
  <c r="AE99" i="58"/>
  <c r="AH167" i="58"/>
  <c r="AI167" i="58" s="1"/>
  <c r="AH160" i="58"/>
  <c r="AI160" i="58" s="1"/>
  <c r="AH136" i="58"/>
  <c r="AI136" i="58" s="1"/>
  <c r="AK99" i="58"/>
  <c r="AL99" i="58" s="1"/>
  <c r="AK22" i="58"/>
  <c r="AL22" i="58" s="1"/>
  <c r="AH171" i="58"/>
  <c r="AI171" i="58" s="1"/>
  <c r="AH165" i="58"/>
  <c r="AI165" i="58" s="1"/>
  <c r="AH149" i="58"/>
  <c r="AI149" i="58" s="1"/>
  <c r="AH141" i="58"/>
  <c r="AI141" i="58" s="1"/>
  <c r="AH100" i="58"/>
  <c r="AI100" i="58" s="1"/>
  <c r="AH73" i="58"/>
  <c r="AI73" i="58" s="1"/>
  <c r="AH53" i="58"/>
  <c r="AI53" i="58" s="1"/>
  <c r="AK167" i="58"/>
  <c r="AL167" i="58" s="1"/>
  <c r="AE167" i="58"/>
  <c r="AK151" i="58"/>
  <c r="AL151" i="58" s="1"/>
  <c r="AE127" i="58"/>
  <c r="AE124" i="58"/>
  <c r="AH110" i="58"/>
  <c r="AI110" i="58" s="1"/>
  <c r="AH99" i="58"/>
  <c r="AI99" i="58" s="1"/>
  <c r="AE94" i="58"/>
  <c r="AE76" i="58"/>
  <c r="AH70" i="58"/>
  <c r="AI70" i="58" s="1"/>
  <c r="AH66" i="58"/>
  <c r="AI66" i="58" s="1"/>
  <c r="AH61" i="58"/>
  <c r="AI61" i="58" s="1"/>
  <c r="AK49" i="58"/>
  <c r="AL49" i="58" s="1"/>
  <c r="AE48" i="58"/>
  <c r="AK34" i="58"/>
  <c r="AL34" i="58" s="1"/>
  <c r="AK6" i="58"/>
  <c r="AL6" i="58" s="1"/>
  <c r="AK111" i="58"/>
  <c r="AL111" i="58" s="1"/>
  <c r="AK38" i="58"/>
  <c r="AL38" i="58" s="1"/>
  <c r="AK160" i="58"/>
  <c r="AL160" i="58" s="1"/>
  <c r="AH155" i="58"/>
  <c r="AI155" i="58" s="1"/>
  <c r="AK136" i="58"/>
  <c r="AL136" i="58" s="1"/>
  <c r="AH125" i="58"/>
  <c r="AI125" i="58" s="1"/>
  <c r="AH92" i="58"/>
  <c r="AI92" i="58" s="1"/>
  <c r="AK87" i="58"/>
  <c r="AL87" i="58" s="1"/>
  <c r="AH86" i="58"/>
  <c r="AI86" i="58" s="1"/>
  <c r="AK83" i="58"/>
  <c r="AL83" i="58" s="1"/>
  <c r="AH78" i="58"/>
  <c r="AI78" i="58" s="1"/>
  <c r="AK76" i="58"/>
  <c r="AL76" i="58" s="1"/>
  <c r="AH60" i="58"/>
  <c r="AI60" i="58" s="1"/>
  <c r="AH55" i="58"/>
  <c r="AI55" i="58" s="1"/>
  <c r="AJ39" i="58"/>
  <c r="AK14" i="58"/>
  <c r="AL14" i="58" s="1"/>
  <c r="AJ11" i="58"/>
  <c r="AK171" i="58"/>
  <c r="AL171" i="58" s="1"/>
  <c r="AE168" i="58"/>
  <c r="AH163" i="58"/>
  <c r="AI163" i="58" s="1"/>
  <c r="AE160" i="58"/>
  <c r="AK144" i="58"/>
  <c r="AL144" i="58" s="1"/>
  <c r="AE136" i="58"/>
  <c r="AK127" i="58"/>
  <c r="AL127" i="58" s="1"/>
  <c r="AE120" i="58"/>
  <c r="AH102" i="58"/>
  <c r="AI102" i="58" s="1"/>
  <c r="AH97" i="58"/>
  <c r="AI97" i="58" s="1"/>
  <c r="AH83" i="58"/>
  <c r="AI83" i="58" s="1"/>
  <c r="AH81" i="58"/>
  <c r="AI81" i="58" s="1"/>
  <c r="AK79" i="58"/>
  <c r="AL79" i="58" s="1"/>
  <c r="AH76" i="58"/>
  <c r="AI76" i="58" s="1"/>
  <c r="AH68" i="58"/>
  <c r="AI68" i="58" s="1"/>
  <c r="AH52" i="58"/>
  <c r="AI52" i="58" s="1"/>
  <c r="AK46" i="58"/>
  <c r="AL46" i="58" s="1"/>
  <c r="AJ43" i="58"/>
  <c r="AJ31" i="58"/>
  <c r="AJ159" i="58"/>
  <c r="AE159" i="58"/>
  <c r="AJ130" i="58"/>
  <c r="AE130" i="58"/>
  <c r="AJ118" i="58"/>
  <c r="AE118" i="58"/>
  <c r="AJ108" i="58"/>
  <c r="AE108" i="58"/>
  <c r="AK108" i="58"/>
  <c r="AL108" i="58" s="1"/>
  <c r="AJ77" i="58"/>
  <c r="AH77" i="58"/>
  <c r="AI77" i="58" s="1"/>
  <c r="AJ51" i="58"/>
  <c r="AH51" i="58"/>
  <c r="AI51" i="58" s="1"/>
  <c r="AH19" i="58"/>
  <c r="AI19" i="58" s="1"/>
  <c r="AJ19" i="58"/>
  <c r="AJ154" i="58"/>
  <c r="AE154" i="58"/>
  <c r="AJ166" i="58"/>
  <c r="AH166" i="58"/>
  <c r="AI166" i="58" s="1"/>
  <c r="AJ164" i="58"/>
  <c r="AH164" i="58"/>
  <c r="AI164" i="58" s="1"/>
  <c r="AE164" i="58"/>
  <c r="AK164" i="58"/>
  <c r="AL164" i="58" s="1"/>
  <c r="AJ162" i="58"/>
  <c r="AE162" i="58"/>
  <c r="AJ156" i="58"/>
  <c r="AH156" i="58"/>
  <c r="AI156" i="58" s="1"/>
  <c r="AH154" i="58"/>
  <c r="AI154" i="58" s="1"/>
  <c r="AJ143" i="58"/>
  <c r="AE143" i="58"/>
  <c r="AJ122" i="58"/>
  <c r="AE122" i="58"/>
  <c r="AH119" i="58"/>
  <c r="AI119" i="58" s="1"/>
  <c r="AH116" i="58"/>
  <c r="AI116" i="58" s="1"/>
  <c r="AJ115" i="58"/>
  <c r="AE115" i="58"/>
  <c r="AK115" i="58"/>
  <c r="AL115" i="58" s="1"/>
  <c r="AK72" i="58"/>
  <c r="AL72" i="58" s="1"/>
  <c r="AG72" i="58"/>
  <c r="AJ63" i="58"/>
  <c r="AE63" i="58"/>
  <c r="AK52" i="58"/>
  <c r="AL52" i="58" s="1"/>
  <c r="AJ170" i="58"/>
  <c r="AE170" i="58"/>
  <c r="AH159" i="58"/>
  <c r="AI159" i="58" s="1"/>
  <c r="AJ158" i="58"/>
  <c r="AE158" i="58"/>
  <c r="AH158" i="58"/>
  <c r="AI158" i="58" s="1"/>
  <c r="AJ150" i="58"/>
  <c r="AH150" i="58"/>
  <c r="AI150" i="58" s="1"/>
  <c r="AJ148" i="58"/>
  <c r="AH148" i="58"/>
  <c r="AI148" i="58" s="1"/>
  <c r="AE148" i="58"/>
  <c r="AK148" i="58"/>
  <c r="AL148" i="58" s="1"/>
  <c r="AJ146" i="58"/>
  <c r="AE146" i="58"/>
  <c r="AK139" i="58"/>
  <c r="AL139" i="58" s="1"/>
  <c r="AJ138" i="58"/>
  <c r="AE138" i="58"/>
  <c r="AH130" i="58"/>
  <c r="AI130" i="58" s="1"/>
  <c r="AK123" i="58"/>
  <c r="AL123" i="58" s="1"/>
  <c r="AG123" i="58"/>
  <c r="AH108" i="58"/>
  <c r="AI108" i="58" s="1"/>
  <c r="AK96" i="58"/>
  <c r="AL96" i="58" s="1"/>
  <c r="AK92" i="58"/>
  <c r="AL92" i="58" s="1"/>
  <c r="AH84" i="58"/>
  <c r="AI84" i="58" s="1"/>
  <c r="AK16" i="58"/>
  <c r="AL16" i="58" s="1"/>
  <c r="AG16" i="58"/>
  <c r="AK104" i="58"/>
  <c r="AL104" i="58" s="1"/>
  <c r="AE102" i="58"/>
  <c r="AE96" i="58"/>
  <c r="AE92" i="58"/>
  <c r="AE86" i="58"/>
  <c r="AE83" i="58"/>
  <c r="AE55" i="58"/>
  <c r="AE52" i="58"/>
  <c r="AG24" i="58"/>
  <c r="AH133" i="58"/>
  <c r="AI133" i="58" s="1"/>
  <c r="AK132" i="58"/>
  <c r="AL132" i="58" s="1"/>
  <c r="AK120" i="58"/>
  <c r="AL120" i="58" s="1"/>
  <c r="AH113" i="58"/>
  <c r="AI113" i="58" s="1"/>
  <c r="AK61" i="58"/>
  <c r="AL61" i="58" s="1"/>
  <c r="AH58" i="58"/>
  <c r="AI58" i="58" s="1"/>
  <c r="AK32" i="58"/>
  <c r="AL32" i="58" s="1"/>
  <c r="AJ27" i="58"/>
  <c r="AJ142" i="58"/>
  <c r="AE142" i="58"/>
  <c r="AJ139" i="58"/>
  <c r="AE139" i="58"/>
  <c r="AJ135" i="58"/>
  <c r="AK135" i="58"/>
  <c r="AL135" i="58" s="1"/>
  <c r="AJ95" i="58"/>
  <c r="AE95" i="58"/>
  <c r="AH95" i="58"/>
  <c r="AI95" i="58" s="1"/>
  <c r="AJ88" i="58"/>
  <c r="AE88" i="58"/>
  <c r="AJ87" i="58"/>
  <c r="AH87" i="58"/>
  <c r="AI87" i="58" s="1"/>
  <c r="AJ74" i="58"/>
  <c r="AE74" i="58"/>
  <c r="AJ59" i="58"/>
  <c r="AH59" i="58"/>
  <c r="AI59" i="58" s="1"/>
  <c r="AJ54" i="58"/>
  <c r="AH54" i="58"/>
  <c r="AI54" i="58" s="1"/>
  <c r="AH161" i="58"/>
  <c r="AI161" i="58" s="1"/>
  <c r="AH145" i="58"/>
  <c r="AI145" i="58" s="1"/>
  <c r="AH142" i="58"/>
  <c r="AI142" i="58" s="1"/>
  <c r="AH140" i="58"/>
  <c r="AI140" i="58" s="1"/>
  <c r="AH139" i="58"/>
  <c r="AI139" i="58" s="1"/>
  <c r="AH137" i="58"/>
  <c r="AI137" i="58" s="1"/>
  <c r="AH134" i="58"/>
  <c r="AI134" i="58" s="1"/>
  <c r="AH131" i="58"/>
  <c r="AI131" i="58" s="1"/>
  <c r="AJ128" i="58"/>
  <c r="AK128" i="58"/>
  <c r="AL128" i="58" s="1"/>
  <c r="AK124" i="58"/>
  <c r="AL124" i="58" s="1"/>
  <c r="AJ112" i="58"/>
  <c r="AE112" i="58"/>
  <c r="AK112" i="58"/>
  <c r="AL112" i="58" s="1"/>
  <c r="AJ111" i="58"/>
  <c r="AE111" i="58"/>
  <c r="AJ96" i="58"/>
  <c r="AH96" i="58"/>
  <c r="AI96" i="58" s="1"/>
  <c r="AK95" i="58"/>
  <c r="AL95" i="58" s="1"/>
  <c r="AK88" i="58"/>
  <c r="AL88" i="58" s="1"/>
  <c r="AJ82" i="58"/>
  <c r="AE82" i="58"/>
  <c r="AJ75" i="58"/>
  <c r="AK75" i="58"/>
  <c r="AL75" i="58" s="1"/>
  <c r="AE75" i="58"/>
  <c r="AJ71" i="58"/>
  <c r="AE71" i="58"/>
  <c r="AK71" i="58"/>
  <c r="AL71" i="58" s="1"/>
  <c r="AJ68" i="58"/>
  <c r="AK68" i="58"/>
  <c r="AL68" i="58" s="1"/>
  <c r="AJ67" i="58"/>
  <c r="AE67" i="58"/>
  <c r="AH67" i="58"/>
  <c r="AI67" i="58" s="1"/>
  <c r="AJ62" i="58"/>
  <c r="AH62" i="58"/>
  <c r="AI62" i="58" s="1"/>
  <c r="AJ60" i="58"/>
  <c r="AK60" i="58"/>
  <c r="AL60" i="58" s="1"/>
  <c r="AJ50" i="58"/>
  <c r="AE50" i="58"/>
  <c r="AK50" i="58"/>
  <c r="AL50" i="58" s="1"/>
  <c r="AJ49" i="58"/>
  <c r="AE49" i="58"/>
  <c r="AK26" i="58"/>
  <c r="AL26" i="58" s="1"/>
  <c r="AK163" i="58"/>
  <c r="AL163" i="58" s="1"/>
  <c r="AH157" i="58"/>
  <c r="AI157" i="58" s="1"/>
  <c r="AK156" i="58"/>
  <c r="AL156" i="58" s="1"/>
  <c r="AK147" i="58"/>
  <c r="AL147" i="58" s="1"/>
  <c r="AJ126" i="58"/>
  <c r="AE126" i="58"/>
  <c r="AJ123" i="58"/>
  <c r="AE123" i="58"/>
  <c r="AJ119" i="58"/>
  <c r="AK119" i="58"/>
  <c r="AL119" i="58" s="1"/>
  <c r="AH117" i="58"/>
  <c r="AI117" i="58" s="1"/>
  <c r="AH111" i="58"/>
  <c r="AI111" i="58" s="1"/>
  <c r="AH109" i="58"/>
  <c r="AI109" i="58" s="1"/>
  <c r="AJ106" i="58"/>
  <c r="AE106" i="58"/>
  <c r="AH105" i="58"/>
  <c r="AI105" i="58" s="1"/>
  <c r="AJ90" i="58"/>
  <c r="AH90" i="58"/>
  <c r="AI90" i="58" s="1"/>
  <c r="AH89" i="58"/>
  <c r="AI89" i="58" s="1"/>
  <c r="AH88" i="58"/>
  <c r="AI88" i="58" s="1"/>
  <c r="AJ85" i="58"/>
  <c r="AH85" i="58"/>
  <c r="AI85" i="58" s="1"/>
  <c r="AH82" i="58"/>
  <c r="AI82" i="58" s="1"/>
  <c r="AH75" i="58"/>
  <c r="AI75" i="58" s="1"/>
  <c r="AH74" i="58"/>
  <c r="AI74" i="58" s="1"/>
  <c r="AJ64" i="58"/>
  <c r="AE64" i="58"/>
  <c r="AH64" i="58"/>
  <c r="AI64" i="58" s="1"/>
  <c r="AJ57" i="58"/>
  <c r="AE57" i="58"/>
  <c r="AK56" i="58"/>
  <c r="AL56" i="58" s="1"/>
  <c r="AJ56" i="58"/>
  <c r="AH56" i="58"/>
  <c r="AI56" i="58" s="1"/>
  <c r="AH49" i="58"/>
  <c r="AI49" i="58" s="1"/>
  <c r="AJ23" i="58"/>
  <c r="AK18" i="58"/>
  <c r="AL18" i="58" s="1"/>
  <c r="AH169" i="58"/>
  <c r="AI169" i="58" s="1"/>
  <c r="AK168" i="58"/>
  <c r="AL168" i="58" s="1"/>
  <c r="AE166" i="58"/>
  <c r="AE163" i="58"/>
  <c r="AK159" i="58"/>
  <c r="AL159" i="58" s="1"/>
  <c r="AE156" i="58"/>
  <c r="AH153" i="58"/>
  <c r="AI153" i="58" s="1"/>
  <c r="AK152" i="58"/>
  <c r="AL152" i="58" s="1"/>
  <c r="AE150" i="58"/>
  <c r="AE147" i="58"/>
  <c r="AK143" i="58"/>
  <c r="AL143" i="58" s="1"/>
  <c r="AK140" i="58"/>
  <c r="AL140" i="58" s="1"/>
  <c r="AE140" i="58"/>
  <c r="AE135" i="58"/>
  <c r="AE134" i="58"/>
  <c r="AJ132" i="58"/>
  <c r="AE132" i="58"/>
  <c r="AK131" i="58"/>
  <c r="AL131" i="58" s="1"/>
  <c r="AE131" i="58"/>
  <c r="AJ129" i="58"/>
  <c r="AH129" i="58"/>
  <c r="AI129" i="58" s="1"/>
  <c r="AH126" i="58"/>
  <c r="AI126" i="58" s="1"/>
  <c r="AH124" i="58"/>
  <c r="AI124" i="58" s="1"/>
  <c r="AH123" i="58"/>
  <c r="AI123" i="58" s="1"/>
  <c r="AH121" i="58"/>
  <c r="AI121" i="58" s="1"/>
  <c r="AH118" i="58"/>
  <c r="AI118" i="58" s="1"/>
  <c r="AJ114" i="58"/>
  <c r="AE114" i="58"/>
  <c r="AH112" i="58"/>
  <c r="AI112" i="58" s="1"/>
  <c r="AJ107" i="58"/>
  <c r="AK107" i="58"/>
  <c r="AL107" i="58" s="1"/>
  <c r="AE107" i="58"/>
  <c r="AJ103" i="58"/>
  <c r="AE103" i="58"/>
  <c r="AK103" i="58"/>
  <c r="AL103" i="58" s="1"/>
  <c r="AJ100" i="58"/>
  <c r="AK100" i="58"/>
  <c r="AL100" i="58" s="1"/>
  <c r="AJ98" i="58"/>
  <c r="AE98" i="58"/>
  <c r="AH98" i="58"/>
  <c r="AI98" i="58" s="1"/>
  <c r="AJ93" i="58"/>
  <c r="AH93" i="58"/>
  <c r="AI93" i="58" s="1"/>
  <c r="AJ91" i="58"/>
  <c r="AK91" i="58"/>
  <c r="AL91" i="58" s="1"/>
  <c r="AE87" i="58"/>
  <c r="AJ80" i="58"/>
  <c r="AE80" i="58"/>
  <c r="AK80" i="58"/>
  <c r="AL80" i="58" s="1"/>
  <c r="AJ79" i="58"/>
  <c r="AE79" i="58"/>
  <c r="AE78" i="58"/>
  <c r="AH71" i="58"/>
  <c r="AI71" i="58" s="1"/>
  <c r="AK65" i="58"/>
  <c r="AL65" i="58" s="1"/>
  <c r="AJ65" i="58"/>
  <c r="AH65" i="58"/>
  <c r="AI65" i="58" s="1"/>
  <c r="AK64" i="58"/>
  <c r="AL64" i="58" s="1"/>
  <c r="AE59" i="58"/>
  <c r="AK57" i="58"/>
  <c r="AL57" i="58" s="1"/>
  <c r="AH50" i="58"/>
  <c r="AI50" i="58" s="1"/>
  <c r="AK47" i="58"/>
  <c r="AL47" i="58" s="1"/>
  <c r="AK42" i="58"/>
  <c r="AL42" i="58" s="1"/>
  <c r="AK40" i="58"/>
  <c r="AL40" i="58" s="1"/>
  <c r="AG32" i="58"/>
  <c r="AK30" i="58"/>
  <c r="AL30" i="58" s="1"/>
  <c r="AJ15" i="58"/>
  <c r="AK10" i="58"/>
  <c r="AL10" i="58" s="1"/>
  <c r="AK8" i="58"/>
  <c r="AL8" i="58" s="1"/>
  <c r="AJ116" i="58"/>
  <c r="AK116" i="58"/>
  <c r="AL116" i="58" s="1"/>
  <c r="AJ104" i="58"/>
  <c r="AE104" i="58"/>
  <c r="AJ101" i="58"/>
  <c r="AH101" i="58"/>
  <c r="AI101" i="58" s="1"/>
  <c r="AJ84" i="58"/>
  <c r="AK84" i="58"/>
  <c r="AL84" i="58" s="1"/>
  <c r="AJ72" i="58"/>
  <c r="AE72" i="58"/>
  <c r="AJ69" i="58"/>
  <c r="AH69" i="58"/>
  <c r="AI69" i="58" s="1"/>
  <c r="AJ53" i="58"/>
  <c r="AK53" i="58"/>
  <c r="AL53" i="58" s="1"/>
  <c r="AK44" i="58"/>
  <c r="AL44" i="58" s="1"/>
  <c r="AK36" i="58"/>
  <c r="AL36" i="58" s="1"/>
  <c r="AK28" i="58"/>
  <c r="AL28" i="58" s="1"/>
  <c r="AK20" i="58"/>
  <c r="AL20" i="58" s="1"/>
  <c r="AK12" i="58"/>
  <c r="AL12" i="58" s="1"/>
  <c r="AE46" i="58"/>
  <c r="AH46" i="58"/>
  <c r="AI46" i="58" s="1"/>
  <c r="AE42" i="58"/>
  <c r="AH42" i="58"/>
  <c r="AI42" i="58" s="1"/>
  <c r="AE38" i="58"/>
  <c r="AH38" i="58"/>
  <c r="AI38" i="58" s="1"/>
  <c r="AE34" i="58"/>
  <c r="AH34" i="58"/>
  <c r="AI34" i="58" s="1"/>
  <c r="AE30" i="58"/>
  <c r="AH30" i="58"/>
  <c r="AI30" i="58" s="1"/>
  <c r="AE26" i="58"/>
  <c r="AH26" i="58"/>
  <c r="AI26" i="58" s="1"/>
  <c r="AE22" i="58"/>
  <c r="AH22" i="58"/>
  <c r="AI22" i="58" s="1"/>
  <c r="AE18" i="58"/>
  <c r="AH18" i="58"/>
  <c r="AI18" i="58" s="1"/>
  <c r="AE14" i="58"/>
  <c r="AH14" i="58"/>
  <c r="AI14" i="58" s="1"/>
  <c r="AE10" i="58"/>
  <c r="AH10" i="58"/>
  <c r="AI10" i="58" s="1"/>
  <c r="AE6" i="58"/>
  <c r="AH6" i="58"/>
  <c r="AI6" i="58" s="1"/>
  <c r="AE5" i="58"/>
  <c r="AK5" i="58"/>
  <c r="AL5" i="58" s="1"/>
  <c r="AJ46" i="58"/>
  <c r="AE45" i="58"/>
  <c r="AK45" i="58"/>
  <c r="AL45" i="58" s="1"/>
  <c r="AJ42" i="58"/>
  <c r="AE41" i="58"/>
  <c r="AK41" i="58"/>
  <c r="AL41" i="58" s="1"/>
  <c r="AJ38" i="58"/>
  <c r="AE37" i="58"/>
  <c r="AK37" i="58"/>
  <c r="AL37" i="58" s="1"/>
  <c r="AJ34" i="58"/>
  <c r="AE33" i="58"/>
  <c r="AK33" i="58"/>
  <c r="AL33" i="58" s="1"/>
  <c r="AJ30" i="58"/>
  <c r="AE29" i="58"/>
  <c r="AK29" i="58"/>
  <c r="AL29" i="58" s="1"/>
  <c r="AJ26" i="58"/>
  <c r="AE25" i="58"/>
  <c r="AK25" i="58"/>
  <c r="AL25" i="58" s="1"/>
  <c r="AJ22" i="58"/>
  <c r="AE21" i="58"/>
  <c r="AK21" i="58"/>
  <c r="AL21" i="58" s="1"/>
  <c r="AJ18" i="58"/>
  <c r="AE17" i="58"/>
  <c r="AK17" i="58"/>
  <c r="AL17" i="58" s="1"/>
  <c r="AJ14" i="58"/>
  <c r="AE13" i="58"/>
  <c r="AK13" i="58"/>
  <c r="AL13" i="58" s="1"/>
  <c r="AJ10" i="58"/>
  <c r="AE9" i="58"/>
  <c r="AK9" i="58"/>
  <c r="AL9" i="58" s="1"/>
  <c r="AJ6" i="58"/>
  <c r="AH5" i="58"/>
  <c r="AI5" i="58" s="1"/>
  <c r="AK169" i="58"/>
  <c r="AL169" i="58" s="1"/>
  <c r="AK165" i="58"/>
  <c r="AL165" i="58" s="1"/>
  <c r="AK161" i="58"/>
  <c r="AL161" i="58" s="1"/>
  <c r="AK157" i="58"/>
  <c r="AL157" i="58" s="1"/>
  <c r="AK153" i="58"/>
  <c r="AL153" i="58" s="1"/>
  <c r="AK149" i="58"/>
  <c r="AL149" i="58" s="1"/>
  <c r="AK145" i="58"/>
  <c r="AL145" i="58" s="1"/>
  <c r="AK141" i="58"/>
  <c r="AL141" i="58" s="1"/>
  <c r="AK137" i="58"/>
  <c r="AL137" i="58" s="1"/>
  <c r="AK133" i="58"/>
  <c r="AL133" i="58" s="1"/>
  <c r="AK129" i="58"/>
  <c r="AL129" i="58" s="1"/>
  <c r="AK125" i="58"/>
  <c r="AL125" i="58" s="1"/>
  <c r="AK121" i="58"/>
  <c r="AL121" i="58" s="1"/>
  <c r="AK117" i="58"/>
  <c r="AL117" i="58" s="1"/>
  <c r="AK113" i="58"/>
  <c r="AL113" i="58" s="1"/>
  <c r="AK109" i="58"/>
  <c r="AL109" i="58" s="1"/>
  <c r="AK105" i="58"/>
  <c r="AL105" i="58" s="1"/>
  <c r="AK101" i="58"/>
  <c r="AL101" i="58" s="1"/>
  <c r="AK97" i="58"/>
  <c r="AL97" i="58" s="1"/>
  <c r="AK93" i="58"/>
  <c r="AL93" i="58" s="1"/>
  <c r="AK89" i="58"/>
  <c r="AL89" i="58" s="1"/>
  <c r="AK85" i="58"/>
  <c r="AL85" i="58" s="1"/>
  <c r="AK81" i="58"/>
  <c r="AL81" i="58" s="1"/>
  <c r="AK77" i="58"/>
  <c r="AL77" i="58" s="1"/>
  <c r="AK73" i="58"/>
  <c r="AL73" i="58" s="1"/>
  <c r="AK69" i="58"/>
  <c r="AL69" i="58" s="1"/>
  <c r="AK66" i="58"/>
  <c r="AL66" i="58" s="1"/>
  <c r="AK62" i="58"/>
  <c r="AL62" i="58" s="1"/>
  <c r="AK58" i="58"/>
  <c r="AL58" i="58" s="1"/>
  <c r="AK54" i="58"/>
  <c r="AL54" i="58" s="1"/>
  <c r="AK51" i="58"/>
  <c r="AL51" i="58" s="1"/>
  <c r="AH45" i="58"/>
  <c r="AI45" i="58" s="1"/>
  <c r="AE44" i="58"/>
  <c r="AH44" i="58"/>
  <c r="AI44" i="58" s="1"/>
  <c r="AH41" i="58"/>
  <c r="AI41" i="58" s="1"/>
  <c r="AE40" i="58"/>
  <c r="AH40" i="58"/>
  <c r="AI40" i="58" s="1"/>
  <c r="AH37" i="58"/>
  <c r="AI37" i="58" s="1"/>
  <c r="AE36" i="58"/>
  <c r="AH36" i="58"/>
  <c r="AI36" i="58" s="1"/>
  <c r="AH33" i="58"/>
  <c r="AI33" i="58" s="1"/>
  <c r="AE32" i="58"/>
  <c r="AH32" i="58"/>
  <c r="AI32" i="58" s="1"/>
  <c r="AH29" i="58"/>
  <c r="AI29" i="58" s="1"/>
  <c r="AE28" i="58"/>
  <c r="AH28" i="58"/>
  <c r="AI28" i="58" s="1"/>
  <c r="AH25" i="58"/>
  <c r="AI25" i="58" s="1"/>
  <c r="AE24" i="58"/>
  <c r="AH24" i="58"/>
  <c r="AI24" i="58" s="1"/>
  <c r="AH21" i="58"/>
  <c r="AI21" i="58" s="1"/>
  <c r="AE20" i="58"/>
  <c r="AH20" i="58"/>
  <c r="AI20" i="58" s="1"/>
  <c r="AH17" i="58"/>
  <c r="AI17" i="58" s="1"/>
  <c r="AE16" i="58"/>
  <c r="AH16" i="58"/>
  <c r="AI16" i="58" s="1"/>
  <c r="AH13" i="58"/>
  <c r="AI13" i="58" s="1"/>
  <c r="AE12" i="58"/>
  <c r="AH12" i="58"/>
  <c r="AI12" i="58" s="1"/>
  <c r="AH9" i="58"/>
  <c r="AI9" i="58" s="1"/>
  <c r="AE8" i="58"/>
  <c r="AH8" i="58"/>
  <c r="AI8" i="58" s="1"/>
  <c r="AK170" i="58"/>
  <c r="AL170" i="58" s="1"/>
  <c r="AE169" i="58"/>
  <c r="AK166" i="58"/>
  <c r="AL166" i="58" s="1"/>
  <c r="AE165" i="58"/>
  <c r="AK162" i="58"/>
  <c r="AL162" i="58" s="1"/>
  <c r="AE161" i="58"/>
  <c r="AK158" i="58"/>
  <c r="AL158" i="58" s="1"/>
  <c r="AE157" i="58"/>
  <c r="AK154" i="58"/>
  <c r="AL154" i="58" s="1"/>
  <c r="AE153" i="58"/>
  <c r="AK150" i="58"/>
  <c r="AL150" i="58" s="1"/>
  <c r="AE149" i="58"/>
  <c r="AK146" i="58"/>
  <c r="AL146" i="58" s="1"/>
  <c r="AE145" i="58"/>
  <c r="AK142" i="58"/>
  <c r="AL142" i="58" s="1"/>
  <c r="AE141" i="58"/>
  <c r="AK138" i="58"/>
  <c r="AL138" i="58" s="1"/>
  <c r="AE137" i="58"/>
  <c r="AK134" i="58"/>
  <c r="AL134" i="58" s="1"/>
  <c r="AE133" i="58"/>
  <c r="AK130" i="58"/>
  <c r="AL130" i="58" s="1"/>
  <c r="AE129" i="58"/>
  <c r="AK126" i="58"/>
  <c r="AL126" i="58" s="1"/>
  <c r="AE125" i="58"/>
  <c r="AK122" i="58"/>
  <c r="AL122" i="58" s="1"/>
  <c r="AE121" i="58"/>
  <c r="AK118" i="58"/>
  <c r="AL118" i="58" s="1"/>
  <c r="AE117" i="58"/>
  <c r="AK114" i="58"/>
  <c r="AL114" i="58" s="1"/>
  <c r="AE113" i="58"/>
  <c r="AK110" i="58"/>
  <c r="AL110" i="58" s="1"/>
  <c r="AE109" i="58"/>
  <c r="AK106" i="58"/>
  <c r="AL106" i="58" s="1"/>
  <c r="AE105" i="58"/>
  <c r="AK102" i="58"/>
  <c r="AL102" i="58" s="1"/>
  <c r="AE101" i="58"/>
  <c r="AK98" i="58"/>
  <c r="AL98" i="58" s="1"/>
  <c r="AE97" i="58"/>
  <c r="AK94" i="58"/>
  <c r="AL94" i="58" s="1"/>
  <c r="AE93" i="58"/>
  <c r="AK90" i="58"/>
  <c r="AL90" i="58" s="1"/>
  <c r="AE89" i="58"/>
  <c r="AK86" i="58"/>
  <c r="AL86" i="58" s="1"/>
  <c r="AE85" i="58"/>
  <c r="AK82" i="58"/>
  <c r="AL82" i="58" s="1"/>
  <c r="AE81" i="58"/>
  <c r="AK78" i="58"/>
  <c r="AL78" i="58" s="1"/>
  <c r="AE77" i="58"/>
  <c r="AK74" i="58"/>
  <c r="AL74" i="58" s="1"/>
  <c r="AE73" i="58"/>
  <c r="AK70" i="58"/>
  <c r="AL70" i="58" s="1"/>
  <c r="AE69" i="58"/>
  <c r="AK67" i="58"/>
  <c r="AL67" i="58" s="1"/>
  <c r="AE66" i="58"/>
  <c r="AK63" i="58"/>
  <c r="AL63" i="58" s="1"/>
  <c r="AE62" i="58"/>
  <c r="AK59" i="58"/>
  <c r="AL59" i="58" s="1"/>
  <c r="AE58" i="58"/>
  <c r="AK55" i="58"/>
  <c r="AL55" i="58" s="1"/>
  <c r="AE54" i="58"/>
  <c r="AE51" i="58"/>
  <c r="AK48" i="58"/>
  <c r="AL48" i="58" s="1"/>
  <c r="AE47" i="58"/>
  <c r="AJ47" i="58"/>
  <c r="AJ44" i="58"/>
  <c r="AE43" i="58"/>
  <c r="AK43" i="58"/>
  <c r="AL43" i="58" s="1"/>
  <c r="AJ40" i="58"/>
  <c r="AE39" i="58"/>
  <c r="AK39" i="58"/>
  <c r="AL39" i="58" s="1"/>
  <c r="AJ36" i="58"/>
  <c r="AE35" i="58"/>
  <c r="AK35" i="58"/>
  <c r="AL35" i="58" s="1"/>
  <c r="AJ32" i="58"/>
  <c r="AE31" i="58"/>
  <c r="AK31" i="58"/>
  <c r="AL31" i="58" s="1"/>
  <c r="AJ28" i="58"/>
  <c r="AE27" i="58"/>
  <c r="AK27" i="58"/>
  <c r="AL27" i="58" s="1"/>
  <c r="AJ24" i="58"/>
  <c r="AE23" i="58"/>
  <c r="AK23" i="58"/>
  <c r="AL23" i="58" s="1"/>
  <c r="AJ20" i="58"/>
  <c r="AE19" i="58"/>
  <c r="AK19" i="58"/>
  <c r="AL19" i="58" s="1"/>
  <c r="AJ16" i="58"/>
  <c r="AE15" i="58"/>
  <c r="AK15" i="58"/>
  <c r="AL15" i="58" s="1"/>
  <c r="AJ12" i="58"/>
  <c r="AE11" i="58"/>
  <c r="AK11" i="58"/>
  <c r="AL11" i="58" s="1"/>
  <c r="AJ8" i="58"/>
  <c r="AE7" i="58"/>
  <c r="AK7" i="58"/>
  <c r="AL7" i="58" s="1"/>
  <c r="U149" i="58"/>
  <c r="AW149" i="58"/>
  <c r="AX149" i="58" s="1"/>
  <c r="CE171" i="58" l="1"/>
  <c r="CC171" i="58"/>
  <c r="BZ171" i="58"/>
  <c r="BT171" i="58"/>
  <c r="BW171" i="58" s="1"/>
  <c r="BX171" i="58" s="1"/>
  <c r="BY171" i="58" s="1"/>
  <c r="BP171" i="58"/>
  <c r="BO171" i="58"/>
  <c r="BM171" i="58"/>
  <c r="BK171" i="58"/>
  <c r="BI171" i="58"/>
  <c r="BJ171" i="58" s="1"/>
  <c r="BF171" i="58"/>
  <c r="BE171" i="58"/>
  <c r="BA171" i="58"/>
  <c r="BB171" i="58" s="1"/>
  <c r="AW171" i="58"/>
  <c r="AX171" i="58" s="1"/>
  <c r="U171" i="58"/>
  <c r="M171" i="58"/>
  <c r="CE170" i="58"/>
  <c r="CC170" i="58"/>
  <c r="BZ170" i="58"/>
  <c r="BT170" i="58"/>
  <c r="BW170" i="58" s="1"/>
  <c r="BX170" i="58" s="1"/>
  <c r="BY170" i="58" s="1"/>
  <c r="BP170" i="58"/>
  <c r="BO170" i="58"/>
  <c r="BM170" i="58"/>
  <c r="BK170" i="58"/>
  <c r="BI170" i="58"/>
  <c r="BJ170" i="58" s="1"/>
  <c r="BF170" i="58"/>
  <c r="BE170" i="58"/>
  <c r="BA170" i="58"/>
  <c r="BB170" i="58" s="1"/>
  <c r="AW170" i="58"/>
  <c r="U170" i="58"/>
  <c r="M170" i="58"/>
  <c r="AY170" i="58" l="1"/>
  <c r="AZ170" i="58" s="1"/>
  <c r="AX170" i="58"/>
  <c r="AY171" i="58"/>
  <c r="AZ171" i="58" s="1"/>
  <c r="AB5" i="63"/>
  <c r="AC7" i="63" l="1"/>
  <c r="AB7" i="63" s="1"/>
  <c r="AA7" i="63" s="1"/>
  <c r="AC48" i="63" l="1"/>
  <c r="AB48" i="63" s="1"/>
  <c r="AA48" i="63" s="1"/>
  <c r="AC46" i="63"/>
  <c r="AB46" i="63" s="1"/>
  <c r="AA46" i="63" s="1"/>
  <c r="F9" i="57" l="1"/>
  <c r="AC62" i="63"/>
  <c r="AB62" i="63" s="1"/>
  <c r="AA62" i="63" s="1"/>
  <c r="AC61" i="63"/>
  <c r="AB61" i="63" s="1"/>
  <c r="AA61" i="63" s="1"/>
  <c r="AC60" i="63"/>
  <c r="AB60" i="63" s="1"/>
  <c r="AA60" i="63" s="1"/>
  <c r="AC58" i="63"/>
  <c r="AB58" i="63" s="1"/>
  <c r="AA58" i="63" s="1"/>
  <c r="AC57" i="63"/>
  <c r="AB57" i="63"/>
  <c r="AC56" i="63"/>
  <c r="AB56" i="63" s="1"/>
  <c r="AA56" i="63" s="1"/>
  <c r="AC55" i="63"/>
  <c r="AB55" i="63"/>
  <c r="AC54" i="63"/>
  <c r="AB54" i="63" s="1"/>
  <c r="AA54" i="63" s="1"/>
  <c r="AC51" i="63"/>
  <c r="AB51" i="63" s="1"/>
  <c r="AA51" i="63" s="1"/>
  <c r="AC50" i="63"/>
  <c r="AB50" i="63" s="1"/>
  <c r="AA50" i="63" s="1"/>
  <c r="AC49" i="63"/>
  <c r="AB49" i="63" s="1"/>
  <c r="AA49" i="63" s="1"/>
  <c r="AC47" i="63"/>
  <c r="AB47" i="63" s="1"/>
  <c r="AA47" i="63" s="1"/>
  <c r="AC45" i="63"/>
  <c r="AB45" i="63"/>
  <c r="AC44" i="63"/>
  <c r="AB44" i="63"/>
  <c r="AC43" i="63"/>
  <c r="AB43" i="63" s="1"/>
  <c r="AA43" i="63" s="1"/>
  <c r="AC42" i="63"/>
  <c r="AB42" i="63"/>
  <c r="AC41" i="63"/>
  <c r="AB41" i="63"/>
  <c r="AC40" i="63"/>
  <c r="AB40" i="63" s="1"/>
  <c r="AA40" i="63" s="1"/>
  <c r="AC37" i="63"/>
  <c r="AB37" i="63" s="1"/>
  <c r="AA37" i="63" s="1"/>
  <c r="AC36" i="63"/>
  <c r="AB36" i="63"/>
  <c r="AC34" i="63"/>
  <c r="AB34" i="63" s="1"/>
  <c r="AA34" i="63" s="1"/>
  <c r="AC33" i="63"/>
  <c r="AB33" i="63" s="1"/>
  <c r="AA33" i="63" s="1"/>
  <c r="AC32" i="63"/>
  <c r="AB32" i="63" s="1"/>
  <c r="AA32" i="63" s="1"/>
  <c r="AC31" i="63"/>
  <c r="AB31" i="63" s="1"/>
  <c r="AA31" i="63" s="1"/>
  <c r="AC30" i="63"/>
  <c r="AB30" i="63" s="1"/>
  <c r="AA30" i="63" s="1"/>
  <c r="AC29" i="63"/>
  <c r="AB29" i="63" s="1"/>
  <c r="AA29" i="63" s="1"/>
  <c r="AC28" i="63"/>
  <c r="AB28" i="63" s="1"/>
  <c r="AA28" i="63" s="1"/>
  <c r="AC27" i="63"/>
  <c r="AB27" i="63" s="1"/>
  <c r="AA27" i="63" s="1"/>
  <c r="AC26" i="63"/>
  <c r="AB26" i="63" s="1"/>
  <c r="AA26" i="63" s="1"/>
  <c r="AC25" i="63"/>
  <c r="AB25" i="63" s="1"/>
  <c r="AA25" i="63" s="1"/>
  <c r="AC24" i="63"/>
  <c r="AB24" i="63"/>
  <c r="AC23" i="63"/>
  <c r="AB23" i="63"/>
  <c r="AC22" i="63"/>
  <c r="AB22" i="63"/>
  <c r="AC21" i="63"/>
  <c r="AB21" i="63"/>
  <c r="AC20" i="63"/>
  <c r="AB20" i="63"/>
  <c r="AC19" i="63"/>
  <c r="AB19" i="63" s="1"/>
  <c r="AA19" i="63" s="1"/>
  <c r="AC18" i="63"/>
  <c r="AB18" i="63" s="1"/>
  <c r="AA18" i="63" s="1"/>
  <c r="AC17" i="63"/>
  <c r="AB17" i="63"/>
  <c r="AC16" i="63"/>
  <c r="AB16" i="63"/>
  <c r="AC15" i="63"/>
  <c r="AB15" i="63"/>
  <c r="AC14" i="63"/>
  <c r="AB14" i="63"/>
  <c r="AC13" i="63"/>
  <c r="AB13" i="63" s="1"/>
  <c r="AA13" i="63" s="1"/>
  <c r="AC12" i="63"/>
  <c r="AB12" i="63"/>
  <c r="AC11" i="63"/>
  <c r="AB11" i="63"/>
  <c r="AC10" i="63"/>
  <c r="AB10" i="63"/>
  <c r="AC9" i="63"/>
  <c r="AB9" i="63"/>
  <c r="AC8" i="63"/>
  <c r="AB8" i="63"/>
  <c r="AC6" i="63"/>
  <c r="AB6" i="63" s="1"/>
  <c r="AA6" i="63" s="1"/>
  <c r="AC5" i="63"/>
  <c r="AA15" i="63" l="1"/>
  <c r="AA57" i="63"/>
  <c r="AA5" i="63"/>
  <c r="AA9" i="63"/>
  <c r="AA21" i="63"/>
  <c r="AA45" i="63"/>
  <c r="AA8" i="63"/>
  <c r="AA10" i="63"/>
  <c r="AA11" i="63"/>
  <c r="AA12" i="63"/>
  <c r="AA17" i="63"/>
  <c r="AA23" i="63"/>
  <c r="AA41" i="63"/>
  <c r="AA44" i="63"/>
  <c r="AA55" i="63"/>
  <c r="AA14" i="63"/>
  <c r="AA16" i="63"/>
  <c r="AA20" i="63"/>
  <c r="AA22" i="63"/>
  <c r="AA24" i="63"/>
  <c r="AA36" i="63"/>
  <c r="AA42" i="63"/>
  <c r="CE173" i="58"/>
  <c r="CC173" i="58"/>
  <c r="BZ173" i="58"/>
  <c r="BT173" i="58"/>
  <c r="BW173" i="58" s="1"/>
  <c r="BX173" i="58" s="1"/>
  <c r="BY173" i="58" s="1"/>
  <c r="BP173" i="58"/>
  <c r="BO173" i="58"/>
  <c r="BM173" i="58"/>
  <c r="BK173" i="58"/>
  <c r="BI173" i="58"/>
  <c r="BJ173" i="58" s="1"/>
  <c r="BF173" i="58"/>
  <c r="BE173" i="58"/>
  <c r="BA173" i="58"/>
  <c r="BB173" i="58" s="1"/>
  <c r="AW173" i="58"/>
  <c r="AO173" i="58"/>
  <c r="AN173" i="58"/>
  <c r="AM173" i="58"/>
  <c r="AF173" i="58"/>
  <c r="AG173" i="58" s="1"/>
  <c r="AD173" i="58"/>
  <c r="U173" i="58"/>
  <c r="M173" i="58"/>
  <c r="AY173" i="58" l="1"/>
  <c r="AZ173" i="58" s="1"/>
  <c r="AX173" i="58"/>
  <c r="AK173" i="58"/>
  <c r="AL173" i="58" s="1"/>
  <c r="AH173" i="58"/>
  <c r="AI173" i="58" s="1"/>
  <c r="AJ173" i="58"/>
  <c r="AE173" i="58"/>
  <c r="N50" i="63"/>
  <c r="K50" i="63"/>
  <c r="F10" i="57" l="1"/>
  <c r="C12" i="57"/>
  <c r="D26" i="57"/>
  <c r="D20" i="57"/>
  <c r="D22" i="57"/>
  <c r="D30" i="57"/>
  <c r="D21" i="57"/>
  <c r="E26" i="57"/>
  <c r="E20" i="57" l="1"/>
  <c r="CE172" i="58" l="1"/>
  <c r="BZ172" i="58"/>
  <c r="BT172" i="58"/>
  <c r="BW172" i="58" s="1"/>
  <c r="BX172" i="58" s="1"/>
  <c r="BY172" i="58" s="1"/>
  <c r="BP179" i="58"/>
  <c r="BO179" i="58"/>
  <c r="BP178" i="58"/>
  <c r="BO178" i="58"/>
  <c r="BP172" i="58"/>
  <c r="BO172" i="58"/>
  <c r="BP169" i="58"/>
  <c r="BO169" i="58"/>
  <c r="BP168" i="58"/>
  <c r="BO168" i="58"/>
  <c r="BP167" i="58"/>
  <c r="BO167" i="58"/>
  <c r="BP166" i="58"/>
  <c r="BO166" i="58"/>
  <c r="BP165" i="58"/>
  <c r="BO165" i="58"/>
  <c r="BP164" i="58"/>
  <c r="BO164" i="58"/>
  <c r="BP163" i="58"/>
  <c r="BO163" i="58"/>
  <c r="BP162" i="58"/>
  <c r="BO162" i="58"/>
  <c r="BP161" i="58"/>
  <c r="BO161" i="58"/>
  <c r="BP160" i="58"/>
  <c r="BO160" i="58"/>
  <c r="BP159" i="58"/>
  <c r="BO159" i="58"/>
  <c r="BP158" i="58"/>
  <c r="BO158" i="58"/>
  <c r="BM179" i="58"/>
  <c r="BM178" i="58"/>
  <c r="BM172" i="58"/>
  <c r="BM169" i="58"/>
  <c r="BM168" i="58"/>
  <c r="BM167" i="58"/>
  <c r="BM166" i="58"/>
  <c r="BM165" i="58"/>
  <c r="BM164" i="58"/>
  <c r="BM163" i="58"/>
  <c r="BM162" i="58"/>
  <c r="BM161" i="58"/>
  <c r="BM160" i="58"/>
  <c r="BM159" i="58"/>
  <c r="BM158" i="58"/>
  <c r="BM157" i="58"/>
  <c r="BK179" i="58"/>
  <c r="BI179" i="58"/>
  <c r="BJ179" i="58" s="1"/>
  <c r="BK178" i="58"/>
  <c r="BI178" i="58"/>
  <c r="BJ178" i="58" s="1"/>
  <c r="BK172" i="58"/>
  <c r="BI172" i="58"/>
  <c r="BJ172" i="58" s="1"/>
  <c r="BK169" i="58"/>
  <c r="BI169" i="58"/>
  <c r="BJ169" i="58" s="1"/>
  <c r="BK168" i="58"/>
  <c r="BI168" i="58"/>
  <c r="BJ168" i="58" s="1"/>
  <c r="BK167" i="58"/>
  <c r="BI167" i="58"/>
  <c r="BJ167" i="58" s="1"/>
  <c r="BK166" i="58"/>
  <c r="BI166" i="58"/>
  <c r="BJ166" i="58" s="1"/>
  <c r="BK165" i="58"/>
  <c r="BI165" i="58"/>
  <c r="BJ165" i="58" s="1"/>
  <c r="BK164" i="58"/>
  <c r="BI164" i="58"/>
  <c r="BJ164" i="58" s="1"/>
  <c r="BK163" i="58"/>
  <c r="BI163" i="58"/>
  <c r="BJ163" i="58" s="1"/>
  <c r="BK162" i="58"/>
  <c r="BI162" i="58"/>
  <c r="BJ162" i="58" s="1"/>
  <c r="BK161" i="58"/>
  <c r="BI161" i="58"/>
  <c r="BJ161" i="58" s="1"/>
  <c r="BK160" i="58"/>
  <c r="BI160" i="58"/>
  <c r="BJ160" i="58" s="1"/>
  <c r="BK159" i="58"/>
  <c r="BI159" i="58"/>
  <c r="BJ159" i="58" s="1"/>
  <c r="BK158" i="58"/>
  <c r="BI158" i="58"/>
  <c r="BJ158" i="58" s="1"/>
  <c r="BA179" i="58"/>
  <c r="BB179" i="58" s="1"/>
  <c r="AW179" i="58"/>
  <c r="AX179" i="58" s="1"/>
  <c r="BA178" i="58"/>
  <c r="BB178" i="58" s="1"/>
  <c r="AW178" i="58"/>
  <c r="AX178" i="58" s="1"/>
  <c r="BA172" i="58"/>
  <c r="BB172" i="58" s="1"/>
  <c r="AW172" i="58"/>
  <c r="AX172" i="58" s="1"/>
  <c r="BA169" i="58"/>
  <c r="BB169" i="58" s="1"/>
  <c r="AW169" i="58"/>
  <c r="AX169" i="58" s="1"/>
  <c r="BA168" i="58"/>
  <c r="BB168" i="58" s="1"/>
  <c r="AW168" i="58"/>
  <c r="AX168" i="58" s="1"/>
  <c r="BA167" i="58"/>
  <c r="BB167" i="58" s="1"/>
  <c r="AW167" i="58"/>
  <c r="AX167" i="58" s="1"/>
  <c r="BA166" i="58"/>
  <c r="BB166" i="58" s="1"/>
  <c r="AW166" i="58"/>
  <c r="AX166" i="58" s="1"/>
  <c r="BA165" i="58"/>
  <c r="BB165" i="58" s="1"/>
  <c r="AW165" i="58"/>
  <c r="AX165" i="58" s="1"/>
  <c r="BA164" i="58"/>
  <c r="BB164" i="58" s="1"/>
  <c r="AW164" i="58"/>
  <c r="AX164" i="58" s="1"/>
  <c r="BA163" i="58"/>
  <c r="BB163" i="58" s="1"/>
  <c r="AW163" i="58"/>
  <c r="AX163" i="58" s="1"/>
  <c r="BA162" i="58"/>
  <c r="BB162" i="58" s="1"/>
  <c r="AW162" i="58"/>
  <c r="AX162" i="58" s="1"/>
  <c r="BA161" i="58"/>
  <c r="BB161" i="58" s="1"/>
  <c r="AW161" i="58"/>
  <c r="AX161" i="58" s="1"/>
  <c r="BA160" i="58"/>
  <c r="BB160" i="58" s="1"/>
  <c r="AW160" i="58"/>
  <c r="AX160" i="58" s="1"/>
  <c r="BA159" i="58"/>
  <c r="BB159" i="58" s="1"/>
  <c r="AW159" i="58"/>
  <c r="AX159" i="58" s="1"/>
  <c r="BA158" i="58"/>
  <c r="BB158" i="58" s="1"/>
  <c r="AW158" i="58"/>
  <c r="AX158" i="58" s="1"/>
  <c r="AW157" i="58"/>
  <c r="BK157" i="58"/>
  <c r="BK156" i="58"/>
  <c r="BK155" i="58"/>
  <c r="BK154" i="58"/>
  <c r="BK153" i="58"/>
  <c r="BK152" i="58"/>
  <c r="BK151" i="58"/>
  <c r="BK150" i="58"/>
  <c r="BK149" i="58"/>
  <c r="BK148" i="58"/>
  <c r="BK147" i="58"/>
  <c r="BK146" i="58"/>
  <c r="BK145" i="58"/>
  <c r="BK144" i="58"/>
  <c r="BK143" i="58"/>
  <c r="BK142" i="58"/>
  <c r="BK141" i="58"/>
  <c r="BK140" i="58"/>
  <c r="BK139" i="58"/>
  <c r="BK138" i="58"/>
  <c r="BK137" i="58"/>
  <c r="BK136" i="58"/>
  <c r="BK135" i="58"/>
  <c r="BK134" i="58"/>
  <c r="BK133" i="58"/>
  <c r="BK132" i="58"/>
  <c r="BK131" i="58"/>
  <c r="BK130" i="58"/>
  <c r="BK129" i="58"/>
  <c r="BK128" i="58"/>
  <c r="BK127" i="58"/>
  <c r="BK126" i="58"/>
  <c r="BK125" i="58"/>
  <c r="BK124" i="58"/>
  <c r="BK123" i="58"/>
  <c r="BK122" i="58"/>
  <c r="BK121" i="58"/>
  <c r="BK120" i="58"/>
  <c r="BK119" i="58"/>
  <c r="BK118" i="58"/>
  <c r="BK117" i="58"/>
  <c r="BK116" i="58"/>
  <c r="BK115" i="58"/>
  <c r="BK114" i="58"/>
  <c r="BK113" i="58"/>
  <c r="BK112" i="58"/>
  <c r="BK111" i="58"/>
  <c r="BK110" i="58"/>
  <c r="BK109" i="58"/>
  <c r="BK108" i="58"/>
  <c r="BK107" i="58"/>
  <c r="BK106" i="58"/>
  <c r="BK105" i="58"/>
  <c r="BK104" i="58"/>
  <c r="BK103" i="58"/>
  <c r="BK102" i="58"/>
  <c r="BK101" i="58"/>
  <c r="BK100" i="58"/>
  <c r="BK99" i="58"/>
  <c r="BK98" i="58"/>
  <c r="BK97" i="58"/>
  <c r="BK96" i="58"/>
  <c r="BK95" i="58"/>
  <c r="BK94" i="58"/>
  <c r="BK93" i="58"/>
  <c r="BK92" i="58"/>
  <c r="BK91" i="58"/>
  <c r="BK90" i="58"/>
  <c r="BK89" i="58"/>
  <c r="BK88" i="58"/>
  <c r="BK87" i="58"/>
  <c r="BK86" i="58"/>
  <c r="BK85" i="58"/>
  <c r="BK84" i="58"/>
  <c r="BK83" i="58"/>
  <c r="BK82" i="58"/>
  <c r="BK81" i="58"/>
  <c r="BK80" i="58"/>
  <c r="BK79" i="58"/>
  <c r="BK78" i="58"/>
  <c r="BK77" i="58"/>
  <c r="BK76" i="58"/>
  <c r="BK75" i="58"/>
  <c r="BK74" i="58"/>
  <c r="BK73" i="58"/>
  <c r="BK72" i="58"/>
  <c r="BK71" i="58"/>
  <c r="BK70" i="58"/>
  <c r="BK69" i="58"/>
  <c r="BK68" i="58"/>
  <c r="BK67" i="58"/>
  <c r="BK66" i="58"/>
  <c r="BK65" i="58"/>
  <c r="BK64" i="58"/>
  <c r="BK63" i="58"/>
  <c r="BK62" i="58"/>
  <c r="BK61" i="58"/>
  <c r="BK60" i="58"/>
  <c r="BK59" i="58"/>
  <c r="BK58" i="58"/>
  <c r="BK57" i="58"/>
  <c r="BK56" i="58"/>
  <c r="BK55" i="58"/>
  <c r="BK54" i="58"/>
  <c r="BK53" i="58"/>
  <c r="BK52" i="58"/>
  <c r="BK51" i="58"/>
  <c r="BK50" i="58"/>
  <c r="BK49" i="58"/>
  <c r="BK48" i="58"/>
  <c r="BK47" i="58"/>
  <c r="BK46" i="58"/>
  <c r="BK45" i="58"/>
  <c r="BK44" i="58"/>
  <c r="BK43" i="58"/>
  <c r="BK42" i="58"/>
  <c r="BK41" i="58"/>
  <c r="BK40" i="58"/>
  <c r="BK39" i="58"/>
  <c r="BK38" i="58"/>
  <c r="BK37" i="58"/>
  <c r="BK36" i="58"/>
  <c r="BK35" i="58"/>
  <c r="BK34" i="58"/>
  <c r="BK33" i="58"/>
  <c r="BK32" i="58"/>
  <c r="BK31" i="58"/>
  <c r="BK30" i="58"/>
  <c r="BK29" i="58"/>
  <c r="BK28" i="58"/>
  <c r="BK27" i="58"/>
  <c r="BK26" i="58"/>
  <c r="BK25" i="58"/>
  <c r="BK24" i="58"/>
  <c r="BK23" i="58"/>
  <c r="BK22" i="58"/>
  <c r="BK21" i="58"/>
  <c r="BK20" i="58"/>
  <c r="BK19" i="58"/>
  <c r="BK18" i="58"/>
  <c r="BK17" i="58"/>
  <c r="BK16" i="58"/>
  <c r="BK15" i="58"/>
  <c r="BK14" i="58"/>
  <c r="BK13" i="58"/>
  <c r="BK12" i="58"/>
  <c r="BK11" i="58"/>
  <c r="BK10" i="58"/>
  <c r="BK9" i="58"/>
  <c r="BK8" i="58"/>
  <c r="BK7" i="58"/>
  <c r="BK6" i="58"/>
  <c r="BK5" i="58"/>
  <c r="AO172" i="58"/>
  <c r="AN172" i="58"/>
  <c r="AM172" i="58"/>
  <c r="AF172" i="58"/>
  <c r="AG172" i="58" s="1"/>
  <c r="AD172" i="58"/>
  <c r="U172" i="58"/>
  <c r="U5" i="58"/>
  <c r="U6" i="58"/>
  <c r="U7" i="58"/>
  <c r="U8" i="58"/>
  <c r="U9" i="58"/>
  <c r="U10" i="58"/>
  <c r="U11" i="58"/>
  <c r="U12" i="58"/>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50" i="58"/>
  <c r="U151" i="58"/>
  <c r="U152" i="58"/>
  <c r="U153" i="58"/>
  <c r="U154" i="58"/>
  <c r="U155" i="58"/>
  <c r="U156" i="58"/>
  <c r="U157" i="58"/>
  <c r="U158" i="58"/>
  <c r="U159" i="58"/>
  <c r="U160" i="58"/>
  <c r="U161" i="58"/>
  <c r="U162" i="58"/>
  <c r="U163" i="58"/>
  <c r="U164" i="58"/>
  <c r="U165" i="58"/>
  <c r="U166" i="58"/>
  <c r="U167" i="58"/>
  <c r="U168" i="58"/>
  <c r="U169" i="58"/>
  <c r="U178" i="58"/>
  <c r="U179" i="58"/>
  <c r="AW5" i="58"/>
  <c r="AX5" i="58" s="1"/>
  <c r="BA5" i="58"/>
  <c r="BE5" i="58"/>
  <c r="BF5" i="58"/>
  <c r="BI5" i="58"/>
  <c r="BJ5" i="58" s="1"/>
  <c r="BM5" i="58"/>
  <c r="BO5" i="58"/>
  <c r="BP5" i="58"/>
  <c r="BT5" i="58"/>
  <c r="BW5" i="58" s="1"/>
  <c r="BX5" i="58" s="1"/>
  <c r="BY5" i="58" s="1"/>
  <c r="BZ5" i="58"/>
  <c r="CC5" i="58"/>
  <c r="CE5" i="58"/>
  <c r="AW6" i="58"/>
  <c r="AX6" i="58" s="1"/>
  <c r="BA6" i="58"/>
  <c r="BE6" i="58"/>
  <c r="BF6" i="58"/>
  <c r="BI6" i="58"/>
  <c r="BJ6" i="58" s="1"/>
  <c r="BM6" i="58"/>
  <c r="BO6" i="58"/>
  <c r="BP6" i="58"/>
  <c r="BT6" i="58"/>
  <c r="BW6" i="58" s="1"/>
  <c r="BX6" i="58" s="1"/>
  <c r="BY6" i="58" s="1"/>
  <c r="BZ6" i="58"/>
  <c r="CC6" i="58"/>
  <c r="CE6" i="58"/>
  <c r="M5" i="58"/>
  <c r="M6" i="58"/>
  <c r="M7" i="58"/>
  <c r="M8" i="58"/>
  <c r="M9" i="58"/>
  <c r="M10" i="58"/>
  <c r="M11" i="58"/>
  <c r="M12" i="58"/>
  <c r="M13" i="58"/>
  <c r="M14" i="58"/>
  <c r="M15" i="58"/>
  <c r="M16" i="58"/>
  <c r="M17" i="58"/>
  <c r="M18" i="58"/>
  <c r="M19" i="58"/>
  <c r="M20" i="58"/>
  <c r="M21" i="58"/>
  <c r="M22" i="58"/>
  <c r="M23" i="58"/>
  <c r="M24" i="58"/>
  <c r="M25" i="58"/>
  <c r="M26" i="58"/>
  <c r="M27" i="58"/>
  <c r="M28" i="58"/>
  <c r="M29" i="58"/>
  <c r="M30" i="58"/>
  <c r="M31" i="58"/>
  <c r="M32" i="58"/>
  <c r="M33" i="58"/>
  <c r="M34" i="58"/>
  <c r="M35" i="58"/>
  <c r="M36" i="58"/>
  <c r="M37" i="58"/>
  <c r="M38" i="58"/>
  <c r="M39" i="58"/>
  <c r="M40" i="58"/>
  <c r="M41" i="58"/>
  <c r="M42" i="58"/>
  <c r="M43" i="58"/>
  <c r="M44" i="58"/>
  <c r="M45" i="58"/>
  <c r="M46" i="58"/>
  <c r="M47" i="58"/>
  <c r="M48" i="58"/>
  <c r="M49" i="58"/>
  <c r="M50" i="58"/>
  <c r="M51" i="58"/>
  <c r="M52" i="58"/>
  <c r="M53" i="58"/>
  <c r="M54" i="58"/>
  <c r="M55" i="58"/>
  <c r="M56" i="58"/>
  <c r="M57" i="58"/>
  <c r="M58" i="58"/>
  <c r="M59" i="58"/>
  <c r="M60" i="58"/>
  <c r="M61" i="58"/>
  <c r="M62" i="58"/>
  <c r="M63" i="58"/>
  <c r="M64" i="58"/>
  <c r="M65" i="58"/>
  <c r="M66" i="58"/>
  <c r="M67" i="58"/>
  <c r="M68" i="58"/>
  <c r="M69" i="58"/>
  <c r="M70" i="58"/>
  <c r="M71" i="58"/>
  <c r="M72" i="58"/>
  <c r="M73" i="58"/>
  <c r="M74" i="58"/>
  <c r="M75" i="58"/>
  <c r="M76" i="58"/>
  <c r="M77" i="58"/>
  <c r="M78" i="58"/>
  <c r="M79" i="58"/>
  <c r="M80" i="58"/>
  <c r="M81" i="58"/>
  <c r="M82" i="58"/>
  <c r="M83" i="58"/>
  <c r="M84" i="58"/>
  <c r="M85" i="58"/>
  <c r="M86" i="58"/>
  <c r="M87" i="58"/>
  <c r="M88" i="58"/>
  <c r="M89" i="58"/>
  <c r="M90" i="58"/>
  <c r="M91" i="58"/>
  <c r="M92" i="58"/>
  <c r="M93" i="58"/>
  <c r="M94" i="58"/>
  <c r="M95" i="58"/>
  <c r="M96" i="58"/>
  <c r="M97" i="58"/>
  <c r="M98" i="58"/>
  <c r="M99" i="58"/>
  <c r="M100" i="58"/>
  <c r="M101" i="58"/>
  <c r="M102" i="58"/>
  <c r="M103" i="58"/>
  <c r="M104" i="58"/>
  <c r="M105" i="58"/>
  <c r="M106" i="58"/>
  <c r="M107" i="58"/>
  <c r="M108" i="58"/>
  <c r="M109" i="58"/>
  <c r="M110" i="58"/>
  <c r="M111" i="58"/>
  <c r="M112" i="58"/>
  <c r="M113" i="58"/>
  <c r="M114" i="58"/>
  <c r="M115" i="58"/>
  <c r="M116" i="58"/>
  <c r="M117" i="58"/>
  <c r="M118" i="58"/>
  <c r="M119" i="58"/>
  <c r="M120" i="58"/>
  <c r="M121" i="58"/>
  <c r="M122" i="58"/>
  <c r="M123" i="58"/>
  <c r="M124" i="58"/>
  <c r="M125" i="58"/>
  <c r="M126" i="58"/>
  <c r="M127" i="58"/>
  <c r="M128" i="58"/>
  <c r="M129" i="58"/>
  <c r="M130" i="58"/>
  <c r="M131" i="58"/>
  <c r="M132" i="58"/>
  <c r="M133" i="58"/>
  <c r="M134" i="58"/>
  <c r="M135" i="58"/>
  <c r="M136" i="58"/>
  <c r="M137" i="58"/>
  <c r="M138" i="58"/>
  <c r="M139" i="58"/>
  <c r="M140" i="58"/>
  <c r="M141" i="58"/>
  <c r="M142" i="58"/>
  <c r="M143" i="58"/>
  <c r="M144" i="58"/>
  <c r="M145" i="58"/>
  <c r="M146" i="58"/>
  <c r="M147" i="58"/>
  <c r="M148" i="58"/>
  <c r="M149" i="58"/>
  <c r="M150" i="58"/>
  <c r="M151" i="58"/>
  <c r="M152" i="58"/>
  <c r="M153" i="58"/>
  <c r="M154" i="58"/>
  <c r="M155" i="58"/>
  <c r="M156" i="58"/>
  <c r="M157" i="58"/>
  <c r="M158" i="58"/>
  <c r="M159" i="58"/>
  <c r="M160" i="58"/>
  <c r="M161" i="58"/>
  <c r="M162" i="58"/>
  <c r="M163" i="58"/>
  <c r="M164" i="58"/>
  <c r="M165" i="58"/>
  <c r="M166" i="58"/>
  <c r="M167" i="58"/>
  <c r="M168" i="58"/>
  <c r="M169" i="58"/>
  <c r="M178" i="58"/>
  <c r="M179" i="58"/>
  <c r="AY6" i="58" l="1"/>
  <c r="AZ6" i="58" s="1"/>
  <c r="AY5" i="58"/>
  <c r="AZ5" i="58" s="1"/>
  <c r="AK172" i="58"/>
  <c r="AL172" i="58" s="1"/>
  <c r="BB6" i="58"/>
  <c r="BB5" i="58"/>
  <c r="AY158" i="58"/>
  <c r="AZ158" i="58" s="1"/>
  <c r="AY159" i="58"/>
  <c r="AZ159" i="58" s="1"/>
  <c r="AY160" i="58"/>
  <c r="AZ160" i="58" s="1"/>
  <c r="AY161" i="58"/>
  <c r="AZ161" i="58" s="1"/>
  <c r="AY162" i="58"/>
  <c r="AZ162" i="58" s="1"/>
  <c r="AY163" i="58"/>
  <c r="AZ163" i="58" s="1"/>
  <c r="AY164" i="58"/>
  <c r="AZ164" i="58" s="1"/>
  <c r="AY165" i="58"/>
  <c r="AZ165" i="58" s="1"/>
  <c r="AY166" i="58"/>
  <c r="AZ166" i="58" s="1"/>
  <c r="AY167" i="58"/>
  <c r="AZ167" i="58" s="1"/>
  <c r="AY168" i="58"/>
  <c r="AZ168" i="58" s="1"/>
  <c r="AY169" i="58"/>
  <c r="AZ169" i="58" s="1"/>
  <c r="AY172" i="58"/>
  <c r="AZ172" i="58" s="1"/>
  <c r="AY178" i="58"/>
  <c r="AZ178" i="58" s="1"/>
  <c r="AY179" i="58"/>
  <c r="AZ179" i="58" s="1"/>
  <c r="AH172" i="58"/>
  <c r="AI172" i="58" s="1"/>
  <c r="AJ172" i="58"/>
  <c r="AE172" i="58"/>
  <c r="BZ179" i="58"/>
  <c r="BZ178" i="58"/>
  <c r="BZ169" i="58"/>
  <c r="BZ168" i="58"/>
  <c r="BZ167" i="58"/>
  <c r="BZ166" i="58"/>
  <c r="BZ165" i="58"/>
  <c r="BZ164" i="58"/>
  <c r="BZ163" i="58"/>
  <c r="BZ162" i="58"/>
  <c r="BZ161" i="58"/>
  <c r="BZ160" i="58"/>
  <c r="BZ159" i="58"/>
  <c r="BZ158" i="58"/>
  <c r="BZ157" i="58"/>
  <c r="BZ156" i="58"/>
  <c r="BZ155" i="58"/>
  <c r="BZ154" i="58"/>
  <c r="BZ153" i="58"/>
  <c r="BZ152" i="58"/>
  <c r="BZ151" i="58"/>
  <c r="BZ150" i="58"/>
  <c r="BZ149" i="58"/>
  <c r="BZ148" i="58"/>
  <c r="BZ147" i="58"/>
  <c r="BZ146" i="58"/>
  <c r="BZ145" i="58"/>
  <c r="BZ144" i="58"/>
  <c r="BZ143" i="58"/>
  <c r="BZ142" i="58"/>
  <c r="BZ141" i="58"/>
  <c r="BZ140" i="58"/>
  <c r="BZ139" i="58"/>
  <c r="BZ138" i="58"/>
  <c r="BZ137" i="58"/>
  <c r="BZ136" i="58"/>
  <c r="BZ135" i="58"/>
  <c r="BZ134" i="58"/>
  <c r="BZ133" i="58"/>
  <c r="BZ132" i="58"/>
  <c r="BZ131" i="58"/>
  <c r="BZ130" i="58"/>
  <c r="BZ129" i="58"/>
  <c r="BZ128" i="58"/>
  <c r="BZ127" i="58"/>
  <c r="BZ126" i="58"/>
  <c r="BZ125" i="58"/>
  <c r="BZ124" i="58"/>
  <c r="BZ123" i="58"/>
  <c r="BZ122" i="58"/>
  <c r="BZ121" i="58"/>
  <c r="BZ120" i="58"/>
  <c r="BZ119" i="58"/>
  <c r="BZ118" i="58"/>
  <c r="BZ117" i="58"/>
  <c r="BZ116" i="58"/>
  <c r="BZ115" i="58"/>
  <c r="BZ114" i="58"/>
  <c r="BZ113" i="58"/>
  <c r="BZ112" i="58"/>
  <c r="BZ111" i="58"/>
  <c r="BZ110" i="58"/>
  <c r="BZ109" i="58"/>
  <c r="BZ108" i="58"/>
  <c r="BZ107" i="58"/>
  <c r="BZ106" i="58"/>
  <c r="BZ105" i="58"/>
  <c r="BZ104" i="58"/>
  <c r="BZ103" i="58"/>
  <c r="BZ102" i="58"/>
  <c r="BZ101" i="58"/>
  <c r="BZ100" i="58"/>
  <c r="BZ99" i="58"/>
  <c r="BZ98" i="58"/>
  <c r="BZ97" i="58"/>
  <c r="BZ96" i="58"/>
  <c r="BZ95" i="58"/>
  <c r="BZ94" i="58"/>
  <c r="BZ93" i="58"/>
  <c r="BZ92" i="58"/>
  <c r="BZ91" i="58"/>
  <c r="BZ90" i="58"/>
  <c r="BZ89" i="58"/>
  <c r="BZ87" i="58"/>
  <c r="BZ86" i="58"/>
  <c r="BZ85" i="58"/>
  <c r="BZ84" i="58"/>
  <c r="BZ83" i="58"/>
  <c r="BZ82" i="58"/>
  <c r="BZ81" i="58"/>
  <c r="BZ80" i="58"/>
  <c r="BZ79" i="58"/>
  <c r="BZ78" i="58"/>
  <c r="BZ77" i="58"/>
  <c r="BZ76" i="58"/>
  <c r="BZ75" i="58"/>
  <c r="BZ74" i="58"/>
  <c r="BZ73" i="58"/>
  <c r="BZ72" i="58"/>
  <c r="BZ71" i="58"/>
  <c r="BZ70" i="58"/>
  <c r="BZ69" i="58"/>
  <c r="BZ68" i="58"/>
  <c r="BZ67" i="58"/>
  <c r="BZ66" i="58"/>
  <c r="BZ65" i="58"/>
  <c r="BZ64" i="58"/>
  <c r="BZ63" i="58"/>
  <c r="BZ62" i="58"/>
  <c r="BZ61" i="58"/>
  <c r="BZ60" i="58"/>
  <c r="BZ59" i="58"/>
  <c r="BZ58" i="58"/>
  <c r="BZ57" i="58"/>
  <c r="BZ56" i="58"/>
  <c r="BZ55" i="58"/>
  <c r="BZ54" i="58"/>
  <c r="BZ53" i="58"/>
  <c r="BZ52" i="58"/>
  <c r="BZ51" i="58"/>
  <c r="BZ50" i="58"/>
  <c r="BZ49" i="58"/>
  <c r="BZ48" i="58"/>
  <c r="BZ47" i="58"/>
  <c r="BZ46" i="58"/>
  <c r="BZ45" i="58"/>
  <c r="BZ44" i="58"/>
  <c r="BZ43" i="58"/>
  <c r="BZ42" i="58"/>
  <c r="BZ41" i="58"/>
  <c r="BZ40" i="58"/>
  <c r="BZ39" i="58"/>
  <c r="BZ38" i="58"/>
  <c r="BZ37" i="58"/>
  <c r="BZ36" i="58"/>
  <c r="BZ35" i="58"/>
  <c r="BZ34" i="58"/>
  <c r="BZ33" i="58"/>
  <c r="BZ32" i="58"/>
  <c r="BZ31" i="58"/>
  <c r="BZ30" i="58"/>
  <c r="BZ29" i="58"/>
  <c r="BZ28" i="58"/>
  <c r="BZ27" i="58"/>
  <c r="BZ26" i="58"/>
  <c r="BZ25" i="58"/>
  <c r="BZ24" i="58"/>
  <c r="BZ23" i="58"/>
  <c r="BZ22" i="58"/>
  <c r="BZ21" i="58"/>
  <c r="BZ20" i="58"/>
  <c r="BZ19" i="58"/>
  <c r="BZ18" i="58"/>
  <c r="BZ17" i="58"/>
  <c r="BZ16" i="58"/>
  <c r="BZ15" i="58"/>
  <c r="BZ14" i="58"/>
  <c r="BZ13" i="58"/>
  <c r="BZ12" i="58"/>
  <c r="BZ11" i="58"/>
  <c r="BZ10" i="58"/>
  <c r="BZ9" i="58"/>
  <c r="BZ8" i="58"/>
  <c r="BZ7" i="58"/>
  <c r="BZ88" i="58"/>
  <c r="BW179" i="58"/>
  <c r="BX179" i="58" s="1"/>
  <c r="BY179" i="58" s="1"/>
  <c r="BT178" i="58"/>
  <c r="BW178" i="58" s="1"/>
  <c r="BX178" i="58" s="1"/>
  <c r="BY178" i="58" s="1"/>
  <c r="BT169" i="58"/>
  <c r="BW169" i="58" s="1"/>
  <c r="BX169" i="58" s="1"/>
  <c r="BY169" i="58" s="1"/>
  <c r="BT168" i="58"/>
  <c r="BW168" i="58" s="1"/>
  <c r="BX168" i="58" s="1"/>
  <c r="BY168" i="58" s="1"/>
  <c r="BT167" i="58"/>
  <c r="BW167" i="58" s="1"/>
  <c r="BX167" i="58" s="1"/>
  <c r="BY167" i="58" s="1"/>
  <c r="BT166" i="58"/>
  <c r="BW166" i="58" s="1"/>
  <c r="BX166" i="58" s="1"/>
  <c r="BY166" i="58" s="1"/>
  <c r="BT165" i="58"/>
  <c r="BW165" i="58" s="1"/>
  <c r="BX165" i="58" s="1"/>
  <c r="BY165" i="58" s="1"/>
  <c r="BT164" i="58"/>
  <c r="BW164" i="58" s="1"/>
  <c r="BX164" i="58" s="1"/>
  <c r="BY164" i="58" s="1"/>
  <c r="BT163" i="58"/>
  <c r="BW163" i="58" s="1"/>
  <c r="BX163" i="58" s="1"/>
  <c r="BY163" i="58" s="1"/>
  <c r="BT162" i="58"/>
  <c r="BW162" i="58" s="1"/>
  <c r="BX162" i="58" s="1"/>
  <c r="BY162" i="58" s="1"/>
  <c r="BT161" i="58"/>
  <c r="BW161" i="58" s="1"/>
  <c r="BX161" i="58" s="1"/>
  <c r="BY161" i="58" s="1"/>
  <c r="BT160" i="58"/>
  <c r="BW160" i="58" s="1"/>
  <c r="BX160" i="58" s="1"/>
  <c r="BY160" i="58" s="1"/>
  <c r="BT159" i="58"/>
  <c r="BW159" i="58" s="1"/>
  <c r="BT158" i="58"/>
  <c r="BW158" i="58" s="1"/>
  <c r="BT157" i="58"/>
  <c r="BW157" i="58" s="1"/>
  <c r="BT156" i="58"/>
  <c r="BW156" i="58" s="1"/>
  <c r="BT155" i="58"/>
  <c r="BW155" i="58" s="1"/>
  <c r="BT154" i="58"/>
  <c r="BW154" i="58" s="1"/>
  <c r="BT153" i="58"/>
  <c r="BW153" i="58" s="1"/>
  <c r="BT152" i="58"/>
  <c r="BW152" i="58" s="1"/>
  <c r="BT151" i="58"/>
  <c r="BW151" i="58" s="1"/>
  <c r="BT150" i="58"/>
  <c r="BW150" i="58" s="1"/>
  <c r="BT149" i="58"/>
  <c r="BW149" i="58" s="1"/>
  <c r="BT148" i="58"/>
  <c r="BW148" i="58" s="1"/>
  <c r="BT147" i="58"/>
  <c r="BW147" i="58" s="1"/>
  <c r="BT146" i="58"/>
  <c r="BW146" i="58" s="1"/>
  <c r="BT145" i="58"/>
  <c r="BW145" i="58" s="1"/>
  <c r="BT144" i="58"/>
  <c r="BW144" i="58" s="1"/>
  <c r="BT143" i="58"/>
  <c r="BW143" i="58" s="1"/>
  <c r="BT142" i="58"/>
  <c r="BW142" i="58" s="1"/>
  <c r="BT141" i="58"/>
  <c r="BW141" i="58" s="1"/>
  <c r="BT140" i="58"/>
  <c r="BW140" i="58" s="1"/>
  <c r="BT139" i="58"/>
  <c r="BW139" i="58" s="1"/>
  <c r="BT138" i="58"/>
  <c r="BW138" i="58" s="1"/>
  <c r="BT137" i="58"/>
  <c r="BW137" i="58" s="1"/>
  <c r="BT136" i="58"/>
  <c r="BW136" i="58" s="1"/>
  <c r="BT135" i="58"/>
  <c r="BW135" i="58" s="1"/>
  <c r="BT134" i="58"/>
  <c r="BW134" i="58" s="1"/>
  <c r="BT133" i="58"/>
  <c r="BW133" i="58" s="1"/>
  <c r="BT132" i="58"/>
  <c r="BW132" i="58" s="1"/>
  <c r="BT131" i="58"/>
  <c r="BW131" i="58" s="1"/>
  <c r="BT130" i="58"/>
  <c r="BW130" i="58" s="1"/>
  <c r="BT129" i="58"/>
  <c r="BW129" i="58" s="1"/>
  <c r="BT128" i="58"/>
  <c r="BW128" i="58" s="1"/>
  <c r="BT127" i="58"/>
  <c r="BW127" i="58" s="1"/>
  <c r="BT126" i="58"/>
  <c r="BW126" i="58" s="1"/>
  <c r="BT125" i="58"/>
  <c r="BW125" i="58" s="1"/>
  <c r="BT124" i="58"/>
  <c r="BW124" i="58" s="1"/>
  <c r="BT123" i="58"/>
  <c r="BW123" i="58" s="1"/>
  <c r="BT122" i="58"/>
  <c r="BW122" i="58" s="1"/>
  <c r="BT121" i="58"/>
  <c r="BW121" i="58" s="1"/>
  <c r="BT120" i="58"/>
  <c r="BW120" i="58" s="1"/>
  <c r="BT119" i="58"/>
  <c r="BW119" i="58" s="1"/>
  <c r="BT118" i="58"/>
  <c r="BW118" i="58" s="1"/>
  <c r="BT117" i="58"/>
  <c r="BW117" i="58" s="1"/>
  <c r="BT116" i="58"/>
  <c r="BW116" i="58" s="1"/>
  <c r="BT115" i="58"/>
  <c r="BW115" i="58" s="1"/>
  <c r="BT114" i="58"/>
  <c r="BW114" i="58" s="1"/>
  <c r="BT113" i="58"/>
  <c r="BW113" i="58" s="1"/>
  <c r="BT112" i="58"/>
  <c r="BW112" i="58" s="1"/>
  <c r="BT111" i="58"/>
  <c r="BW111" i="58" s="1"/>
  <c r="BT110" i="58"/>
  <c r="BW110" i="58" s="1"/>
  <c r="BT109" i="58"/>
  <c r="BW109" i="58" s="1"/>
  <c r="BT108" i="58"/>
  <c r="BW108" i="58" s="1"/>
  <c r="BT107" i="58"/>
  <c r="BW107" i="58" s="1"/>
  <c r="BT106" i="58"/>
  <c r="BW106" i="58" s="1"/>
  <c r="BT105" i="58"/>
  <c r="BW105" i="58" s="1"/>
  <c r="BT104" i="58"/>
  <c r="BW104" i="58" s="1"/>
  <c r="BT103" i="58"/>
  <c r="BW103" i="58" s="1"/>
  <c r="BT102" i="58"/>
  <c r="BW102" i="58" s="1"/>
  <c r="BT101" i="58"/>
  <c r="BW101" i="58" s="1"/>
  <c r="BT100" i="58"/>
  <c r="BW100" i="58" s="1"/>
  <c r="BT99" i="58"/>
  <c r="BW99" i="58" s="1"/>
  <c r="BT98" i="58"/>
  <c r="BW98" i="58" s="1"/>
  <c r="BT97" i="58"/>
  <c r="BW97" i="58" s="1"/>
  <c r="BT96" i="58"/>
  <c r="BW96" i="58" s="1"/>
  <c r="BT95" i="58"/>
  <c r="BW95" i="58" s="1"/>
  <c r="BT94" i="58"/>
  <c r="BW94" i="58" s="1"/>
  <c r="BT93" i="58"/>
  <c r="BW93" i="58" s="1"/>
  <c r="BT92" i="58"/>
  <c r="BW92" i="58" s="1"/>
  <c r="BT91" i="58"/>
  <c r="BW91" i="58" s="1"/>
  <c r="BT90" i="58"/>
  <c r="BW90" i="58" s="1"/>
  <c r="BT89" i="58"/>
  <c r="BW89" i="58" s="1"/>
  <c r="BT87" i="58"/>
  <c r="BW87" i="58" s="1"/>
  <c r="BT86" i="58"/>
  <c r="BW86" i="58" s="1"/>
  <c r="BT85" i="58"/>
  <c r="BW85" i="58" s="1"/>
  <c r="BT84" i="58"/>
  <c r="BW84" i="58" s="1"/>
  <c r="BT83" i="58"/>
  <c r="BW83" i="58" s="1"/>
  <c r="BT82" i="58"/>
  <c r="BW82" i="58" s="1"/>
  <c r="BT81" i="58"/>
  <c r="BW81" i="58" s="1"/>
  <c r="BT80" i="58"/>
  <c r="BW80" i="58" s="1"/>
  <c r="BT79" i="58"/>
  <c r="BW79" i="58" s="1"/>
  <c r="BT78" i="58"/>
  <c r="BW78" i="58" s="1"/>
  <c r="BT77" i="58"/>
  <c r="BW77" i="58" s="1"/>
  <c r="BT76" i="58"/>
  <c r="BW76" i="58" s="1"/>
  <c r="BT75" i="58"/>
  <c r="BW75" i="58" s="1"/>
  <c r="BT74" i="58"/>
  <c r="BW74" i="58" s="1"/>
  <c r="BT73" i="58"/>
  <c r="BW73" i="58" s="1"/>
  <c r="BT72" i="58"/>
  <c r="BW72" i="58" s="1"/>
  <c r="BT71" i="58"/>
  <c r="BW71" i="58" s="1"/>
  <c r="BT70" i="58"/>
  <c r="BW70" i="58" s="1"/>
  <c r="BT69" i="58"/>
  <c r="BW69" i="58" s="1"/>
  <c r="BT68" i="58"/>
  <c r="BW68" i="58" s="1"/>
  <c r="BT67" i="58"/>
  <c r="BW67" i="58" s="1"/>
  <c r="BT66" i="58"/>
  <c r="BW66" i="58" s="1"/>
  <c r="BT65" i="58"/>
  <c r="BW65" i="58" s="1"/>
  <c r="BT64" i="58"/>
  <c r="BW64" i="58" s="1"/>
  <c r="BT63" i="58"/>
  <c r="BW63" i="58" s="1"/>
  <c r="BT62" i="58"/>
  <c r="BW62" i="58" s="1"/>
  <c r="BT61" i="58"/>
  <c r="BW61" i="58" s="1"/>
  <c r="BT60" i="58"/>
  <c r="BW60" i="58" s="1"/>
  <c r="BT59" i="58"/>
  <c r="BW59" i="58" s="1"/>
  <c r="BT58" i="58"/>
  <c r="BW58" i="58" s="1"/>
  <c r="BT57" i="58"/>
  <c r="BW57" i="58" s="1"/>
  <c r="BT56" i="58"/>
  <c r="BW56" i="58" s="1"/>
  <c r="BT55" i="58"/>
  <c r="BW55" i="58" s="1"/>
  <c r="BT54" i="58"/>
  <c r="BW54" i="58" s="1"/>
  <c r="BT53" i="58"/>
  <c r="BW53" i="58" s="1"/>
  <c r="BT52" i="58"/>
  <c r="BW52" i="58" s="1"/>
  <c r="BT51" i="58"/>
  <c r="BW51" i="58" s="1"/>
  <c r="BT50" i="58"/>
  <c r="BW50" i="58" s="1"/>
  <c r="BT49" i="58"/>
  <c r="BW49" i="58" s="1"/>
  <c r="BT48" i="58"/>
  <c r="BW48" i="58" s="1"/>
  <c r="BT47" i="58"/>
  <c r="BW47" i="58" s="1"/>
  <c r="BT46" i="58"/>
  <c r="BW46" i="58" s="1"/>
  <c r="BT45" i="58"/>
  <c r="BW45" i="58" s="1"/>
  <c r="BT44" i="58"/>
  <c r="BW44" i="58" s="1"/>
  <c r="BT43" i="58"/>
  <c r="BW43" i="58" s="1"/>
  <c r="BT42" i="58"/>
  <c r="BW42" i="58" s="1"/>
  <c r="BT41" i="58"/>
  <c r="BW41" i="58" s="1"/>
  <c r="BT40" i="58"/>
  <c r="BW40" i="58" s="1"/>
  <c r="BT39" i="58"/>
  <c r="BW39" i="58" s="1"/>
  <c r="BT38" i="58"/>
  <c r="BW38" i="58" s="1"/>
  <c r="BT37" i="58"/>
  <c r="BW37" i="58" s="1"/>
  <c r="BT36" i="58"/>
  <c r="BW36" i="58" s="1"/>
  <c r="BT35" i="58"/>
  <c r="BW35" i="58" s="1"/>
  <c r="BT34" i="58"/>
  <c r="BW34" i="58" s="1"/>
  <c r="BT33" i="58"/>
  <c r="BW33" i="58" s="1"/>
  <c r="BT32" i="58"/>
  <c r="BW32" i="58" s="1"/>
  <c r="BT31" i="58"/>
  <c r="BW31" i="58" s="1"/>
  <c r="BT30" i="58"/>
  <c r="BW30" i="58" s="1"/>
  <c r="BT29" i="58"/>
  <c r="BW29" i="58" s="1"/>
  <c r="BT28" i="58"/>
  <c r="BW28" i="58" s="1"/>
  <c r="BT27" i="58"/>
  <c r="BW27" i="58" s="1"/>
  <c r="BT26" i="58"/>
  <c r="BW26" i="58" s="1"/>
  <c r="BT25" i="58"/>
  <c r="BW25" i="58" s="1"/>
  <c r="BT24" i="58"/>
  <c r="BW24" i="58" s="1"/>
  <c r="BT23" i="58"/>
  <c r="BW23" i="58" s="1"/>
  <c r="BT22" i="58"/>
  <c r="BW22" i="58" s="1"/>
  <c r="BT21" i="58"/>
  <c r="BW21" i="58" s="1"/>
  <c r="BT20" i="58"/>
  <c r="BW20" i="58" s="1"/>
  <c r="BT19" i="58"/>
  <c r="BW19" i="58" s="1"/>
  <c r="BT18" i="58"/>
  <c r="BW18" i="58" s="1"/>
  <c r="BT17" i="58"/>
  <c r="BW17" i="58" s="1"/>
  <c r="BT16" i="58"/>
  <c r="BW16" i="58" s="1"/>
  <c r="BT15" i="58"/>
  <c r="BW15" i="58" s="1"/>
  <c r="BT14" i="58"/>
  <c r="BW14" i="58" s="1"/>
  <c r="BT13" i="58"/>
  <c r="BW13" i="58" s="1"/>
  <c r="BT12" i="58"/>
  <c r="BW12" i="58" s="1"/>
  <c r="BT11" i="58"/>
  <c r="BW11" i="58" s="1"/>
  <c r="BT10" i="58"/>
  <c r="BW10" i="58" s="1"/>
  <c r="BT9" i="58"/>
  <c r="BW9" i="58" s="1"/>
  <c r="BT8" i="58"/>
  <c r="BW8" i="58" s="1"/>
  <c r="BT7" i="58"/>
  <c r="BW7" i="58" s="1"/>
  <c r="BT88" i="58"/>
  <c r="BW88" i="58" s="1"/>
  <c r="BI157" i="58"/>
  <c r="BI156" i="58"/>
  <c r="BI155" i="58"/>
  <c r="BI154" i="58"/>
  <c r="BI153" i="58"/>
  <c r="BI152" i="58"/>
  <c r="BI151" i="58"/>
  <c r="BI150" i="58"/>
  <c r="BI149" i="58"/>
  <c r="BI148" i="58"/>
  <c r="BI147" i="58"/>
  <c r="BI146" i="58"/>
  <c r="BI145" i="58"/>
  <c r="BI144" i="58"/>
  <c r="BI143" i="58"/>
  <c r="BI142" i="58"/>
  <c r="BI141" i="58"/>
  <c r="BI140" i="58"/>
  <c r="BI139" i="58"/>
  <c r="BI138" i="58"/>
  <c r="BI137" i="58"/>
  <c r="BI136" i="58"/>
  <c r="BI135" i="58"/>
  <c r="BI134" i="58"/>
  <c r="BI133" i="58"/>
  <c r="BI132" i="58"/>
  <c r="BI131" i="58"/>
  <c r="BI130" i="58"/>
  <c r="BI129" i="58"/>
  <c r="BI128" i="58"/>
  <c r="BI127" i="58"/>
  <c r="BI126" i="58"/>
  <c r="BI125" i="58"/>
  <c r="BI124" i="58"/>
  <c r="BI123" i="58"/>
  <c r="BI122" i="58"/>
  <c r="BI121" i="58"/>
  <c r="BI120" i="58"/>
  <c r="BI119" i="58"/>
  <c r="BI118" i="58"/>
  <c r="BI117" i="58"/>
  <c r="BI116" i="58"/>
  <c r="BI115" i="58"/>
  <c r="BI114" i="58"/>
  <c r="BI113" i="58"/>
  <c r="BI112" i="58"/>
  <c r="BI111" i="58"/>
  <c r="BI110" i="58"/>
  <c r="BI109" i="58"/>
  <c r="BI108" i="58"/>
  <c r="BI107" i="58"/>
  <c r="BI106" i="58"/>
  <c r="BI105" i="58"/>
  <c r="BI104" i="58"/>
  <c r="BI103" i="58"/>
  <c r="BI102" i="58"/>
  <c r="BI101" i="58"/>
  <c r="BI100" i="58"/>
  <c r="BI99" i="58"/>
  <c r="BI98" i="58"/>
  <c r="BI97" i="58"/>
  <c r="BI96" i="58"/>
  <c r="BI95" i="58"/>
  <c r="BI94" i="58"/>
  <c r="BI93" i="58"/>
  <c r="BI92" i="58"/>
  <c r="BI91" i="58"/>
  <c r="BI90" i="58"/>
  <c r="BI89" i="58"/>
  <c r="BI88" i="58"/>
  <c r="BI87" i="58"/>
  <c r="BI86" i="58"/>
  <c r="BI85" i="58"/>
  <c r="BI84" i="58"/>
  <c r="BI83" i="58"/>
  <c r="BI82" i="58"/>
  <c r="BI81" i="58"/>
  <c r="BI80" i="58"/>
  <c r="BI79" i="58"/>
  <c r="BI78" i="58"/>
  <c r="BI77" i="58"/>
  <c r="BI76" i="58"/>
  <c r="BI75" i="58"/>
  <c r="BI74" i="58"/>
  <c r="BI73" i="58"/>
  <c r="BI72" i="58"/>
  <c r="BI71" i="58"/>
  <c r="BI70" i="58"/>
  <c r="BI69" i="58"/>
  <c r="BI68" i="58"/>
  <c r="BI67" i="58"/>
  <c r="BI66" i="58"/>
  <c r="BI65" i="58"/>
  <c r="BI64" i="58"/>
  <c r="BI63" i="58"/>
  <c r="BI62" i="58"/>
  <c r="BI61" i="58"/>
  <c r="BI60" i="58"/>
  <c r="BI59" i="58"/>
  <c r="BI58" i="58"/>
  <c r="BI57" i="58"/>
  <c r="BI56" i="58"/>
  <c r="BI55" i="58"/>
  <c r="BI54" i="58"/>
  <c r="BI53" i="58"/>
  <c r="BI52" i="58"/>
  <c r="BI51" i="58"/>
  <c r="BI50" i="58"/>
  <c r="BI49" i="58"/>
  <c r="BI48" i="58"/>
  <c r="BI47" i="58"/>
  <c r="BI46" i="58"/>
  <c r="BI45" i="58"/>
  <c r="BI44" i="58"/>
  <c r="BI43" i="58"/>
  <c r="BI42" i="58"/>
  <c r="BI41" i="58"/>
  <c r="BI40" i="58"/>
  <c r="BI39" i="58"/>
  <c r="BI38" i="58"/>
  <c r="BI37" i="58"/>
  <c r="BI36" i="58"/>
  <c r="BI35" i="58"/>
  <c r="BI34" i="58"/>
  <c r="BI33" i="58"/>
  <c r="BI32" i="58"/>
  <c r="BI31" i="58"/>
  <c r="BI30" i="58"/>
  <c r="BI29" i="58"/>
  <c r="BI28" i="58"/>
  <c r="BI27" i="58"/>
  <c r="BI26" i="58"/>
  <c r="BI25" i="58"/>
  <c r="BI24" i="58"/>
  <c r="BI23" i="58"/>
  <c r="BI22" i="58"/>
  <c r="BI21" i="58"/>
  <c r="BI20" i="58"/>
  <c r="BI19" i="58"/>
  <c r="BI18" i="58"/>
  <c r="BI17" i="58"/>
  <c r="BI16" i="58"/>
  <c r="BI15" i="58"/>
  <c r="BI14" i="58"/>
  <c r="BI13" i="58"/>
  <c r="BI12" i="58"/>
  <c r="BI11" i="58"/>
  <c r="BI10" i="58"/>
  <c r="BI9" i="58"/>
  <c r="BI8" i="58"/>
  <c r="BI7" i="58"/>
  <c r="E11" i="54" l="1"/>
  <c r="L62" i="63"/>
  <c r="M62" i="63" s="1"/>
  <c r="K62" i="63"/>
  <c r="T61" i="63"/>
  <c r="Q61" i="63"/>
  <c r="P61" i="63"/>
  <c r="N61" i="63"/>
  <c r="L61" i="63"/>
  <c r="K61" i="63"/>
  <c r="K60" i="63"/>
  <c r="L58" i="63"/>
  <c r="P58" i="63" s="1"/>
  <c r="K58" i="63"/>
  <c r="P57" i="63"/>
  <c r="M57" i="63"/>
  <c r="K57" i="63"/>
  <c r="N56" i="63"/>
  <c r="K56" i="63"/>
  <c r="N55" i="63"/>
  <c r="K55" i="63"/>
  <c r="N54" i="63"/>
  <c r="N51" i="63"/>
  <c r="K51" i="63"/>
  <c r="N49" i="63"/>
  <c r="K49" i="63"/>
  <c r="N47" i="63"/>
  <c r="K47" i="63"/>
  <c r="AG45" i="63"/>
  <c r="AF45" i="63"/>
  <c r="AE45" i="63"/>
  <c r="M45" i="63"/>
  <c r="N45" i="63" s="1"/>
  <c r="K45" i="63"/>
  <c r="N44" i="63"/>
  <c r="K44" i="63"/>
  <c r="U43" i="63"/>
  <c r="M43" i="63"/>
  <c r="N43" i="63" s="1"/>
  <c r="K43" i="63"/>
  <c r="AG42" i="63"/>
  <c r="AF42" i="63"/>
  <c r="AE42" i="63"/>
  <c r="K42" i="63"/>
  <c r="V41" i="63"/>
  <c r="U41" i="63"/>
  <c r="T41" i="63"/>
  <c r="N41" i="63"/>
  <c r="K41" i="63"/>
  <c r="N40" i="63"/>
  <c r="O37" i="63"/>
  <c r="O61" i="63" s="1"/>
  <c r="M37" i="63"/>
  <c r="M61" i="63" s="1"/>
  <c r="K37" i="63"/>
  <c r="N36" i="63"/>
  <c r="K36" i="63"/>
  <c r="K35" i="63"/>
  <c r="N34" i="63"/>
  <c r="K34" i="63"/>
  <c r="N33" i="63"/>
  <c r="K33" i="63"/>
  <c r="N32" i="63"/>
  <c r="K32" i="63"/>
  <c r="V31" i="63"/>
  <c r="M31" i="63"/>
  <c r="N31" i="63" s="1"/>
  <c r="K31" i="63"/>
  <c r="K30" i="63"/>
  <c r="K29" i="63"/>
  <c r="U28" i="63"/>
  <c r="T28" i="63"/>
  <c r="L28" i="63"/>
  <c r="M28" i="63" s="1"/>
  <c r="N28" i="63" s="1"/>
  <c r="K28" i="63"/>
  <c r="K27" i="63"/>
  <c r="Z24" i="63"/>
  <c r="N24" i="63"/>
  <c r="K24" i="63"/>
  <c r="AG23" i="63"/>
  <c r="AE23" i="63"/>
  <c r="Z23" i="63"/>
  <c r="Q23" i="63"/>
  <c r="N23" i="63"/>
  <c r="M23" i="63"/>
  <c r="K23" i="63"/>
  <c r="Z22" i="63"/>
  <c r="N22" i="63"/>
  <c r="K22" i="63"/>
  <c r="Z21" i="63"/>
  <c r="N21" i="63"/>
  <c r="K21" i="63"/>
  <c r="Z20" i="63"/>
  <c r="N20" i="63"/>
  <c r="K20" i="63"/>
  <c r="N19" i="63"/>
  <c r="K19" i="63"/>
  <c r="Q18" i="63"/>
  <c r="N18" i="63"/>
  <c r="K18" i="63"/>
  <c r="N17" i="63"/>
  <c r="K17" i="63"/>
  <c r="Z16" i="63"/>
  <c r="K16" i="63"/>
  <c r="AG15" i="63"/>
  <c r="AE15" i="63"/>
  <c r="Z15" i="63"/>
  <c r="N15" i="63"/>
  <c r="K15" i="63"/>
  <c r="Z14" i="63"/>
  <c r="K14" i="63"/>
  <c r="Z12" i="63"/>
  <c r="K12" i="63"/>
  <c r="Z11" i="63"/>
  <c r="K11" i="63"/>
  <c r="AG10" i="63"/>
  <c r="AF10" i="63"/>
  <c r="AE10" i="63"/>
  <c r="Z10" i="63"/>
  <c r="K10" i="63"/>
  <c r="N9" i="63"/>
  <c r="K9" i="63"/>
  <c r="N8" i="63"/>
  <c r="K8" i="63"/>
  <c r="N6" i="63"/>
  <c r="K6" i="63"/>
  <c r="N5" i="63"/>
  <c r="K5" i="63"/>
  <c r="CE179" i="58"/>
  <c r="CC179" i="58"/>
  <c r="BF179" i="58"/>
  <c r="BE179" i="58"/>
  <c r="AO179" i="58"/>
  <c r="AN179" i="58"/>
  <c r="AM179" i="58"/>
  <c r="AF179" i="58"/>
  <c r="AG179" i="58" s="1"/>
  <c r="AD179" i="58"/>
  <c r="AJ179" i="58" s="1"/>
  <c r="CE178" i="58"/>
  <c r="CC178" i="58"/>
  <c r="BF178" i="58"/>
  <c r="BE178" i="58"/>
  <c r="AO178" i="58"/>
  <c r="AN178" i="58"/>
  <c r="AM178" i="58"/>
  <c r="AF178" i="58"/>
  <c r="AG178" i="58" s="1"/>
  <c r="AD178" i="58"/>
  <c r="AJ178" i="58" s="1"/>
  <c r="CE169" i="58"/>
  <c r="CC169" i="58"/>
  <c r="BF169" i="58"/>
  <c r="BE169" i="58"/>
  <c r="CE168" i="58"/>
  <c r="CC168" i="58"/>
  <c r="BF168" i="58"/>
  <c r="BE168" i="58"/>
  <c r="CE167" i="58"/>
  <c r="CC167" i="58"/>
  <c r="BF167" i="58"/>
  <c r="BE167" i="58"/>
  <c r="CE166" i="58"/>
  <c r="CC166" i="58"/>
  <c r="BF166" i="58"/>
  <c r="BE166" i="58"/>
  <c r="CE165" i="58"/>
  <c r="CC165" i="58"/>
  <c r="BF165" i="58"/>
  <c r="BE165" i="58"/>
  <c r="CE164" i="58"/>
  <c r="CC164" i="58"/>
  <c r="BF164" i="58"/>
  <c r="BE164" i="58"/>
  <c r="CE163" i="58"/>
  <c r="CC163" i="58"/>
  <c r="BF163" i="58"/>
  <c r="BE163" i="58"/>
  <c r="CE162" i="58"/>
  <c r="CC162" i="58"/>
  <c r="BF162" i="58"/>
  <c r="BE162" i="58"/>
  <c r="CE161" i="58"/>
  <c r="CC161" i="58"/>
  <c r="BF161" i="58"/>
  <c r="BE161" i="58"/>
  <c r="CE160" i="58"/>
  <c r="CC160" i="58"/>
  <c r="BF160" i="58"/>
  <c r="BE160" i="58"/>
  <c r="CE159" i="58"/>
  <c r="CC159" i="58"/>
  <c r="BX159" i="58"/>
  <c r="BY159" i="58" s="1"/>
  <c r="BF159" i="58"/>
  <c r="BE159" i="58"/>
  <c r="CE158" i="58"/>
  <c r="CC158" i="58"/>
  <c r="BX158" i="58"/>
  <c r="BY158" i="58" s="1"/>
  <c r="BF158" i="58"/>
  <c r="BE158" i="58"/>
  <c r="CE157" i="58"/>
  <c r="CC157" i="58"/>
  <c r="BX157" i="58"/>
  <c r="BY157" i="58" s="1"/>
  <c r="BP157" i="58"/>
  <c r="BO157" i="58"/>
  <c r="BJ157" i="58"/>
  <c r="BF157" i="58"/>
  <c r="BE157" i="58"/>
  <c r="BA157" i="58"/>
  <c r="BB157" i="58" s="1"/>
  <c r="CE156" i="58"/>
  <c r="CC156" i="58"/>
  <c r="BX156" i="58"/>
  <c r="BY156" i="58" s="1"/>
  <c r="BP156" i="58"/>
  <c r="BO156" i="58"/>
  <c r="BM156" i="58"/>
  <c r="BJ156" i="58"/>
  <c r="BF156" i="58"/>
  <c r="BE156" i="58"/>
  <c r="BA156" i="58"/>
  <c r="BB156" i="58" s="1"/>
  <c r="AW156" i="58"/>
  <c r="AX156" i="58" s="1"/>
  <c r="CE155" i="58"/>
  <c r="CC155" i="58"/>
  <c r="BX155" i="58"/>
  <c r="BY155" i="58" s="1"/>
  <c r="BP155" i="58"/>
  <c r="BO155" i="58"/>
  <c r="BM155" i="58"/>
  <c r="BJ155" i="58"/>
  <c r="BF155" i="58"/>
  <c r="BE155" i="58"/>
  <c r="BA155" i="58"/>
  <c r="BB155" i="58" s="1"/>
  <c r="AW155" i="58"/>
  <c r="CE154" i="58"/>
  <c r="CC154" i="58"/>
  <c r="BX154" i="58"/>
  <c r="BY154" i="58" s="1"/>
  <c r="BP154" i="58"/>
  <c r="BO154" i="58"/>
  <c r="BM154" i="58"/>
  <c r="BJ154" i="58"/>
  <c r="BF154" i="58"/>
  <c r="BE154" i="58"/>
  <c r="BA154" i="58"/>
  <c r="BB154" i="58" s="1"/>
  <c r="AW154" i="58"/>
  <c r="AX154" i="58" s="1"/>
  <c r="CE153" i="58"/>
  <c r="CC153" i="58"/>
  <c r="BX153" i="58"/>
  <c r="BY153" i="58" s="1"/>
  <c r="BP153" i="58"/>
  <c r="BO153" i="58"/>
  <c r="BM153" i="58"/>
  <c r="BJ153" i="58"/>
  <c r="BF153" i="58"/>
  <c r="BE153" i="58"/>
  <c r="BA153" i="58"/>
  <c r="BB153" i="58" s="1"/>
  <c r="AW153" i="58"/>
  <c r="CE152" i="58"/>
  <c r="CC152" i="58"/>
  <c r="BX152" i="58"/>
  <c r="BY152" i="58" s="1"/>
  <c r="BP152" i="58"/>
  <c r="BO152" i="58"/>
  <c r="BM152" i="58"/>
  <c r="BJ152" i="58"/>
  <c r="BF152" i="58"/>
  <c r="BE152" i="58"/>
  <c r="BA152" i="58"/>
  <c r="BB152" i="58" s="1"/>
  <c r="AW152" i="58"/>
  <c r="AX152" i="58" s="1"/>
  <c r="CE151" i="58"/>
  <c r="CC151" i="58"/>
  <c r="BX151" i="58"/>
  <c r="BY151" i="58" s="1"/>
  <c r="BP151" i="58"/>
  <c r="BO151" i="58"/>
  <c r="BM151" i="58"/>
  <c r="BJ151" i="58"/>
  <c r="BF151" i="58"/>
  <c r="BE151" i="58"/>
  <c r="BA151" i="58"/>
  <c r="BB151" i="58" s="1"/>
  <c r="AW151" i="58"/>
  <c r="CE150" i="58"/>
  <c r="CC150" i="58"/>
  <c r="BX150" i="58"/>
  <c r="BY150" i="58" s="1"/>
  <c r="BP150" i="58"/>
  <c r="BO150" i="58"/>
  <c r="BM150" i="58"/>
  <c r="BJ150" i="58"/>
  <c r="BF150" i="58"/>
  <c r="BE150" i="58"/>
  <c r="BA150" i="58"/>
  <c r="BB150" i="58" s="1"/>
  <c r="AW150" i="58"/>
  <c r="AX150" i="58" s="1"/>
  <c r="CE149" i="58"/>
  <c r="CC149" i="58"/>
  <c r="BX149" i="58"/>
  <c r="BY149" i="58" s="1"/>
  <c r="BP149" i="58"/>
  <c r="BO149" i="58"/>
  <c r="BM149" i="58"/>
  <c r="BJ149" i="58"/>
  <c r="BF149" i="58"/>
  <c r="BE149" i="58"/>
  <c r="BA149" i="58"/>
  <c r="BB149" i="58" s="1"/>
  <c r="CE148" i="58"/>
  <c r="CC148" i="58"/>
  <c r="BX148" i="58"/>
  <c r="BY148" i="58" s="1"/>
  <c r="BP148" i="58"/>
  <c r="BO148" i="58"/>
  <c r="BM148" i="58"/>
  <c r="BJ148" i="58"/>
  <c r="BF148" i="58"/>
  <c r="BE148" i="58"/>
  <c r="BA148" i="58"/>
  <c r="BB148" i="58" s="1"/>
  <c r="AW148" i="58"/>
  <c r="AX148" i="58" s="1"/>
  <c r="CE147" i="58"/>
  <c r="CC147" i="58"/>
  <c r="BX147" i="58"/>
  <c r="BY147" i="58" s="1"/>
  <c r="BP147" i="58"/>
  <c r="BO147" i="58"/>
  <c r="BM147" i="58"/>
  <c r="BJ147" i="58"/>
  <c r="BF147" i="58"/>
  <c r="BE147" i="58"/>
  <c r="BA147" i="58"/>
  <c r="BB147" i="58" s="1"/>
  <c r="AW147" i="58"/>
  <c r="CE146" i="58"/>
  <c r="CC146" i="58"/>
  <c r="BX146" i="58"/>
  <c r="BY146" i="58" s="1"/>
  <c r="BP146" i="58"/>
  <c r="BO146" i="58"/>
  <c r="BM146" i="58"/>
  <c r="BJ146" i="58"/>
  <c r="BF146" i="58"/>
  <c r="BE146" i="58"/>
  <c r="BA146" i="58"/>
  <c r="BB146" i="58" s="1"/>
  <c r="AW146" i="58"/>
  <c r="AX146" i="58" s="1"/>
  <c r="CE145" i="58"/>
  <c r="CC145" i="58"/>
  <c r="BX145" i="58"/>
  <c r="BY145" i="58" s="1"/>
  <c r="BP145" i="58"/>
  <c r="BO145" i="58"/>
  <c r="BM145" i="58"/>
  <c r="BJ145" i="58"/>
  <c r="BF145" i="58"/>
  <c r="BE145" i="58"/>
  <c r="BA145" i="58"/>
  <c r="BB145" i="58" s="1"/>
  <c r="AW145" i="58"/>
  <c r="CE144" i="58"/>
  <c r="CC144" i="58"/>
  <c r="BX144" i="58"/>
  <c r="BY144" i="58" s="1"/>
  <c r="BP144" i="58"/>
  <c r="BO144" i="58"/>
  <c r="BM144" i="58"/>
  <c r="BJ144" i="58"/>
  <c r="BF144" i="58"/>
  <c r="BE144" i="58"/>
  <c r="BA144" i="58"/>
  <c r="BB144" i="58" s="1"/>
  <c r="AW144" i="58"/>
  <c r="CE143" i="58"/>
  <c r="CC143" i="58"/>
  <c r="BX143" i="58"/>
  <c r="BY143" i="58" s="1"/>
  <c r="BP143" i="58"/>
  <c r="BO143" i="58"/>
  <c r="BM143" i="58"/>
  <c r="BJ143" i="58"/>
  <c r="BF143" i="58"/>
  <c r="BE143" i="58"/>
  <c r="BA143" i="58"/>
  <c r="BB143" i="58" s="1"/>
  <c r="AW143" i="58"/>
  <c r="CE142" i="58"/>
  <c r="CC142" i="58"/>
  <c r="BX142" i="58"/>
  <c r="BY142" i="58" s="1"/>
  <c r="BP142" i="58"/>
  <c r="BO142" i="58"/>
  <c r="BM142" i="58"/>
  <c r="BJ142" i="58"/>
  <c r="BF142" i="58"/>
  <c r="BE142" i="58"/>
  <c r="BA142" i="58"/>
  <c r="BB142" i="58" s="1"/>
  <c r="AW142" i="58"/>
  <c r="CE141" i="58"/>
  <c r="CC141" i="58"/>
  <c r="BX141" i="58"/>
  <c r="BY141" i="58" s="1"/>
  <c r="BP141" i="58"/>
  <c r="BO141" i="58"/>
  <c r="BM141" i="58"/>
  <c r="BJ141" i="58"/>
  <c r="BF141" i="58"/>
  <c r="BE141" i="58"/>
  <c r="BA141" i="58"/>
  <c r="BB141" i="58" s="1"/>
  <c r="AW141" i="58"/>
  <c r="CE140" i="58"/>
  <c r="CC140" i="58"/>
  <c r="BX140" i="58"/>
  <c r="BY140" i="58" s="1"/>
  <c r="BP140" i="58"/>
  <c r="BO140" i="58"/>
  <c r="BM140" i="58"/>
  <c r="BJ140" i="58"/>
  <c r="BF140" i="58"/>
  <c r="BE140" i="58"/>
  <c r="BA140" i="58"/>
  <c r="BB140" i="58" s="1"/>
  <c r="AW140" i="58"/>
  <c r="CE139" i="58"/>
  <c r="CC139" i="58"/>
  <c r="BX139" i="58"/>
  <c r="BY139" i="58" s="1"/>
  <c r="BP139" i="58"/>
  <c r="BO139" i="58"/>
  <c r="BM139" i="58"/>
  <c r="BJ139" i="58"/>
  <c r="BF139" i="58"/>
  <c r="BE139" i="58"/>
  <c r="BA139" i="58"/>
  <c r="BB139" i="58" s="1"/>
  <c r="AW139" i="58"/>
  <c r="AX139" i="58" s="1"/>
  <c r="CE138" i="58"/>
  <c r="CC138" i="58"/>
  <c r="BX138" i="58"/>
  <c r="BY138" i="58" s="1"/>
  <c r="BP138" i="58"/>
  <c r="BO138" i="58"/>
  <c r="BM138" i="58"/>
  <c r="BJ138" i="58"/>
  <c r="BF138" i="58"/>
  <c r="BE138" i="58"/>
  <c r="BA138" i="58"/>
  <c r="BB138" i="58" s="1"/>
  <c r="AW138" i="58"/>
  <c r="CE137" i="58"/>
  <c r="CC137" i="58"/>
  <c r="BX137" i="58"/>
  <c r="BY137" i="58" s="1"/>
  <c r="BP137" i="58"/>
  <c r="BO137" i="58"/>
  <c r="BM137" i="58"/>
  <c r="BJ137" i="58"/>
  <c r="BF137" i="58"/>
  <c r="BE137" i="58"/>
  <c r="BA137" i="58"/>
  <c r="BB137" i="58" s="1"/>
  <c r="AW137" i="58"/>
  <c r="AX137" i="58" s="1"/>
  <c r="CE136" i="58"/>
  <c r="CC136" i="58"/>
  <c r="BX136" i="58"/>
  <c r="BY136" i="58" s="1"/>
  <c r="BP136" i="58"/>
  <c r="BO136" i="58"/>
  <c r="BM136" i="58"/>
  <c r="BJ136" i="58"/>
  <c r="BF136" i="58"/>
  <c r="BE136" i="58"/>
  <c r="BA136" i="58"/>
  <c r="BB136" i="58" s="1"/>
  <c r="AW136" i="58"/>
  <c r="CE135" i="58"/>
  <c r="CC135" i="58"/>
  <c r="BX135" i="58"/>
  <c r="BY135" i="58" s="1"/>
  <c r="BP135" i="58"/>
  <c r="BO135" i="58"/>
  <c r="BM135" i="58"/>
  <c r="BJ135" i="58"/>
  <c r="BF135" i="58"/>
  <c r="BE135" i="58"/>
  <c r="BA135" i="58"/>
  <c r="BB135" i="58" s="1"/>
  <c r="AW135" i="58"/>
  <c r="AX135" i="58" s="1"/>
  <c r="CE134" i="58"/>
  <c r="CC134" i="58"/>
  <c r="BX134" i="58"/>
  <c r="BY134" i="58" s="1"/>
  <c r="BP134" i="58"/>
  <c r="BO134" i="58"/>
  <c r="BM134" i="58"/>
  <c r="BJ134" i="58"/>
  <c r="BF134" i="58"/>
  <c r="BE134" i="58"/>
  <c r="BA134" i="58"/>
  <c r="BB134" i="58" s="1"/>
  <c r="AW134" i="58"/>
  <c r="CE133" i="58"/>
  <c r="CC133" i="58"/>
  <c r="BX133" i="58"/>
  <c r="BY133" i="58" s="1"/>
  <c r="BP133" i="58"/>
  <c r="BO133" i="58"/>
  <c r="BM133" i="58"/>
  <c r="BJ133" i="58"/>
  <c r="BF133" i="58"/>
  <c r="BE133" i="58"/>
  <c r="BA133" i="58"/>
  <c r="BB133" i="58" s="1"/>
  <c r="AW133" i="58"/>
  <c r="AX133" i="58" s="1"/>
  <c r="CE132" i="58"/>
  <c r="CC132" i="58"/>
  <c r="BX132" i="58"/>
  <c r="BY132" i="58" s="1"/>
  <c r="BP132" i="58"/>
  <c r="BO132" i="58"/>
  <c r="BM132" i="58"/>
  <c r="BJ132" i="58"/>
  <c r="BF132" i="58"/>
  <c r="BE132" i="58"/>
  <c r="BA132" i="58"/>
  <c r="BB132" i="58" s="1"/>
  <c r="AW132" i="58"/>
  <c r="CE131" i="58"/>
  <c r="CC131" i="58"/>
  <c r="BX131" i="58"/>
  <c r="BY131" i="58" s="1"/>
  <c r="BP131" i="58"/>
  <c r="BO131" i="58"/>
  <c r="BM131" i="58"/>
  <c r="BJ131" i="58"/>
  <c r="BF131" i="58"/>
  <c r="BE131" i="58"/>
  <c r="BA131" i="58"/>
  <c r="BB131" i="58" s="1"/>
  <c r="AW131" i="58"/>
  <c r="AX131" i="58" s="1"/>
  <c r="CE130" i="58"/>
  <c r="CC130" i="58"/>
  <c r="BX130" i="58"/>
  <c r="BY130" i="58" s="1"/>
  <c r="BP130" i="58"/>
  <c r="BO130" i="58"/>
  <c r="BM130" i="58"/>
  <c r="BJ130" i="58"/>
  <c r="BF130" i="58"/>
  <c r="BE130" i="58"/>
  <c r="BA130" i="58"/>
  <c r="BB130" i="58" s="1"/>
  <c r="AW130" i="58"/>
  <c r="CE129" i="58"/>
  <c r="CC129" i="58"/>
  <c r="BX129" i="58"/>
  <c r="BY129" i="58" s="1"/>
  <c r="BP129" i="58"/>
  <c r="BO129" i="58"/>
  <c r="BM129" i="58"/>
  <c r="BJ129" i="58"/>
  <c r="BF129" i="58"/>
  <c r="BE129" i="58"/>
  <c r="BA129" i="58"/>
  <c r="BB129" i="58" s="1"/>
  <c r="AW129" i="58"/>
  <c r="AX129" i="58" s="1"/>
  <c r="CE128" i="58"/>
  <c r="CC128" i="58"/>
  <c r="BX128" i="58"/>
  <c r="BY128" i="58" s="1"/>
  <c r="BP128" i="58"/>
  <c r="BO128" i="58"/>
  <c r="BM128" i="58"/>
  <c r="BJ128" i="58"/>
  <c r="BF128" i="58"/>
  <c r="BE128" i="58"/>
  <c r="BA128" i="58"/>
  <c r="BB128" i="58" s="1"/>
  <c r="AW128" i="58"/>
  <c r="CE127" i="58"/>
  <c r="CC127" i="58"/>
  <c r="BX127" i="58"/>
  <c r="BY127" i="58" s="1"/>
  <c r="BP127" i="58"/>
  <c r="BO127" i="58"/>
  <c r="BM127" i="58"/>
  <c r="BJ127" i="58"/>
  <c r="BF127" i="58"/>
  <c r="BE127" i="58"/>
  <c r="BA127" i="58"/>
  <c r="BB127" i="58" s="1"/>
  <c r="AW127" i="58"/>
  <c r="AX127" i="58" s="1"/>
  <c r="CE126" i="58"/>
  <c r="CC126" i="58"/>
  <c r="BX126" i="58"/>
  <c r="BY126" i="58" s="1"/>
  <c r="BP126" i="58"/>
  <c r="BO126" i="58"/>
  <c r="BM126" i="58"/>
  <c r="BJ126" i="58"/>
  <c r="BF126" i="58"/>
  <c r="BE126" i="58"/>
  <c r="BA126" i="58"/>
  <c r="BB126" i="58" s="1"/>
  <c r="AW126" i="58"/>
  <c r="CE125" i="58"/>
  <c r="CC125" i="58"/>
  <c r="BX125" i="58"/>
  <c r="BY125" i="58" s="1"/>
  <c r="BP125" i="58"/>
  <c r="BO125" i="58"/>
  <c r="BM125" i="58"/>
  <c r="BJ125" i="58"/>
  <c r="BF125" i="58"/>
  <c r="BE125" i="58"/>
  <c r="BA125" i="58"/>
  <c r="BB125" i="58" s="1"/>
  <c r="AW125" i="58"/>
  <c r="AX125" i="58" s="1"/>
  <c r="CE124" i="58"/>
  <c r="CC124" i="58"/>
  <c r="BX124" i="58"/>
  <c r="BY124" i="58" s="1"/>
  <c r="BP124" i="58"/>
  <c r="BO124" i="58"/>
  <c r="BM124" i="58"/>
  <c r="BJ124" i="58"/>
  <c r="BF124" i="58"/>
  <c r="BE124" i="58"/>
  <c r="BA124" i="58"/>
  <c r="BB124" i="58" s="1"/>
  <c r="AW124" i="58"/>
  <c r="CE123" i="58"/>
  <c r="CC123" i="58"/>
  <c r="BX123" i="58"/>
  <c r="BY123" i="58" s="1"/>
  <c r="BP123" i="58"/>
  <c r="BO123" i="58"/>
  <c r="BM123" i="58"/>
  <c r="BJ123" i="58"/>
  <c r="BF123" i="58"/>
  <c r="BE123" i="58"/>
  <c r="BA123" i="58"/>
  <c r="BB123" i="58" s="1"/>
  <c r="AW123" i="58"/>
  <c r="AX123" i="58" s="1"/>
  <c r="CE122" i="58"/>
  <c r="CC122" i="58"/>
  <c r="BX122" i="58"/>
  <c r="BY122" i="58" s="1"/>
  <c r="BP122" i="58"/>
  <c r="BO122" i="58"/>
  <c r="BM122" i="58"/>
  <c r="BJ122" i="58"/>
  <c r="BF122" i="58"/>
  <c r="BE122" i="58"/>
  <c r="BA122" i="58"/>
  <c r="BB122" i="58" s="1"/>
  <c r="AW122" i="58"/>
  <c r="CE121" i="58"/>
  <c r="CC121" i="58"/>
  <c r="BX121" i="58"/>
  <c r="BY121" i="58" s="1"/>
  <c r="BP121" i="58"/>
  <c r="BO121" i="58"/>
  <c r="BM121" i="58"/>
  <c r="BJ121" i="58"/>
  <c r="BF121" i="58"/>
  <c r="BE121" i="58"/>
  <c r="BA121" i="58"/>
  <c r="BB121" i="58" s="1"/>
  <c r="AW121" i="58"/>
  <c r="AX121" i="58" s="1"/>
  <c r="CE120" i="58"/>
  <c r="CC120" i="58"/>
  <c r="BX120" i="58"/>
  <c r="BY120" i="58" s="1"/>
  <c r="BP120" i="58"/>
  <c r="BO120" i="58"/>
  <c r="BM120" i="58"/>
  <c r="BJ120" i="58"/>
  <c r="BF120" i="58"/>
  <c r="BE120" i="58"/>
  <c r="BA120" i="58"/>
  <c r="BB120" i="58" s="1"/>
  <c r="AW120" i="58"/>
  <c r="CE119" i="58"/>
  <c r="CC119" i="58"/>
  <c r="BX119" i="58"/>
  <c r="BY119" i="58" s="1"/>
  <c r="BP119" i="58"/>
  <c r="BO119" i="58"/>
  <c r="BM119" i="58"/>
  <c r="BJ119" i="58"/>
  <c r="BF119" i="58"/>
  <c r="BE119" i="58"/>
  <c r="BA119" i="58"/>
  <c r="BB119" i="58" s="1"/>
  <c r="AW119" i="58"/>
  <c r="AX119" i="58" s="1"/>
  <c r="CE118" i="58"/>
  <c r="CC118" i="58"/>
  <c r="BX118" i="58"/>
  <c r="BY118" i="58" s="1"/>
  <c r="BP118" i="58"/>
  <c r="BO118" i="58"/>
  <c r="BM118" i="58"/>
  <c r="BJ118" i="58"/>
  <c r="BF118" i="58"/>
  <c r="BE118" i="58"/>
  <c r="BA118" i="58"/>
  <c r="BB118" i="58" s="1"/>
  <c r="AW118" i="58"/>
  <c r="CE117" i="58"/>
  <c r="CC117" i="58"/>
  <c r="BX117" i="58"/>
  <c r="BY117" i="58" s="1"/>
  <c r="BP117" i="58"/>
  <c r="BO117" i="58"/>
  <c r="BM117" i="58"/>
  <c r="BJ117" i="58"/>
  <c r="BF117" i="58"/>
  <c r="BE117" i="58"/>
  <c r="BA117" i="58"/>
  <c r="BB117" i="58" s="1"/>
  <c r="AW117" i="58"/>
  <c r="AX117" i="58" s="1"/>
  <c r="CE116" i="58"/>
  <c r="CC116" i="58"/>
  <c r="BX116" i="58"/>
  <c r="BY116" i="58" s="1"/>
  <c r="BP116" i="58"/>
  <c r="BO116" i="58"/>
  <c r="BM116" i="58"/>
  <c r="BJ116" i="58"/>
  <c r="BF116" i="58"/>
  <c r="BE116" i="58"/>
  <c r="BA116" i="58"/>
  <c r="BB116" i="58" s="1"/>
  <c r="AW116" i="58"/>
  <c r="CE115" i="58"/>
  <c r="CC115" i="58"/>
  <c r="BX115" i="58"/>
  <c r="BY115" i="58" s="1"/>
  <c r="BP115" i="58"/>
  <c r="BO115" i="58"/>
  <c r="BM115" i="58"/>
  <c r="BJ115" i="58"/>
  <c r="BF115" i="58"/>
  <c r="BE115" i="58"/>
  <c r="BA115" i="58"/>
  <c r="BB115" i="58" s="1"/>
  <c r="AW115" i="58"/>
  <c r="AX115" i="58" s="1"/>
  <c r="CE114" i="58"/>
  <c r="CC114" i="58"/>
  <c r="BX114" i="58"/>
  <c r="BY114" i="58" s="1"/>
  <c r="BP114" i="58"/>
  <c r="BO114" i="58"/>
  <c r="BM114" i="58"/>
  <c r="BJ114" i="58"/>
  <c r="BF114" i="58"/>
  <c r="BE114" i="58"/>
  <c r="BA114" i="58"/>
  <c r="BB114" i="58" s="1"/>
  <c r="AW114" i="58"/>
  <c r="CE113" i="58"/>
  <c r="CC113" i="58"/>
  <c r="BX113" i="58"/>
  <c r="BY113" i="58" s="1"/>
  <c r="BP113" i="58"/>
  <c r="BO113" i="58"/>
  <c r="BM113" i="58"/>
  <c r="BJ113" i="58"/>
  <c r="BF113" i="58"/>
  <c r="BE113" i="58"/>
  <c r="BA113" i="58"/>
  <c r="BB113" i="58" s="1"/>
  <c r="AW113" i="58"/>
  <c r="CE112" i="58"/>
  <c r="CC112" i="58"/>
  <c r="BX112" i="58"/>
  <c r="BY112" i="58" s="1"/>
  <c r="BP112" i="58"/>
  <c r="BO112" i="58"/>
  <c r="BM112" i="58"/>
  <c r="BJ112" i="58"/>
  <c r="BF112" i="58"/>
  <c r="BE112" i="58"/>
  <c r="BA112" i="58"/>
  <c r="BB112" i="58" s="1"/>
  <c r="AW112" i="58"/>
  <c r="AX112" i="58" s="1"/>
  <c r="CE111" i="58"/>
  <c r="CC111" i="58"/>
  <c r="BX111" i="58"/>
  <c r="BY111" i="58" s="1"/>
  <c r="BP111" i="58"/>
  <c r="BO111" i="58"/>
  <c r="BM111" i="58"/>
  <c r="BJ111" i="58"/>
  <c r="BF111" i="58"/>
  <c r="BE111" i="58"/>
  <c r="BA111" i="58"/>
  <c r="BB111" i="58" s="1"/>
  <c r="AW111" i="58"/>
  <c r="CE110" i="58"/>
  <c r="CC110" i="58"/>
  <c r="BX110" i="58"/>
  <c r="BY110" i="58" s="1"/>
  <c r="BP110" i="58"/>
  <c r="BO110" i="58"/>
  <c r="BM110" i="58"/>
  <c r="BJ110" i="58"/>
  <c r="BF110" i="58"/>
  <c r="BE110" i="58"/>
  <c r="BA110" i="58"/>
  <c r="BB110" i="58" s="1"/>
  <c r="AW110" i="58"/>
  <c r="AX110" i="58" s="1"/>
  <c r="CE109" i="58"/>
  <c r="CC109" i="58"/>
  <c r="BX109" i="58"/>
  <c r="BY109" i="58" s="1"/>
  <c r="BP109" i="58"/>
  <c r="BO109" i="58"/>
  <c r="BM109" i="58"/>
  <c r="BJ109" i="58"/>
  <c r="BF109" i="58"/>
  <c r="BE109" i="58"/>
  <c r="BA109" i="58"/>
  <c r="BB109" i="58" s="1"/>
  <c r="AW109" i="58"/>
  <c r="CE108" i="58"/>
  <c r="CC108" i="58"/>
  <c r="BX108" i="58"/>
  <c r="BY108" i="58" s="1"/>
  <c r="BP108" i="58"/>
  <c r="BO108" i="58"/>
  <c r="BM108" i="58"/>
  <c r="BJ108" i="58"/>
  <c r="BF108" i="58"/>
  <c r="BE108" i="58"/>
  <c r="BA108" i="58"/>
  <c r="BB108" i="58" s="1"/>
  <c r="AW108" i="58"/>
  <c r="AX108" i="58" s="1"/>
  <c r="CE107" i="58"/>
  <c r="CC107" i="58"/>
  <c r="BX107" i="58"/>
  <c r="BY107" i="58" s="1"/>
  <c r="BP107" i="58"/>
  <c r="BO107" i="58"/>
  <c r="BM107" i="58"/>
  <c r="BJ107" i="58"/>
  <c r="BF107" i="58"/>
  <c r="BE107" i="58"/>
  <c r="BA107" i="58"/>
  <c r="BB107" i="58" s="1"/>
  <c r="AW107" i="58"/>
  <c r="CE106" i="58"/>
  <c r="CC106" i="58"/>
  <c r="BX106" i="58"/>
  <c r="BY106" i="58" s="1"/>
  <c r="BP106" i="58"/>
  <c r="BO106" i="58"/>
  <c r="BM106" i="58"/>
  <c r="BJ106" i="58"/>
  <c r="BF106" i="58"/>
  <c r="BE106" i="58"/>
  <c r="BA106" i="58"/>
  <c r="BB106" i="58" s="1"/>
  <c r="AW106" i="58"/>
  <c r="AX106" i="58" s="1"/>
  <c r="CE105" i="58"/>
  <c r="CC105" i="58"/>
  <c r="BX105" i="58"/>
  <c r="BY105" i="58" s="1"/>
  <c r="BP105" i="58"/>
  <c r="BO105" i="58"/>
  <c r="BM105" i="58"/>
  <c r="BJ105" i="58"/>
  <c r="BF105" i="58"/>
  <c r="BE105" i="58"/>
  <c r="BA105" i="58"/>
  <c r="BB105" i="58" s="1"/>
  <c r="AW105" i="58"/>
  <c r="CE104" i="58"/>
  <c r="CC104" i="58"/>
  <c r="BX104" i="58"/>
  <c r="BY104" i="58" s="1"/>
  <c r="BP104" i="58"/>
  <c r="BO104" i="58"/>
  <c r="BM104" i="58"/>
  <c r="BJ104" i="58"/>
  <c r="BF104" i="58"/>
  <c r="BE104" i="58"/>
  <c r="BA104" i="58"/>
  <c r="BB104" i="58" s="1"/>
  <c r="AW104" i="58"/>
  <c r="AX104" i="58" s="1"/>
  <c r="CE103" i="58"/>
  <c r="CC103" i="58"/>
  <c r="BX103" i="58"/>
  <c r="BY103" i="58" s="1"/>
  <c r="BP103" i="58"/>
  <c r="BO103" i="58"/>
  <c r="BM103" i="58"/>
  <c r="BJ103" i="58"/>
  <c r="BF103" i="58"/>
  <c r="BE103" i="58"/>
  <c r="BA103" i="58"/>
  <c r="BB103" i="58" s="1"/>
  <c r="AW103" i="58"/>
  <c r="CE102" i="58"/>
  <c r="CC102" i="58"/>
  <c r="BX102" i="58"/>
  <c r="BY102" i="58" s="1"/>
  <c r="BP102" i="58"/>
  <c r="BO102" i="58"/>
  <c r="BM102" i="58"/>
  <c r="BJ102" i="58"/>
  <c r="BF102" i="58"/>
  <c r="BE102" i="58"/>
  <c r="BA102" i="58"/>
  <c r="BB102" i="58" s="1"/>
  <c r="AW102" i="58"/>
  <c r="AX102" i="58" s="1"/>
  <c r="CE101" i="58"/>
  <c r="CC101" i="58"/>
  <c r="BX101" i="58"/>
  <c r="BY101" i="58" s="1"/>
  <c r="BP101" i="58"/>
  <c r="BO101" i="58"/>
  <c r="BM101" i="58"/>
  <c r="BJ101" i="58"/>
  <c r="BF101" i="58"/>
  <c r="BE101" i="58"/>
  <c r="BA101" i="58"/>
  <c r="BB101" i="58" s="1"/>
  <c r="AW101" i="58"/>
  <c r="CE100" i="58"/>
  <c r="CC100" i="58"/>
  <c r="BX100" i="58"/>
  <c r="BY100" i="58" s="1"/>
  <c r="BP100" i="58"/>
  <c r="BO100" i="58"/>
  <c r="BM100" i="58"/>
  <c r="BJ100" i="58"/>
  <c r="BF100" i="58"/>
  <c r="BE100" i="58"/>
  <c r="BA100" i="58"/>
  <c r="BB100" i="58" s="1"/>
  <c r="AW100" i="58"/>
  <c r="AX100" i="58" s="1"/>
  <c r="CE99" i="58"/>
  <c r="CC99" i="58"/>
  <c r="BX99" i="58"/>
  <c r="BY99" i="58" s="1"/>
  <c r="BP99" i="58"/>
  <c r="BO99" i="58"/>
  <c r="BM99" i="58"/>
  <c r="BJ99" i="58"/>
  <c r="BF99" i="58"/>
  <c r="BE99" i="58"/>
  <c r="BA99" i="58"/>
  <c r="BB99" i="58" s="1"/>
  <c r="AW99" i="58"/>
  <c r="CE98" i="58"/>
  <c r="CC98" i="58"/>
  <c r="BX98" i="58"/>
  <c r="BY98" i="58" s="1"/>
  <c r="BP98" i="58"/>
  <c r="BO98" i="58"/>
  <c r="BM98" i="58"/>
  <c r="BJ98" i="58"/>
  <c r="BF98" i="58"/>
  <c r="BE98" i="58"/>
  <c r="BA98" i="58"/>
  <c r="BB98" i="58" s="1"/>
  <c r="AW98" i="58"/>
  <c r="AX98" i="58" s="1"/>
  <c r="CE97" i="58"/>
  <c r="CC97" i="58"/>
  <c r="BX97" i="58"/>
  <c r="BY97" i="58" s="1"/>
  <c r="BP97" i="58"/>
  <c r="BO97" i="58"/>
  <c r="BM97" i="58"/>
  <c r="BJ97" i="58"/>
  <c r="BF97" i="58"/>
  <c r="BE97" i="58"/>
  <c r="BA97" i="58"/>
  <c r="BB97" i="58" s="1"/>
  <c r="AW97" i="58"/>
  <c r="CE96" i="58"/>
  <c r="CC96" i="58"/>
  <c r="BX96" i="58"/>
  <c r="BY96" i="58" s="1"/>
  <c r="BP96" i="58"/>
  <c r="BO96" i="58"/>
  <c r="BM96" i="58"/>
  <c r="BJ96" i="58"/>
  <c r="BF96" i="58"/>
  <c r="BE96" i="58"/>
  <c r="BA96" i="58"/>
  <c r="BB96" i="58" s="1"/>
  <c r="AW96" i="58"/>
  <c r="AX96" i="58" s="1"/>
  <c r="CE95" i="58"/>
  <c r="CC95" i="58"/>
  <c r="BX95" i="58"/>
  <c r="BY95" i="58" s="1"/>
  <c r="BP95" i="58"/>
  <c r="BO95" i="58"/>
  <c r="BM95" i="58"/>
  <c r="BJ95" i="58"/>
  <c r="BF95" i="58"/>
  <c r="BE95" i="58"/>
  <c r="BA95" i="58"/>
  <c r="BB95" i="58" s="1"/>
  <c r="AW95" i="58"/>
  <c r="CE94" i="58"/>
  <c r="CC94" i="58"/>
  <c r="BX94" i="58"/>
  <c r="BY94" i="58" s="1"/>
  <c r="BP94" i="58"/>
  <c r="BO94" i="58"/>
  <c r="BM94" i="58"/>
  <c r="BJ94" i="58"/>
  <c r="BF94" i="58"/>
  <c r="BE94" i="58"/>
  <c r="BA94" i="58"/>
  <c r="BB94" i="58" s="1"/>
  <c r="AW94" i="58"/>
  <c r="AX94" i="58" s="1"/>
  <c r="CE93" i="58"/>
  <c r="CC93" i="58"/>
  <c r="BX93" i="58"/>
  <c r="BY93" i="58" s="1"/>
  <c r="BP93" i="58"/>
  <c r="BO93" i="58"/>
  <c r="BM93" i="58"/>
  <c r="BJ93" i="58"/>
  <c r="BF93" i="58"/>
  <c r="BE93" i="58"/>
  <c r="BA93" i="58"/>
  <c r="BB93" i="58" s="1"/>
  <c r="AW93" i="58"/>
  <c r="CE92" i="58"/>
  <c r="CC92" i="58"/>
  <c r="BX92" i="58"/>
  <c r="BY92" i="58" s="1"/>
  <c r="BP92" i="58"/>
  <c r="BO92" i="58"/>
  <c r="BM92" i="58"/>
  <c r="BJ92" i="58"/>
  <c r="BF92" i="58"/>
  <c r="BE92" i="58"/>
  <c r="BA92" i="58"/>
  <c r="BB92" i="58" s="1"/>
  <c r="AW92" i="58"/>
  <c r="AX92" i="58" s="1"/>
  <c r="CE91" i="58"/>
  <c r="CC91" i="58"/>
  <c r="BX91" i="58"/>
  <c r="BY91" i="58" s="1"/>
  <c r="BP91" i="58"/>
  <c r="BO91" i="58"/>
  <c r="BM91" i="58"/>
  <c r="BJ91" i="58"/>
  <c r="BF91" i="58"/>
  <c r="BE91" i="58"/>
  <c r="BA91" i="58"/>
  <c r="BB91" i="58" s="1"/>
  <c r="AW91" i="58"/>
  <c r="CE90" i="58"/>
  <c r="CC90" i="58"/>
  <c r="BX90" i="58"/>
  <c r="BY90" i="58" s="1"/>
  <c r="BP90" i="58"/>
  <c r="BO90" i="58"/>
  <c r="BM90" i="58"/>
  <c r="BJ90" i="58"/>
  <c r="BF90" i="58"/>
  <c r="BE90" i="58"/>
  <c r="BA90" i="58"/>
  <c r="BB90" i="58" s="1"/>
  <c r="AW90" i="58"/>
  <c r="AX90" i="58" s="1"/>
  <c r="CE89" i="58"/>
  <c r="CC89" i="58"/>
  <c r="BX89" i="58"/>
  <c r="BY89" i="58" s="1"/>
  <c r="BP89" i="58"/>
  <c r="BO89" i="58"/>
  <c r="BM89" i="58"/>
  <c r="BJ89" i="58"/>
  <c r="BF89" i="58"/>
  <c r="BE89" i="58"/>
  <c r="BA89" i="58"/>
  <c r="BB89" i="58" s="1"/>
  <c r="AW89" i="58"/>
  <c r="CE88" i="58"/>
  <c r="CC88" i="58"/>
  <c r="BX88" i="58"/>
  <c r="BY88" i="58" s="1"/>
  <c r="BP88" i="58"/>
  <c r="BO88" i="58"/>
  <c r="BM88" i="58"/>
  <c r="BJ88" i="58"/>
  <c r="BF88" i="58"/>
  <c r="BE88" i="58"/>
  <c r="BA88" i="58"/>
  <c r="BB88" i="58" s="1"/>
  <c r="AW88" i="58"/>
  <c r="AX88" i="58" s="1"/>
  <c r="CE87" i="58"/>
  <c r="CC87" i="58"/>
  <c r="BX87" i="58"/>
  <c r="BY87" i="58" s="1"/>
  <c r="BP87" i="58"/>
  <c r="BO87" i="58"/>
  <c r="BM87" i="58"/>
  <c r="BJ87" i="58"/>
  <c r="BF87" i="58"/>
  <c r="BE87" i="58"/>
  <c r="BA87" i="58"/>
  <c r="BB87" i="58" s="1"/>
  <c r="AW87" i="58"/>
  <c r="CE86" i="58"/>
  <c r="CC86" i="58"/>
  <c r="BX86" i="58"/>
  <c r="BY86" i="58" s="1"/>
  <c r="BP86" i="58"/>
  <c r="BO86" i="58"/>
  <c r="BM86" i="58"/>
  <c r="BJ86" i="58"/>
  <c r="BF86" i="58"/>
  <c r="BE86" i="58"/>
  <c r="BA86" i="58"/>
  <c r="BB86" i="58" s="1"/>
  <c r="AW86" i="58"/>
  <c r="AX86" i="58" s="1"/>
  <c r="CE85" i="58"/>
  <c r="CC85" i="58"/>
  <c r="BX85" i="58"/>
  <c r="BY85" i="58" s="1"/>
  <c r="BP85" i="58"/>
  <c r="BO85" i="58"/>
  <c r="BM85" i="58"/>
  <c r="BJ85" i="58"/>
  <c r="BF85" i="58"/>
  <c r="BE85" i="58"/>
  <c r="BA85" i="58"/>
  <c r="BB85" i="58" s="1"/>
  <c r="AW85" i="58"/>
  <c r="CE84" i="58"/>
  <c r="CC84" i="58"/>
  <c r="BX84" i="58"/>
  <c r="BY84" i="58" s="1"/>
  <c r="BP84" i="58"/>
  <c r="BO84" i="58"/>
  <c r="BM84" i="58"/>
  <c r="BJ84" i="58"/>
  <c r="BF84" i="58"/>
  <c r="BE84" i="58"/>
  <c r="BA84" i="58"/>
  <c r="BB84" i="58" s="1"/>
  <c r="AW84" i="58"/>
  <c r="AX84" i="58" s="1"/>
  <c r="CE83" i="58"/>
  <c r="CC83" i="58"/>
  <c r="BX83" i="58"/>
  <c r="BY83" i="58" s="1"/>
  <c r="BP83" i="58"/>
  <c r="BO83" i="58"/>
  <c r="BM83" i="58"/>
  <c r="BJ83" i="58"/>
  <c r="BF83" i="58"/>
  <c r="BE83" i="58"/>
  <c r="BA83" i="58"/>
  <c r="BB83" i="58" s="1"/>
  <c r="AW83" i="58"/>
  <c r="CE82" i="58"/>
  <c r="CC82" i="58"/>
  <c r="BX82" i="58"/>
  <c r="BY82" i="58" s="1"/>
  <c r="BP82" i="58"/>
  <c r="BO82" i="58"/>
  <c r="BM82" i="58"/>
  <c r="BJ82" i="58"/>
  <c r="BF82" i="58"/>
  <c r="BE82" i="58"/>
  <c r="BA82" i="58"/>
  <c r="BB82" i="58" s="1"/>
  <c r="AW82" i="58"/>
  <c r="AX82" i="58" s="1"/>
  <c r="CE81" i="58"/>
  <c r="CC81" i="58"/>
  <c r="BX81" i="58"/>
  <c r="BY81" i="58" s="1"/>
  <c r="BP81" i="58"/>
  <c r="BO81" i="58"/>
  <c r="BM81" i="58"/>
  <c r="BJ81" i="58"/>
  <c r="BF81" i="58"/>
  <c r="BE81" i="58"/>
  <c r="BA81" i="58"/>
  <c r="BB81" i="58" s="1"/>
  <c r="AW81" i="58"/>
  <c r="CE80" i="58"/>
  <c r="CC80" i="58"/>
  <c r="BX80" i="58"/>
  <c r="BY80" i="58" s="1"/>
  <c r="BP80" i="58"/>
  <c r="BO80" i="58"/>
  <c r="BM80" i="58"/>
  <c r="BJ80" i="58"/>
  <c r="BF80" i="58"/>
  <c r="BE80" i="58"/>
  <c r="BA80" i="58"/>
  <c r="BB80" i="58" s="1"/>
  <c r="AW80" i="58"/>
  <c r="AX80" i="58" s="1"/>
  <c r="CE79" i="58"/>
  <c r="CC79" i="58"/>
  <c r="BX79" i="58"/>
  <c r="BY79" i="58" s="1"/>
  <c r="BP79" i="58"/>
  <c r="BO79" i="58"/>
  <c r="BM79" i="58"/>
  <c r="BJ79" i="58"/>
  <c r="BF79" i="58"/>
  <c r="BE79" i="58"/>
  <c r="BA79" i="58"/>
  <c r="BB79" i="58" s="1"/>
  <c r="AW79" i="58"/>
  <c r="CE78" i="58"/>
  <c r="CC78" i="58"/>
  <c r="BX78" i="58"/>
  <c r="BY78" i="58" s="1"/>
  <c r="BP78" i="58"/>
  <c r="BO78" i="58"/>
  <c r="BM78" i="58"/>
  <c r="BJ78" i="58"/>
  <c r="BF78" i="58"/>
  <c r="BE78" i="58"/>
  <c r="BA78" i="58"/>
  <c r="BB78" i="58" s="1"/>
  <c r="AW78" i="58"/>
  <c r="AX78" i="58" s="1"/>
  <c r="CE77" i="58"/>
  <c r="CC77" i="58"/>
  <c r="BX77" i="58"/>
  <c r="BY77" i="58" s="1"/>
  <c r="BP77" i="58"/>
  <c r="BO77" i="58"/>
  <c r="BM77" i="58"/>
  <c r="BJ77" i="58"/>
  <c r="BF77" i="58"/>
  <c r="BE77" i="58"/>
  <c r="BA77" i="58"/>
  <c r="BB77" i="58" s="1"/>
  <c r="AW77" i="58"/>
  <c r="CE76" i="58"/>
  <c r="CC76" i="58"/>
  <c r="BX76" i="58"/>
  <c r="BY76" i="58" s="1"/>
  <c r="BP76" i="58"/>
  <c r="BO76" i="58"/>
  <c r="BM76" i="58"/>
  <c r="BJ76" i="58"/>
  <c r="BF76" i="58"/>
  <c r="BE76" i="58"/>
  <c r="BA76" i="58"/>
  <c r="BB76" i="58" s="1"/>
  <c r="AW76" i="58"/>
  <c r="AX76" i="58" s="1"/>
  <c r="CE75" i="58"/>
  <c r="CC75" i="58"/>
  <c r="BX75" i="58"/>
  <c r="BY75" i="58" s="1"/>
  <c r="BP75" i="58"/>
  <c r="BO75" i="58"/>
  <c r="BM75" i="58"/>
  <c r="BJ75" i="58"/>
  <c r="BF75" i="58"/>
  <c r="BE75" i="58"/>
  <c r="BA75" i="58"/>
  <c r="BB75" i="58" s="1"/>
  <c r="AW75" i="58"/>
  <c r="CE74" i="58"/>
  <c r="CC74" i="58"/>
  <c r="BX74" i="58"/>
  <c r="BY74" i="58" s="1"/>
  <c r="BP74" i="58"/>
  <c r="BO74" i="58"/>
  <c r="BM74" i="58"/>
  <c r="BJ74" i="58"/>
  <c r="BF74" i="58"/>
  <c r="BE74" i="58"/>
  <c r="BA74" i="58"/>
  <c r="BB74" i="58" s="1"/>
  <c r="AW74" i="58"/>
  <c r="AX74" i="58" s="1"/>
  <c r="CE73" i="58"/>
  <c r="CC73" i="58"/>
  <c r="BX73" i="58"/>
  <c r="BY73" i="58" s="1"/>
  <c r="BP73" i="58"/>
  <c r="BO73" i="58"/>
  <c r="BM73" i="58"/>
  <c r="BJ73" i="58"/>
  <c r="BF73" i="58"/>
  <c r="BE73" i="58"/>
  <c r="BA73" i="58"/>
  <c r="BB73" i="58" s="1"/>
  <c r="AW73" i="58"/>
  <c r="CE72" i="58"/>
  <c r="CC72" i="58"/>
  <c r="BX72" i="58"/>
  <c r="BY72" i="58" s="1"/>
  <c r="BP72" i="58"/>
  <c r="BO72" i="58"/>
  <c r="BM72" i="58"/>
  <c r="BJ72" i="58"/>
  <c r="BF72" i="58"/>
  <c r="BE72" i="58"/>
  <c r="BA72" i="58"/>
  <c r="BB72" i="58" s="1"/>
  <c r="AW72" i="58"/>
  <c r="AX72" i="58" s="1"/>
  <c r="CE71" i="58"/>
  <c r="CC71" i="58"/>
  <c r="BX71" i="58"/>
  <c r="BY71" i="58" s="1"/>
  <c r="BP71" i="58"/>
  <c r="BO71" i="58"/>
  <c r="BM71" i="58"/>
  <c r="BJ71" i="58"/>
  <c r="BF71" i="58"/>
  <c r="BE71" i="58"/>
  <c r="BA71" i="58"/>
  <c r="BB71" i="58" s="1"/>
  <c r="AW71" i="58"/>
  <c r="CE70" i="58"/>
  <c r="CC70" i="58"/>
  <c r="BX70" i="58"/>
  <c r="BY70" i="58" s="1"/>
  <c r="BP70" i="58"/>
  <c r="BO70" i="58"/>
  <c r="BM70" i="58"/>
  <c r="BJ70" i="58"/>
  <c r="BF70" i="58"/>
  <c r="BE70" i="58"/>
  <c r="BA70" i="58"/>
  <c r="BB70" i="58" s="1"/>
  <c r="AW70" i="58"/>
  <c r="AX70" i="58" s="1"/>
  <c r="CE69" i="58"/>
  <c r="CC69" i="58"/>
  <c r="BX69" i="58"/>
  <c r="BY69" i="58" s="1"/>
  <c r="BP69" i="58"/>
  <c r="BO69" i="58"/>
  <c r="BM69" i="58"/>
  <c r="BJ69" i="58"/>
  <c r="BF69" i="58"/>
  <c r="BE69" i="58"/>
  <c r="BA69" i="58"/>
  <c r="BB69" i="58" s="1"/>
  <c r="AW69" i="58"/>
  <c r="CE68" i="58"/>
  <c r="CC68" i="58"/>
  <c r="BX68" i="58"/>
  <c r="BY68" i="58" s="1"/>
  <c r="BP68" i="58"/>
  <c r="BO68" i="58"/>
  <c r="BM68" i="58"/>
  <c r="BJ68" i="58"/>
  <c r="BF68" i="58"/>
  <c r="BE68" i="58"/>
  <c r="BA68" i="58"/>
  <c r="BB68" i="58" s="1"/>
  <c r="AW68" i="58"/>
  <c r="AX68" i="58" s="1"/>
  <c r="CE67" i="58"/>
  <c r="CC67" i="58"/>
  <c r="BX67" i="58"/>
  <c r="BY67" i="58" s="1"/>
  <c r="BP67" i="58"/>
  <c r="BO67" i="58"/>
  <c r="BM67" i="58"/>
  <c r="BJ67" i="58"/>
  <c r="BF67" i="58"/>
  <c r="BE67" i="58"/>
  <c r="BA67" i="58"/>
  <c r="BB67" i="58" s="1"/>
  <c r="AW67" i="58"/>
  <c r="AX67" i="58" s="1"/>
  <c r="CE66" i="58"/>
  <c r="CC66" i="58"/>
  <c r="BX66" i="58"/>
  <c r="BY66" i="58" s="1"/>
  <c r="BP66" i="58"/>
  <c r="BO66" i="58"/>
  <c r="BM66" i="58"/>
  <c r="BJ66" i="58"/>
  <c r="BF66" i="58"/>
  <c r="BE66" i="58"/>
  <c r="BA66" i="58"/>
  <c r="BB66" i="58" s="1"/>
  <c r="AW66" i="58"/>
  <c r="CE65" i="58"/>
  <c r="CC65" i="58"/>
  <c r="BX65" i="58"/>
  <c r="BY65" i="58" s="1"/>
  <c r="BP65" i="58"/>
  <c r="BO65" i="58"/>
  <c r="BM65" i="58"/>
  <c r="BJ65" i="58"/>
  <c r="BF65" i="58"/>
  <c r="BE65" i="58"/>
  <c r="BA65" i="58"/>
  <c r="BB65" i="58" s="1"/>
  <c r="AW65" i="58"/>
  <c r="AX65" i="58" s="1"/>
  <c r="CE64" i="58"/>
  <c r="CC64" i="58"/>
  <c r="BX64" i="58"/>
  <c r="BY64" i="58" s="1"/>
  <c r="BP64" i="58"/>
  <c r="BO64" i="58"/>
  <c r="BM64" i="58"/>
  <c r="BJ64" i="58"/>
  <c r="BF64" i="58"/>
  <c r="BE64" i="58"/>
  <c r="BA64" i="58"/>
  <c r="BB64" i="58" s="1"/>
  <c r="AW64" i="58"/>
  <c r="CE63" i="58"/>
  <c r="CC63" i="58"/>
  <c r="BX63" i="58"/>
  <c r="BY63" i="58" s="1"/>
  <c r="BP63" i="58"/>
  <c r="BO63" i="58"/>
  <c r="BM63" i="58"/>
  <c r="BJ63" i="58"/>
  <c r="BF63" i="58"/>
  <c r="BE63" i="58"/>
  <c r="BA63" i="58"/>
  <c r="BB63" i="58" s="1"/>
  <c r="AW63" i="58"/>
  <c r="AX63" i="58" s="1"/>
  <c r="CE62" i="58"/>
  <c r="CC62" i="58"/>
  <c r="BX62" i="58"/>
  <c r="BY62" i="58" s="1"/>
  <c r="BP62" i="58"/>
  <c r="BO62" i="58"/>
  <c r="BM62" i="58"/>
  <c r="BJ62" i="58"/>
  <c r="BF62" i="58"/>
  <c r="BE62" i="58"/>
  <c r="BA62" i="58"/>
  <c r="BB62" i="58" s="1"/>
  <c r="AW62" i="58"/>
  <c r="CE61" i="58"/>
  <c r="CC61" i="58"/>
  <c r="BX61" i="58"/>
  <c r="BY61" i="58" s="1"/>
  <c r="BP61" i="58"/>
  <c r="BO61" i="58"/>
  <c r="BM61" i="58"/>
  <c r="BJ61" i="58"/>
  <c r="BF61" i="58"/>
  <c r="BE61" i="58"/>
  <c r="BA61" i="58"/>
  <c r="BB61" i="58" s="1"/>
  <c r="AW61" i="58"/>
  <c r="AX61" i="58" s="1"/>
  <c r="CE60" i="58"/>
  <c r="CC60" i="58"/>
  <c r="BX60" i="58"/>
  <c r="BY60" i="58" s="1"/>
  <c r="BP60" i="58"/>
  <c r="BO60" i="58"/>
  <c r="BM60" i="58"/>
  <c r="BJ60" i="58"/>
  <c r="BF60" i="58"/>
  <c r="BE60" i="58"/>
  <c r="BA60" i="58"/>
  <c r="BB60" i="58" s="1"/>
  <c r="AW60" i="58"/>
  <c r="CE59" i="58"/>
  <c r="CC59" i="58"/>
  <c r="BX59" i="58"/>
  <c r="BY59" i="58" s="1"/>
  <c r="BP59" i="58"/>
  <c r="BO59" i="58"/>
  <c r="BM59" i="58"/>
  <c r="BJ59" i="58"/>
  <c r="BF59" i="58"/>
  <c r="BE59" i="58"/>
  <c r="BA59" i="58"/>
  <c r="BB59" i="58" s="1"/>
  <c r="AW59" i="58"/>
  <c r="AX59" i="58" s="1"/>
  <c r="CE58" i="58"/>
  <c r="CC58" i="58"/>
  <c r="BX58" i="58"/>
  <c r="BY58" i="58" s="1"/>
  <c r="BP58" i="58"/>
  <c r="BO58" i="58"/>
  <c r="BM58" i="58"/>
  <c r="BJ58" i="58"/>
  <c r="BF58" i="58"/>
  <c r="BE58" i="58"/>
  <c r="BA58" i="58"/>
  <c r="BB58" i="58" s="1"/>
  <c r="AW58" i="58"/>
  <c r="CE57" i="58"/>
  <c r="CC57" i="58"/>
  <c r="BX57" i="58"/>
  <c r="BY57" i="58" s="1"/>
  <c r="BP57" i="58"/>
  <c r="BO57" i="58"/>
  <c r="BM57" i="58"/>
  <c r="BJ57" i="58"/>
  <c r="BF57" i="58"/>
  <c r="BE57" i="58"/>
  <c r="BA57" i="58"/>
  <c r="BB57" i="58" s="1"/>
  <c r="AW57" i="58"/>
  <c r="AX57" i="58" s="1"/>
  <c r="CE56" i="58"/>
  <c r="CC56" i="58"/>
  <c r="BX56" i="58"/>
  <c r="BY56" i="58" s="1"/>
  <c r="BP56" i="58"/>
  <c r="BO56" i="58"/>
  <c r="BM56" i="58"/>
  <c r="BJ56" i="58"/>
  <c r="BF56" i="58"/>
  <c r="BE56" i="58"/>
  <c r="BA56" i="58"/>
  <c r="BB56" i="58" s="1"/>
  <c r="AW56" i="58"/>
  <c r="CE55" i="58"/>
  <c r="CC55" i="58"/>
  <c r="BX55" i="58"/>
  <c r="BY55" i="58" s="1"/>
  <c r="BP55" i="58"/>
  <c r="BO55" i="58"/>
  <c r="BM55" i="58"/>
  <c r="BJ55" i="58"/>
  <c r="BF55" i="58"/>
  <c r="BE55" i="58"/>
  <c r="BA55" i="58"/>
  <c r="BB55" i="58" s="1"/>
  <c r="AW55" i="58"/>
  <c r="AX55" i="58" s="1"/>
  <c r="CE54" i="58"/>
  <c r="CC54" i="58"/>
  <c r="BX54" i="58"/>
  <c r="BY54" i="58" s="1"/>
  <c r="BP54" i="58"/>
  <c r="BO54" i="58"/>
  <c r="BM54" i="58"/>
  <c r="BJ54" i="58"/>
  <c r="BF54" i="58"/>
  <c r="BE54" i="58"/>
  <c r="BA54" i="58"/>
  <c r="BB54" i="58" s="1"/>
  <c r="AW54" i="58"/>
  <c r="CE53" i="58"/>
  <c r="CC53" i="58"/>
  <c r="BX53" i="58"/>
  <c r="BY53" i="58" s="1"/>
  <c r="BP53" i="58"/>
  <c r="BO53" i="58"/>
  <c r="BM53" i="58"/>
  <c r="BJ53" i="58"/>
  <c r="BF53" i="58"/>
  <c r="BE53" i="58"/>
  <c r="BA53" i="58"/>
  <c r="BB53" i="58" s="1"/>
  <c r="AW53" i="58"/>
  <c r="AX53" i="58" s="1"/>
  <c r="CE52" i="58"/>
  <c r="CC52" i="58"/>
  <c r="BX52" i="58"/>
  <c r="BY52" i="58" s="1"/>
  <c r="BP52" i="58"/>
  <c r="BO52" i="58"/>
  <c r="BM52" i="58"/>
  <c r="BJ52" i="58"/>
  <c r="BF52" i="58"/>
  <c r="BE52" i="58"/>
  <c r="BA52" i="58"/>
  <c r="BB52" i="58" s="1"/>
  <c r="AW52" i="58"/>
  <c r="CE51" i="58"/>
  <c r="CC51" i="58"/>
  <c r="BX51" i="58"/>
  <c r="BY51" i="58" s="1"/>
  <c r="BP51" i="58"/>
  <c r="BO51" i="58"/>
  <c r="BM51" i="58"/>
  <c r="BJ51" i="58"/>
  <c r="BF51" i="58"/>
  <c r="BE51" i="58"/>
  <c r="BA51" i="58"/>
  <c r="BB51" i="58" s="1"/>
  <c r="AW51" i="58"/>
  <c r="CE50" i="58"/>
  <c r="CC50" i="58"/>
  <c r="BX50" i="58"/>
  <c r="BY50" i="58" s="1"/>
  <c r="BP50" i="58"/>
  <c r="BO50" i="58"/>
  <c r="BM50" i="58"/>
  <c r="BJ50" i="58"/>
  <c r="BF50" i="58"/>
  <c r="BE50" i="58"/>
  <c r="BA50" i="58"/>
  <c r="BB50" i="58" s="1"/>
  <c r="AW50" i="58"/>
  <c r="AX50" i="58" s="1"/>
  <c r="CE49" i="58"/>
  <c r="CC49" i="58"/>
  <c r="BX49" i="58"/>
  <c r="BY49" i="58" s="1"/>
  <c r="BP49" i="58"/>
  <c r="BO49" i="58"/>
  <c r="BM49" i="58"/>
  <c r="BJ49" i="58"/>
  <c r="BF49" i="58"/>
  <c r="BE49" i="58"/>
  <c r="BA49" i="58"/>
  <c r="BB49" i="58" s="1"/>
  <c r="AW49" i="58"/>
  <c r="CE48" i="58"/>
  <c r="CC48" i="58"/>
  <c r="BX48" i="58"/>
  <c r="BY48" i="58" s="1"/>
  <c r="BP48" i="58"/>
  <c r="BO48" i="58"/>
  <c r="BM48" i="58"/>
  <c r="BJ48" i="58"/>
  <c r="BF48" i="58"/>
  <c r="BE48" i="58"/>
  <c r="BA48" i="58"/>
  <c r="BB48" i="58" s="1"/>
  <c r="AW48" i="58"/>
  <c r="AX48" i="58" s="1"/>
  <c r="CE47" i="58"/>
  <c r="CC47" i="58"/>
  <c r="BX47" i="58"/>
  <c r="BY47" i="58" s="1"/>
  <c r="BP47" i="58"/>
  <c r="BO47" i="58"/>
  <c r="BM47" i="58"/>
  <c r="BJ47" i="58"/>
  <c r="BF47" i="58"/>
  <c r="BE47" i="58"/>
  <c r="BA47" i="58"/>
  <c r="BB47" i="58" s="1"/>
  <c r="AW47" i="58"/>
  <c r="CE46" i="58"/>
  <c r="CC46" i="58"/>
  <c r="BX46" i="58"/>
  <c r="BY46" i="58" s="1"/>
  <c r="BP46" i="58"/>
  <c r="BO46" i="58"/>
  <c r="BM46" i="58"/>
  <c r="BJ46" i="58"/>
  <c r="BF46" i="58"/>
  <c r="BE46" i="58"/>
  <c r="BA46" i="58"/>
  <c r="BB46" i="58" s="1"/>
  <c r="AW46" i="58"/>
  <c r="AX46" i="58" s="1"/>
  <c r="CE45" i="58"/>
  <c r="CC45" i="58"/>
  <c r="BX45" i="58"/>
  <c r="BY45" i="58" s="1"/>
  <c r="BP45" i="58"/>
  <c r="BO45" i="58"/>
  <c r="BM45" i="58"/>
  <c r="BJ45" i="58"/>
  <c r="BF45" i="58"/>
  <c r="BE45" i="58"/>
  <c r="BA45" i="58"/>
  <c r="BB45" i="58" s="1"/>
  <c r="AW45" i="58"/>
  <c r="CE44" i="58"/>
  <c r="CC44" i="58"/>
  <c r="BX44" i="58"/>
  <c r="BY44" i="58" s="1"/>
  <c r="BP44" i="58"/>
  <c r="BO44" i="58"/>
  <c r="BM44" i="58"/>
  <c r="BJ44" i="58"/>
  <c r="BF44" i="58"/>
  <c r="BE44" i="58"/>
  <c r="BA44" i="58"/>
  <c r="BB44" i="58" s="1"/>
  <c r="AW44" i="58"/>
  <c r="AX44" i="58" s="1"/>
  <c r="CE43" i="58"/>
  <c r="CC43" i="58"/>
  <c r="BX43" i="58"/>
  <c r="BY43" i="58" s="1"/>
  <c r="BP43" i="58"/>
  <c r="BO43" i="58"/>
  <c r="BM43" i="58"/>
  <c r="BJ43" i="58"/>
  <c r="BF43" i="58"/>
  <c r="BE43" i="58"/>
  <c r="BA43" i="58"/>
  <c r="BB43" i="58" s="1"/>
  <c r="AW43" i="58"/>
  <c r="CE42" i="58"/>
  <c r="CC42" i="58"/>
  <c r="BX42" i="58"/>
  <c r="BY42" i="58" s="1"/>
  <c r="BP42" i="58"/>
  <c r="BO42" i="58"/>
  <c r="BM42" i="58"/>
  <c r="BJ42" i="58"/>
  <c r="BF42" i="58"/>
  <c r="BE42" i="58"/>
  <c r="BA42" i="58"/>
  <c r="BB42" i="58" s="1"/>
  <c r="AW42" i="58"/>
  <c r="AX42" i="58" s="1"/>
  <c r="CE41" i="58"/>
  <c r="CC41" i="58"/>
  <c r="BX41" i="58"/>
  <c r="BY41" i="58" s="1"/>
  <c r="BP41" i="58"/>
  <c r="BO41" i="58"/>
  <c r="BM41" i="58"/>
  <c r="BJ41" i="58"/>
  <c r="BF41" i="58"/>
  <c r="BE41" i="58"/>
  <c r="BA41" i="58"/>
  <c r="BB41" i="58" s="1"/>
  <c r="AW41" i="58"/>
  <c r="CE40" i="58"/>
  <c r="CC40" i="58"/>
  <c r="BX40" i="58"/>
  <c r="BY40" i="58" s="1"/>
  <c r="BP40" i="58"/>
  <c r="BO40" i="58"/>
  <c r="BM40" i="58"/>
  <c r="BJ40" i="58"/>
  <c r="BF40" i="58"/>
  <c r="BE40" i="58"/>
  <c r="BA40" i="58"/>
  <c r="BB40" i="58" s="1"/>
  <c r="AW40" i="58"/>
  <c r="AX40" i="58" s="1"/>
  <c r="CE39" i="58"/>
  <c r="CC39" i="58"/>
  <c r="BX39" i="58"/>
  <c r="BY39" i="58" s="1"/>
  <c r="BP39" i="58"/>
  <c r="BO39" i="58"/>
  <c r="BM39" i="58"/>
  <c r="BJ39" i="58"/>
  <c r="BF39" i="58"/>
  <c r="BE39" i="58"/>
  <c r="BA39" i="58"/>
  <c r="BB39" i="58" s="1"/>
  <c r="AW39" i="58"/>
  <c r="CE38" i="58"/>
  <c r="CC38" i="58"/>
  <c r="BX38" i="58"/>
  <c r="BY38" i="58" s="1"/>
  <c r="BP38" i="58"/>
  <c r="BO38" i="58"/>
  <c r="BM38" i="58"/>
  <c r="BJ38" i="58"/>
  <c r="BF38" i="58"/>
  <c r="BE38" i="58"/>
  <c r="BA38" i="58"/>
  <c r="BB38" i="58" s="1"/>
  <c r="AW38" i="58"/>
  <c r="AX38" i="58" s="1"/>
  <c r="CE37" i="58"/>
  <c r="CC37" i="58"/>
  <c r="BX37" i="58"/>
  <c r="BY37" i="58" s="1"/>
  <c r="BP37" i="58"/>
  <c r="BO37" i="58"/>
  <c r="BM37" i="58"/>
  <c r="BJ37" i="58"/>
  <c r="BF37" i="58"/>
  <c r="BE37" i="58"/>
  <c r="BA37" i="58"/>
  <c r="BB37" i="58" s="1"/>
  <c r="AW37" i="58"/>
  <c r="CE36" i="58"/>
  <c r="CC36" i="58"/>
  <c r="BX36" i="58"/>
  <c r="BY36" i="58" s="1"/>
  <c r="BP36" i="58"/>
  <c r="BO36" i="58"/>
  <c r="BM36" i="58"/>
  <c r="BJ36" i="58"/>
  <c r="BF36" i="58"/>
  <c r="BE36" i="58"/>
  <c r="BA36" i="58"/>
  <c r="BB36" i="58" s="1"/>
  <c r="AW36" i="58"/>
  <c r="AX36" i="58" s="1"/>
  <c r="CE35" i="58"/>
  <c r="CC35" i="58"/>
  <c r="BX35" i="58"/>
  <c r="BY35" i="58" s="1"/>
  <c r="BP35" i="58"/>
  <c r="BO35" i="58"/>
  <c r="BM35" i="58"/>
  <c r="BJ35" i="58"/>
  <c r="BF35" i="58"/>
  <c r="BE35" i="58"/>
  <c r="BA35" i="58"/>
  <c r="BB35" i="58" s="1"/>
  <c r="AW35" i="58"/>
  <c r="CE34" i="58"/>
  <c r="CC34" i="58"/>
  <c r="BX34" i="58"/>
  <c r="BY34" i="58" s="1"/>
  <c r="BP34" i="58"/>
  <c r="BO34" i="58"/>
  <c r="BM34" i="58"/>
  <c r="BJ34" i="58"/>
  <c r="BF34" i="58"/>
  <c r="BE34" i="58"/>
  <c r="BA34" i="58"/>
  <c r="BB34" i="58" s="1"/>
  <c r="AW34" i="58"/>
  <c r="AX34" i="58" s="1"/>
  <c r="CE33" i="58"/>
  <c r="CC33" i="58"/>
  <c r="BX33" i="58"/>
  <c r="BY33" i="58" s="1"/>
  <c r="BP33" i="58"/>
  <c r="BO33" i="58"/>
  <c r="BM33" i="58"/>
  <c r="BJ33" i="58"/>
  <c r="BF33" i="58"/>
  <c r="BE33" i="58"/>
  <c r="BA33" i="58"/>
  <c r="BB33" i="58" s="1"/>
  <c r="AW33" i="58"/>
  <c r="CE32" i="58"/>
  <c r="CC32" i="58"/>
  <c r="BX32" i="58"/>
  <c r="BY32" i="58" s="1"/>
  <c r="BP32" i="58"/>
  <c r="BO32" i="58"/>
  <c r="BM32" i="58"/>
  <c r="BJ32" i="58"/>
  <c r="BF32" i="58"/>
  <c r="BE32" i="58"/>
  <c r="BA32" i="58"/>
  <c r="BB32" i="58" s="1"/>
  <c r="AW32" i="58"/>
  <c r="AX32" i="58" s="1"/>
  <c r="CE31" i="58"/>
  <c r="CC31" i="58"/>
  <c r="BX31" i="58"/>
  <c r="BY31" i="58" s="1"/>
  <c r="BP31" i="58"/>
  <c r="BO31" i="58"/>
  <c r="BM31" i="58"/>
  <c r="BJ31" i="58"/>
  <c r="BF31" i="58"/>
  <c r="BE31" i="58"/>
  <c r="BA31" i="58"/>
  <c r="BB31" i="58" s="1"/>
  <c r="AW31" i="58"/>
  <c r="CE30" i="58"/>
  <c r="CC30" i="58"/>
  <c r="BX30" i="58"/>
  <c r="BY30" i="58" s="1"/>
  <c r="BP30" i="58"/>
  <c r="BO30" i="58"/>
  <c r="BM30" i="58"/>
  <c r="BJ30" i="58"/>
  <c r="BF30" i="58"/>
  <c r="BE30" i="58"/>
  <c r="BA30" i="58"/>
  <c r="BB30" i="58" s="1"/>
  <c r="AW30" i="58"/>
  <c r="AX30" i="58" s="1"/>
  <c r="CE29" i="58"/>
  <c r="CC29" i="58"/>
  <c r="BX29" i="58"/>
  <c r="BY29" i="58" s="1"/>
  <c r="BP29" i="58"/>
  <c r="BO29" i="58"/>
  <c r="BM29" i="58"/>
  <c r="BJ29" i="58"/>
  <c r="BF29" i="58"/>
  <c r="BE29" i="58"/>
  <c r="BA29" i="58"/>
  <c r="BB29" i="58" s="1"/>
  <c r="AW29" i="58"/>
  <c r="CE28" i="58"/>
  <c r="CC28" i="58"/>
  <c r="BX28" i="58"/>
  <c r="BY28" i="58" s="1"/>
  <c r="BP28" i="58"/>
  <c r="BO28" i="58"/>
  <c r="BM28" i="58"/>
  <c r="BJ28" i="58"/>
  <c r="BF28" i="58"/>
  <c r="BE28" i="58"/>
  <c r="BA28" i="58"/>
  <c r="BB28" i="58" s="1"/>
  <c r="AW28" i="58"/>
  <c r="AX28" i="58" s="1"/>
  <c r="CE27" i="58"/>
  <c r="CC27" i="58"/>
  <c r="BX27" i="58"/>
  <c r="BY27" i="58" s="1"/>
  <c r="BP27" i="58"/>
  <c r="BO27" i="58"/>
  <c r="BM27" i="58"/>
  <c r="BJ27" i="58"/>
  <c r="BF27" i="58"/>
  <c r="BE27" i="58"/>
  <c r="BA27" i="58"/>
  <c r="BB27" i="58" s="1"/>
  <c r="AW27" i="58"/>
  <c r="CE26" i="58"/>
  <c r="CC26" i="58"/>
  <c r="BX26" i="58"/>
  <c r="BY26" i="58" s="1"/>
  <c r="BP26" i="58"/>
  <c r="BO26" i="58"/>
  <c r="BM26" i="58"/>
  <c r="BJ26" i="58"/>
  <c r="BF26" i="58"/>
  <c r="BE26" i="58"/>
  <c r="BA26" i="58"/>
  <c r="BB26" i="58" s="1"/>
  <c r="AW26" i="58"/>
  <c r="AX26" i="58" s="1"/>
  <c r="CE25" i="58"/>
  <c r="CC25" i="58"/>
  <c r="BX25" i="58"/>
  <c r="BY25" i="58" s="1"/>
  <c r="BP25" i="58"/>
  <c r="BO25" i="58"/>
  <c r="BM25" i="58"/>
  <c r="BJ25" i="58"/>
  <c r="BF25" i="58"/>
  <c r="BE25" i="58"/>
  <c r="BA25" i="58"/>
  <c r="BB25" i="58" s="1"/>
  <c r="AW25" i="58"/>
  <c r="CE24" i="58"/>
  <c r="CC24" i="58"/>
  <c r="BX24" i="58"/>
  <c r="BY24" i="58" s="1"/>
  <c r="BP24" i="58"/>
  <c r="BO24" i="58"/>
  <c r="BM24" i="58"/>
  <c r="BJ24" i="58"/>
  <c r="BF24" i="58"/>
  <c r="BE24" i="58"/>
  <c r="BA24" i="58"/>
  <c r="BB24" i="58" s="1"/>
  <c r="AW24" i="58"/>
  <c r="AX24" i="58" s="1"/>
  <c r="CE23" i="58"/>
  <c r="CC23" i="58"/>
  <c r="BX23" i="58"/>
  <c r="BY23" i="58" s="1"/>
  <c r="BP23" i="58"/>
  <c r="BO23" i="58"/>
  <c r="BM23" i="58"/>
  <c r="BJ23" i="58"/>
  <c r="BF23" i="58"/>
  <c r="BE23" i="58"/>
  <c r="BA23" i="58"/>
  <c r="BB23" i="58" s="1"/>
  <c r="AW23" i="58"/>
  <c r="CE22" i="58"/>
  <c r="CC22" i="58"/>
  <c r="BX22" i="58"/>
  <c r="BY22" i="58" s="1"/>
  <c r="BP22" i="58"/>
  <c r="BO22" i="58"/>
  <c r="BM22" i="58"/>
  <c r="BJ22" i="58"/>
  <c r="BF22" i="58"/>
  <c r="BE22" i="58"/>
  <c r="BA22" i="58"/>
  <c r="BB22" i="58" s="1"/>
  <c r="AW22" i="58"/>
  <c r="AX22" i="58" s="1"/>
  <c r="CE21" i="58"/>
  <c r="CC21" i="58"/>
  <c r="BX21" i="58"/>
  <c r="BY21" i="58" s="1"/>
  <c r="BP21" i="58"/>
  <c r="BO21" i="58"/>
  <c r="BM21" i="58"/>
  <c r="BJ21" i="58"/>
  <c r="BF21" i="58"/>
  <c r="BE21" i="58"/>
  <c r="BA21" i="58"/>
  <c r="BB21" i="58" s="1"/>
  <c r="AW21" i="58"/>
  <c r="CE20" i="58"/>
  <c r="CC20" i="58"/>
  <c r="BX20" i="58"/>
  <c r="BY20" i="58" s="1"/>
  <c r="BP20" i="58"/>
  <c r="BO20" i="58"/>
  <c r="BM20" i="58"/>
  <c r="BJ20" i="58"/>
  <c r="BF20" i="58"/>
  <c r="BE20" i="58"/>
  <c r="BA20" i="58"/>
  <c r="BB20" i="58" s="1"/>
  <c r="AW20" i="58"/>
  <c r="AX20" i="58" s="1"/>
  <c r="CE19" i="58"/>
  <c r="CC19" i="58"/>
  <c r="BX19" i="58"/>
  <c r="BY19" i="58" s="1"/>
  <c r="BP19" i="58"/>
  <c r="BO19" i="58"/>
  <c r="BM19" i="58"/>
  <c r="BJ19" i="58"/>
  <c r="BF19" i="58"/>
  <c r="BE19" i="58"/>
  <c r="BA19" i="58"/>
  <c r="BB19" i="58" s="1"/>
  <c r="AW19" i="58"/>
  <c r="CE18" i="58"/>
  <c r="CC18" i="58"/>
  <c r="BX18" i="58"/>
  <c r="BY18" i="58" s="1"/>
  <c r="BP18" i="58"/>
  <c r="BO18" i="58"/>
  <c r="BM18" i="58"/>
  <c r="BJ18" i="58"/>
  <c r="BF18" i="58"/>
  <c r="BE18" i="58"/>
  <c r="BA18" i="58"/>
  <c r="BB18" i="58" s="1"/>
  <c r="AW18" i="58"/>
  <c r="AX18" i="58" s="1"/>
  <c r="CE17" i="58"/>
  <c r="CC17" i="58"/>
  <c r="BX17" i="58"/>
  <c r="BY17" i="58" s="1"/>
  <c r="BP17" i="58"/>
  <c r="BO17" i="58"/>
  <c r="BM17" i="58"/>
  <c r="BJ17" i="58"/>
  <c r="BF17" i="58"/>
  <c r="BE17" i="58"/>
  <c r="BA17" i="58"/>
  <c r="BB17" i="58" s="1"/>
  <c r="AW17" i="58"/>
  <c r="CE16" i="58"/>
  <c r="CC16" i="58"/>
  <c r="BX16" i="58"/>
  <c r="BY16" i="58" s="1"/>
  <c r="BP16" i="58"/>
  <c r="BO16" i="58"/>
  <c r="BM16" i="58"/>
  <c r="BJ16" i="58"/>
  <c r="BF16" i="58"/>
  <c r="BE16" i="58"/>
  <c r="BA16" i="58"/>
  <c r="BB16" i="58" s="1"/>
  <c r="AW16" i="58"/>
  <c r="AX16" i="58" s="1"/>
  <c r="CE15" i="58"/>
  <c r="CC15" i="58"/>
  <c r="BX15" i="58"/>
  <c r="BY15" i="58" s="1"/>
  <c r="BP15" i="58"/>
  <c r="BO15" i="58"/>
  <c r="BM15" i="58"/>
  <c r="BJ15" i="58"/>
  <c r="BF15" i="58"/>
  <c r="BE15" i="58"/>
  <c r="BA15" i="58"/>
  <c r="BB15" i="58" s="1"/>
  <c r="AW15" i="58"/>
  <c r="CE14" i="58"/>
  <c r="CC14" i="58"/>
  <c r="BX14" i="58"/>
  <c r="BY14" i="58" s="1"/>
  <c r="BP14" i="58"/>
  <c r="BO14" i="58"/>
  <c r="BM14" i="58"/>
  <c r="BJ14" i="58"/>
  <c r="BF14" i="58"/>
  <c r="BE14" i="58"/>
  <c r="BA14" i="58"/>
  <c r="BB14" i="58" s="1"/>
  <c r="AW14" i="58"/>
  <c r="AX14" i="58" s="1"/>
  <c r="CE13" i="58"/>
  <c r="CC13" i="58"/>
  <c r="BX13" i="58"/>
  <c r="BY13" i="58" s="1"/>
  <c r="BP13" i="58"/>
  <c r="BO13" i="58"/>
  <c r="BM13" i="58"/>
  <c r="BJ13" i="58"/>
  <c r="BF13" i="58"/>
  <c r="BE13" i="58"/>
  <c r="BA13" i="58"/>
  <c r="BB13" i="58" s="1"/>
  <c r="AW13" i="58"/>
  <c r="CE12" i="58"/>
  <c r="CC12" i="58"/>
  <c r="BX12" i="58"/>
  <c r="BY12" i="58" s="1"/>
  <c r="BP12" i="58"/>
  <c r="BO12" i="58"/>
  <c r="BM12" i="58"/>
  <c r="BJ12" i="58"/>
  <c r="BF12" i="58"/>
  <c r="BE12" i="58"/>
  <c r="BA12" i="58"/>
  <c r="BB12" i="58" s="1"/>
  <c r="AW12" i="58"/>
  <c r="AX12" i="58" s="1"/>
  <c r="CE11" i="58"/>
  <c r="CC11" i="58"/>
  <c r="BX11" i="58"/>
  <c r="BY11" i="58" s="1"/>
  <c r="BP11" i="58"/>
  <c r="BO11" i="58"/>
  <c r="BM11" i="58"/>
  <c r="BJ11" i="58"/>
  <c r="BF11" i="58"/>
  <c r="BE11" i="58"/>
  <c r="BA11" i="58"/>
  <c r="BB11" i="58" s="1"/>
  <c r="AW11" i="58"/>
  <c r="CE10" i="58"/>
  <c r="CC10" i="58"/>
  <c r="BX10" i="58"/>
  <c r="BY10" i="58" s="1"/>
  <c r="BP10" i="58"/>
  <c r="BO10" i="58"/>
  <c r="BM10" i="58"/>
  <c r="BJ10" i="58"/>
  <c r="BF10" i="58"/>
  <c r="BE10" i="58"/>
  <c r="BA10" i="58"/>
  <c r="BB10" i="58" s="1"/>
  <c r="AW10" i="58"/>
  <c r="AX10" i="58" s="1"/>
  <c r="CE9" i="58"/>
  <c r="CC9" i="58"/>
  <c r="BX9" i="58"/>
  <c r="BY9" i="58" s="1"/>
  <c r="BP9" i="58"/>
  <c r="BO9" i="58"/>
  <c r="BM9" i="58"/>
  <c r="BJ9" i="58"/>
  <c r="BF9" i="58"/>
  <c r="BE9" i="58"/>
  <c r="BA9" i="58"/>
  <c r="BB9" i="58" s="1"/>
  <c r="AW9" i="58"/>
  <c r="CE8" i="58"/>
  <c r="CC8" i="58"/>
  <c r="BX8" i="58"/>
  <c r="BY8" i="58" s="1"/>
  <c r="BP8" i="58"/>
  <c r="BO8" i="58"/>
  <c r="BM8" i="58"/>
  <c r="BJ8" i="58"/>
  <c r="BF8" i="58"/>
  <c r="BE8" i="58"/>
  <c r="BA8" i="58"/>
  <c r="BB8" i="58" s="1"/>
  <c r="AW8" i="58"/>
  <c r="AX8" i="58" s="1"/>
  <c r="CE7" i="58"/>
  <c r="CC7" i="58"/>
  <c r="BX7" i="58"/>
  <c r="BY7" i="58" s="1"/>
  <c r="BP7" i="58"/>
  <c r="BO7" i="58"/>
  <c r="BM7" i="58"/>
  <c r="BJ7" i="58"/>
  <c r="BF7" i="58"/>
  <c r="BE7" i="58"/>
  <c r="BA7" i="58"/>
  <c r="BB7" i="58" s="1"/>
  <c r="AW7" i="58"/>
  <c r="F11" i="57"/>
  <c r="D12" i="57" l="1"/>
  <c r="V28" i="63"/>
  <c r="O58" i="63"/>
  <c r="O62" i="63"/>
  <c r="AY147" i="58"/>
  <c r="AZ147" i="58" s="1"/>
  <c r="AY149" i="58"/>
  <c r="AZ149" i="58" s="1"/>
  <c r="AY151" i="58"/>
  <c r="AZ151" i="58" s="1"/>
  <c r="E12" i="57"/>
  <c r="AY136" i="58"/>
  <c r="AZ136" i="58" s="1"/>
  <c r="AY138" i="58"/>
  <c r="AZ138" i="58" s="1"/>
  <c r="AY140" i="58"/>
  <c r="AZ140" i="58" s="1"/>
  <c r="AY144" i="58"/>
  <c r="AZ144" i="58" s="1"/>
  <c r="AY7" i="58"/>
  <c r="AZ7" i="58" s="1"/>
  <c r="AY9" i="58"/>
  <c r="AZ9" i="58" s="1"/>
  <c r="AY11" i="58"/>
  <c r="AZ11" i="58" s="1"/>
  <c r="AY13" i="58"/>
  <c r="AZ13" i="58" s="1"/>
  <c r="AY15" i="58"/>
  <c r="AZ15" i="58" s="1"/>
  <c r="AY17" i="58"/>
  <c r="AZ17" i="58" s="1"/>
  <c r="AY19" i="58"/>
  <c r="AZ19" i="58" s="1"/>
  <c r="AY21" i="58"/>
  <c r="AZ21" i="58" s="1"/>
  <c r="AY23" i="58"/>
  <c r="AZ23" i="58" s="1"/>
  <c r="AY25" i="58"/>
  <c r="AZ25" i="58" s="1"/>
  <c r="AY27" i="58"/>
  <c r="AZ27" i="58" s="1"/>
  <c r="AY29" i="58"/>
  <c r="AZ29" i="58" s="1"/>
  <c r="AY31" i="58"/>
  <c r="AZ31" i="58" s="1"/>
  <c r="AY33" i="58"/>
  <c r="AZ33" i="58" s="1"/>
  <c r="AY35" i="58"/>
  <c r="AZ35" i="58" s="1"/>
  <c r="AY37" i="58"/>
  <c r="AZ37" i="58" s="1"/>
  <c r="AY41" i="58"/>
  <c r="AZ41" i="58" s="1"/>
  <c r="AY43" i="58"/>
  <c r="AZ43" i="58" s="1"/>
  <c r="AY47" i="58"/>
  <c r="AZ47" i="58" s="1"/>
  <c r="AY51" i="58"/>
  <c r="AZ51" i="58" s="1"/>
  <c r="AY54" i="58"/>
  <c r="AZ54" i="58" s="1"/>
  <c r="AY56" i="58"/>
  <c r="AZ56" i="58" s="1"/>
  <c r="AY58" i="58"/>
  <c r="AZ58" i="58" s="1"/>
  <c r="AY60" i="58"/>
  <c r="AZ60" i="58" s="1"/>
  <c r="AY62" i="58"/>
  <c r="AZ62" i="58" s="1"/>
  <c r="AY64" i="58"/>
  <c r="AZ64" i="58" s="1"/>
  <c r="AY66" i="58"/>
  <c r="AZ66" i="58" s="1"/>
  <c r="AY71" i="58"/>
  <c r="AZ71" i="58" s="1"/>
  <c r="AY75" i="58"/>
  <c r="AZ75" i="58" s="1"/>
  <c r="AY79" i="58"/>
  <c r="AZ79" i="58" s="1"/>
  <c r="AY83" i="58"/>
  <c r="AZ83" i="58" s="1"/>
  <c r="AY87" i="58"/>
  <c r="AZ87" i="58" s="1"/>
  <c r="AY91" i="58"/>
  <c r="AZ91" i="58" s="1"/>
  <c r="AY95" i="58"/>
  <c r="AZ95" i="58" s="1"/>
  <c r="AY99" i="58"/>
  <c r="AZ99" i="58" s="1"/>
  <c r="AY103" i="58"/>
  <c r="AZ103" i="58" s="1"/>
  <c r="AY107" i="58"/>
  <c r="AZ107" i="58" s="1"/>
  <c r="AY111" i="58"/>
  <c r="AZ111" i="58" s="1"/>
  <c r="AY116" i="58"/>
  <c r="AZ116" i="58" s="1"/>
  <c r="AY120" i="58"/>
  <c r="AZ120" i="58" s="1"/>
  <c r="AY124" i="58"/>
  <c r="AZ124" i="58" s="1"/>
  <c r="AY128" i="58"/>
  <c r="AZ128" i="58" s="1"/>
  <c r="AY132" i="58"/>
  <c r="AZ132" i="58" s="1"/>
  <c r="AX71" i="58"/>
  <c r="AX75" i="58"/>
  <c r="AX79" i="58"/>
  <c r="AX83" i="58"/>
  <c r="AX87" i="58"/>
  <c r="AX91" i="58"/>
  <c r="AX95" i="58"/>
  <c r="AX99" i="58"/>
  <c r="AX103" i="58"/>
  <c r="AX107" i="58"/>
  <c r="AX111" i="58"/>
  <c r="AX116" i="58"/>
  <c r="AX120" i="58"/>
  <c r="AX124" i="58"/>
  <c r="AX128" i="58"/>
  <c r="AX132" i="58"/>
  <c r="AX136" i="58"/>
  <c r="AX138" i="58"/>
  <c r="AX140" i="58"/>
  <c r="AX144" i="58"/>
  <c r="AY45" i="58"/>
  <c r="AZ45" i="58" s="1"/>
  <c r="AX45" i="58"/>
  <c r="AY49" i="58"/>
  <c r="AZ49" i="58" s="1"/>
  <c r="AX49" i="58"/>
  <c r="AY52" i="58"/>
  <c r="AZ52" i="58" s="1"/>
  <c r="AX52" i="58"/>
  <c r="F8" i="57"/>
  <c r="AX7" i="58"/>
  <c r="AX13" i="58"/>
  <c r="AX21" i="58"/>
  <c r="AX25" i="58"/>
  <c r="AX29" i="58"/>
  <c r="AX35" i="58"/>
  <c r="AX41" i="58"/>
  <c r="AX56" i="58"/>
  <c r="AX60" i="58"/>
  <c r="AX64" i="58"/>
  <c r="AY68" i="58"/>
  <c r="AZ68" i="58" s="1"/>
  <c r="AY69" i="58"/>
  <c r="AZ69" i="58" s="1"/>
  <c r="AY73" i="58"/>
  <c r="AZ73" i="58" s="1"/>
  <c r="AY77" i="58"/>
  <c r="AZ77" i="58" s="1"/>
  <c r="AY81" i="58"/>
  <c r="AZ81" i="58" s="1"/>
  <c r="AY85" i="58"/>
  <c r="AZ85" i="58" s="1"/>
  <c r="AY89" i="58"/>
  <c r="AZ89" i="58" s="1"/>
  <c r="AY93" i="58"/>
  <c r="AZ93" i="58" s="1"/>
  <c r="AY97" i="58"/>
  <c r="AZ97" i="58" s="1"/>
  <c r="AY101" i="58"/>
  <c r="AZ101" i="58" s="1"/>
  <c r="AY105" i="58"/>
  <c r="AZ105" i="58" s="1"/>
  <c r="AY109" i="58"/>
  <c r="AZ109" i="58" s="1"/>
  <c r="AY113" i="58"/>
  <c r="AZ113" i="58" s="1"/>
  <c r="AY114" i="58"/>
  <c r="AZ114" i="58" s="1"/>
  <c r="AY118" i="58"/>
  <c r="AZ118" i="58" s="1"/>
  <c r="AY122" i="58"/>
  <c r="AZ122" i="58" s="1"/>
  <c r="AY126" i="58"/>
  <c r="AZ126" i="58" s="1"/>
  <c r="AY130" i="58"/>
  <c r="AZ130" i="58" s="1"/>
  <c r="AY134" i="58"/>
  <c r="AZ134" i="58" s="1"/>
  <c r="AY142" i="58"/>
  <c r="AZ142" i="58" s="1"/>
  <c r="AY145" i="58"/>
  <c r="AZ145" i="58" s="1"/>
  <c r="AY153" i="58"/>
  <c r="AZ153" i="58" s="1"/>
  <c r="AE179" i="58"/>
  <c r="AX33" i="58"/>
  <c r="AX37" i="58"/>
  <c r="AY39" i="58"/>
  <c r="AZ39" i="58" s="1"/>
  <c r="AX39" i="58"/>
  <c r="F7" i="57"/>
  <c r="AX9" i="58"/>
  <c r="AX11" i="58"/>
  <c r="AX15" i="58"/>
  <c r="AX17" i="58"/>
  <c r="AX19" i="58"/>
  <c r="AX23" i="58"/>
  <c r="AX27" i="58"/>
  <c r="AX31" i="58"/>
  <c r="AX43" i="58"/>
  <c r="AX47" i="58"/>
  <c r="AX51" i="58"/>
  <c r="AX54" i="58"/>
  <c r="AX58" i="58"/>
  <c r="AX62" i="58"/>
  <c r="AX66" i="58"/>
  <c r="AY67" i="58"/>
  <c r="AZ67" i="58" s="1"/>
  <c r="AX69" i="58"/>
  <c r="AX73" i="58"/>
  <c r="AX77" i="58"/>
  <c r="AX81" i="58"/>
  <c r="AX85" i="58"/>
  <c r="AX89" i="58"/>
  <c r="AX93" i="58"/>
  <c r="AX97" i="58"/>
  <c r="AX101" i="58"/>
  <c r="AX105" i="58"/>
  <c r="AX109" i="58"/>
  <c r="AX113" i="58"/>
  <c r="AX114" i="58"/>
  <c r="AX118" i="58"/>
  <c r="AK179" i="58"/>
  <c r="AL179" i="58" s="1"/>
  <c r="AX122" i="58"/>
  <c r="AX126" i="58"/>
  <c r="AX130" i="58"/>
  <c r="AX134" i="58"/>
  <c r="AX142" i="58"/>
  <c r="AY143" i="58"/>
  <c r="AZ143" i="58" s="1"/>
  <c r="AX147" i="58"/>
  <c r="AX151" i="58"/>
  <c r="AX153" i="58"/>
  <c r="AY155" i="58"/>
  <c r="AZ155" i="58" s="1"/>
  <c r="AY157" i="58"/>
  <c r="AZ157" i="58" s="1"/>
  <c r="AY8" i="58"/>
  <c r="AZ8" i="58" s="1"/>
  <c r="AY10" i="58"/>
  <c r="AZ10" i="58" s="1"/>
  <c r="AY12" i="58"/>
  <c r="AZ12" i="58" s="1"/>
  <c r="AY14" i="58"/>
  <c r="AZ14" i="58" s="1"/>
  <c r="AY16" i="58"/>
  <c r="AZ16" i="58" s="1"/>
  <c r="AY18" i="58"/>
  <c r="AZ18" i="58" s="1"/>
  <c r="AY20" i="58"/>
  <c r="AZ20" i="58" s="1"/>
  <c r="AY22" i="58"/>
  <c r="AZ22" i="58" s="1"/>
  <c r="AY24" i="58"/>
  <c r="AZ24" i="58" s="1"/>
  <c r="AY26" i="58"/>
  <c r="AZ26" i="58" s="1"/>
  <c r="AY28" i="58"/>
  <c r="AZ28" i="58" s="1"/>
  <c r="AY30" i="58"/>
  <c r="AZ30" i="58" s="1"/>
  <c r="AY32" i="58"/>
  <c r="AZ32" i="58" s="1"/>
  <c r="AY34" i="58"/>
  <c r="AZ34" i="58" s="1"/>
  <c r="AY36" i="58"/>
  <c r="AZ36" i="58" s="1"/>
  <c r="AY38" i="58"/>
  <c r="AZ38" i="58" s="1"/>
  <c r="AY40" i="58"/>
  <c r="AZ40" i="58" s="1"/>
  <c r="AY42" i="58"/>
  <c r="AZ42" i="58" s="1"/>
  <c r="AY44" i="58"/>
  <c r="AZ44" i="58" s="1"/>
  <c r="AY46" i="58"/>
  <c r="AZ46" i="58" s="1"/>
  <c r="AY48" i="58"/>
  <c r="AZ48" i="58" s="1"/>
  <c r="AY50" i="58"/>
  <c r="AZ50" i="58" s="1"/>
  <c r="AY53" i="58"/>
  <c r="AZ53" i="58" s="1"/>
  <c r="AY55" i="58"/>
  <c r="AZ55" i="58" s="1"/>
  <c r="AY57" i="58"/>
  <c r="AZ57" i="58" s="1"/>
  <c r="AY59" i="58"/>
  <c r="AZ59" i="58" s="1"/>
  <c r="AY61" i="58"/>
  <c r="AZ61" i="58" s="1"/>
  <c r="AY63" i="58"/>
  <c r="AZ63" i="58" s="1"/>
  <c r="AY65" i="58"/>
  <c r="AZ65" i="58" s="1"/>
  <c r="AY70" i="58"/>
  <c r="AZ70" i="58" s="1"/>
  <c r="AY72" i="58"/>
  <c r="AZ72" i="58" s="1"/>
  <c r="AY74" i="58"/>
  <c r="AZ74" i="58" s="1"/>
  <c r="AY76" i="58"/>
  <c r="AZ76" i="58" s="1"/>
  <c r="AY78" i="58"/>
  <c r="AZ78" i="58" s="1"/>
  <c r="AY80" i="58"/>
  <c r="AZ80" i="58" s="1"/>
  <c r="AY82" i="58"/>
  <c r="AZ82" i="58" s="1"/>
  <c r="AY84" i="58"/>
  <c r="AZ84" i="58" s="1"/>
  <c r="AY86" i="58"/>
  <c r="AZ86" i="58" s="1"/>
  <c r="AY88" i="58"/>
  <c r="AZ88" i="58" s="1"/>
  <c r="AY90" i="58"/>
  <c r="AZ90" i="58" s="1"/>
  <c r="AY92" i="58"/>
  <c r="AZ92" i="58" s="1"/>
  <c r="AY94" i="58"/>
  <c r="AZ94" i="58" s="1"/>
  <c r="AY96" i="58"/>
  <c r="AZ96" i="58" s="1"/>
  <c r="AY98" i="58"/>
  <c r="AZ98" i="58" s="1"/>
  <c r="AY100" i="58"/>
  <c r="AZ100" i="58" s="1"/>
  <c r="AY102" i="58"/>
  <c r="AZ102" i="58" s="1"/>
  <c r="AY104" i="58"/>
  <c r="AZ104" i="58" s="1"/>
  <c r="AY106" i="58"/>
  <c r="AZ106" i="58" s="1"/>
  <c r="AY108" i="58"/>
  <c r="AZ108" i="58" s="1"/>
  <c r="AY110" i="58"/>
  <c r="AZ110" i="58" s="1"/>
  <c r="AY112" i="58"/>
  <c r="AZ112" i="58" s="1"/>
  <c r="AY115" i="58"/>
  <c r="AZ115" i="58" s="1"/>
  <c r="AY117" i="58"/>
  <c r="AZ117" i="58" s="1"/>
  <c r="AY119" i="58"/>
  <c r="AZ119" i="58" s="1"/>
  <c r="AY121" i="58"/>
  <c r="AZ121" i="58" s="1"/>
  <c r="AY123" i="58"/>
  <c r="AZ123" i="58" s="1"/>
  <c r="AY125" i="58"/>
  <c r="AZ125" i="58" s="1"/>
  <c r="AY127" i="58"/>
  <c r="AZ127" i="58" s="1"/>
  <c r="AY129" i="58"/>
  <c r="AZ129" i="58" s="1"/>
  <c r="AY131" i="58"/>
  <c r="AZ131" i="58" s="1"/>
  <c r="AY133" i="58"/>
  <c r="AZ133" i="58" s="1"/>
  <c r="AY135" i="58"/>
  <c r="AZ135" i="58" s="1"/>
  <c r="AY141" i="58"/>
  <c r="AZ141" i="58" s="1"/>
  <c r="AX141" i="58"/>
  <c r="AY137" i="58"/>
  <c r="AZ137" i="58" s="1"/>
  <c r="AY139" i="58"/>
  <c r="AZ139" i="58" s="1"/>
  <c r="AX143" i="58"/>
  <c r="AX145" i="58"/>
  <c r="AY146" i="58"/>
  <c r="AZ146" i="58" s="1"/>
  <c r="AY148" i="58"/>
  <c r="AZ148" i="58" s="1"/>
  <c r="AY150" i="58"/>
  <c r="AZ150" i="58" s="1"/>
  <c r="AY152" i="58"/>
  <c r="AZ152" i="58" s="1"/>
  <c r="AY154" i="58"/>
  <c r="AZ154" i="58" s="1"/>
  <c r="AX155" i="58"/>
  <c r="AY156" i="58"/>
  <c r="AZ156" i="58" s="1"/>
  <c r="AX157" i="58"/>
  <c r="AE178" i="58"/>
  <c r="AK178" i="58"/>
  <c r="AL178" i="58" s="1"/>
  <c r="AH179" i="58"/>
  <c r="AI179" i="58" s="1"/>
  <c r="AH178" i="58"/>
  <c r="AI178" i="58" s="1"/>
  <c r="C63" i="57" l="1"/>
  <c r="D63" i="57" s="1"/>
  <c r="C53" i="57"/>
  <c r="D53" i="57" s="1"/>
  <c r="C46" i="57"/>
  <c r="D46" i="57" s="1"/>
  <c r="F12" i="57"/>
  <c r="C38" i="57" s="1"/>
  <c r="C39" i="57" s="1"/>
  <c r="C54" i="57" l="1"/>
  <c r="C64" i="57"/>
  <c r="C47" i="57"/>
</calcChain>
</file>

<file path=xl/comments1.xml><?xml version="1.0" encoding="utf-8"?>
<comments xmlns="http://schemas.openxmlformats.org/spreadsheetml/2006/main">
  <authors>
    <author>Olivier Le Guillou</author>
    <author>Thein Tun Hlaing</author>
    <author>AOD 270</author>
    <author>Than Kyaw Soe</author>
  </authors>
  <commentList>
    <comment ref="B4" authorId="0">
      <text>
        <r>
          <rPr>
            <b/>
            <sz val="9"/>
            <color indexed="81"/>
            <rFont val="Tahoma"/>
            <family val="2"/>
          </rPr>
          <t>Gray area to be filled by UNICEF on monthly CCCM update</t>
        </r>
      </text>
    </comment>
    <comment ref="J4" authorId="1">
      <text>
        <r>
          <rPr>
            <b/>
            <sz val="9"/>
            <color indexed="81"/>
            <rFont val="Tahoma"/>
            <family val="2"/>
          </rPr>
          <t xml:space="preserve">Thein Tun Hlaing:
Number of Register House hold who register in the list.
</t>
        </r>
      </text>
    </comment>
    <comment ref="O4" authorId="0">
      <text>
        <r>
          <rPr>
            <b/>
            <sz val="9"/>
            <color indexed="81"/>
            <rFont val="Tahoma"/>
            <family val="2"/>
          </rPr>
          <t>As mentionned in the Rakhine and Kachin strategic cluster plan, ideally no more than 1 NGO per camp. Here at least one NGO focal point for each sub sector (water, sanitation, hygiene propmotion). Focal point would means for cluster that the NGO is able to provide all infor in the sub sector for the camp concern. Ideally, the best case may be same NGo for all sub-sector as focal point</t>
        </r>
      </text>
    </comment>
    <comment ref="Z4" authorId="2">
      <text>
        <r>
          <rPr>
            <b/>
            <sz val="9"/>
            <color indexed="81"/>
            <rFont val="Tahoma"/>
            <family val="2"/>
          </rPr>
          <t>AOD 270:</t>
        </r>
        <r>
          <rPr>
            <sz val="9"/>
            <color indexed="81"/>
            <rFont val="Tahoma"/>
            <family val="2"/>
          </rPr>
          <t xml:space="preserve">
Not connect to the motor pump and not connect to the over head tank</t>
        </r>
      </text>
    </comment>
    <comment ref="AA4" authorId="0">
      <text>
        <r>
          <rPr>
            <b/>
            <sz val="9"/>
            <color indexed="81"/>
            <rFont val="Tahoma"/>
            <family val="2"/>
          </rPr>
          <t>Average hours of running per day or per week. If do not know the yield , calculate how many litres of water can be pumped out by running for 1 minutes. 
Eg. If run the motor for 1 min and get 30 litres,  = 30x60 x 4 hours etc.</t>
        </r>
      </text>
    </comment>
    <comment ref="AB4" authorId="2">
      <text>
        <r>
          <rPr>
            <b/>
            <sz val="9"/>
            <color indexed="81"/>
            <rFont val="Tahoma"/>
            <family val="2"/>
          </rPr>
          <t>AOD 270:</t>
        </r>
        <r>
          <rPr>
            <sz val="9"/>
            <color indexed="81"/>
            <rFont val="Tahoma"/>
            <family val="2"/>
          </rPr>
          <t xml:space="preserve">
If walking aound the camp shows 40 households collect rain water out of 80 households, the % would be 50%.</t>
        </r>
      </text>
    </comment>
    <comment ref="AP4" authorId="0">
      <text>
        <r>
          <rPr>
            <b/>
            <sz val="9"/>
            <color indexed="81"/>
            <rFont val="Tahoma"/>
            <family val="2"/>
          </rPr>
          <t>Offer a rough idea of the coverage of needs expected in 2 months (can also decrease in case of dry season…)</t>
        </r>
      </text>
    </comment>
    <comment ref="AS4" authorId="0">
      <text>
        <r>
          <rPr>
            <b/>
            <sz val="9"/>
            <color indexed="81"/>
            <rFont val="Tahoma"/>
            <family val="2"/>
          </rPr>
          <t>For capitalisation only, mentionned total number of latrines built, even if not still functioning or existing)</t>
        </r>
      </text>
    </comment>
    <comment ref="BC4" authorId="0">
      <text>
        <r>
          <rPr>
            <b/>
            <sz val="9"/>
            <color indexed="81"/>
            <rFont val="Tahoma"/>
            <family val="2"/>
          </rPr>
          <t>To mentionned approximated additional needs related to School, health center, ...</t>
        </r>
        <r>
          <rPr>
            <sz val="9"/>
            <color indexed="81"/>
            <rFont val="Tahoma"/>
            <family val="2"/>
          </rPr>
          <t xml:space="preserve">
50 boy students 1 latrine and 1 urinal and 1 for male staff, 25 girl students 1 latrine and 1 for female staff.</t>
        </r>
      </text>
    </comment>
    <comment ref="BS4" authorId="0">
      <text>
        <r>
          <rPr>
            <b/>
            <sz val="9"/>
            <color indexed="81"/>
            <rFont val="Tahoma"/>
            <family val="2"/>
          </rPr>
          <t>In respect of HK strategy, 1 full hygiene kit should be distributed each year. Indicate the date corresponding at the last distribution realised according to the strategy.</t>
        </r>
      </text>
    </comment>
    <comment ref="BT4" authorId="0">
      <text>
        <r>
          <rPr>
            <b/>
            <sz val="9"/>
            <color indexed="81"/>
            <rFont val="Tahoma"/>
            <family val="2"/>
          </rPr>
          <t>Accordingly to HK strategy, once a year</t>
        </r>
      </text>
    </comment>
    <comment ref="BV4" authorId="0">
      <text>
        <r>
          <rPr>
            <b/>
            <sz val="9"/>
            <color indexed="81"/>
            <rFont val="Tahoma"/>
            <family val="2"/>
          </rPr>
          <t>The date indicated in column BN indicate the "starting date" of need coverage for Refilling Kits, defined for monthly needs. Then, well specified the nb of month provided in Refilling Kits since the date indicated in column BN. The number to should reflectre the number of months realised, not the number of distribution. A distribution can in some case cover 3 months of refieling need</t>
        </r>
      </text>
    </comment>
    <comment ref="E77" authorId="3">
      <text>
        <r>
          <rPr>
            <b/>
            <sz val="9"/>
            <color indexed="81"/>
            <rFont val="Tahoma"/>
            <family val="2"/>
          </rPr>
          <t>Than Kyaw Soe:</t>
        </r>
        <r>
          <rPr>
            <sz val="9"/>
            <color indexed="81"/>
            <rFont val="Tahoma"/>
            <family val="2"/>
          </rPr>
          <t xml:space="preserve">
move to another locations need to change the GPS Point</t>
        </r>
      </text>
    </comment>
  </commentList>
</comments>
</file>

<file path=xl/comments2.xml><?xml version="1.0" encoding="utf-8"?>
<comments xmlns="http://schemas.openxmlformats.org/spreadsheetml/2006/main">
  <authors>
    <author>Christian</author>
  </authors>
  <commentList>
    <comment ref="T31" authorId="0">
      <text>
        <r>
          <rPr>
            <b/>
            <sz val="8"/>
            <color indexed="81"/>
            <rFont val="Tahoma"/>
            <family val="2"/>
          </rPr>
          <t>Christian:</t>
        </r>
        <r>
          <rPr>
            <sz val="8"/>
            <color indexed="81"/>
            <rFont val="Tahoma"/>
            <family val="2"/>
          </rPr>
          <t xml:space="preserve">
O&amp;M Mainly. 200 new latrine in NGCA and school latrines in NGCA and GCA</t>
        </r>
      </text>
    </comment>
    <comment ref="U31" authorId="0">
      <text>
        <r>
          <rPr>
            <b/>
            <sz val="8"/>
            <color indexed="81"/>
            <rFont val="Tahoma"/>
            <family val="2"/>
          </rPr>
          <t>Christian:</t>
        </r>
        <r>
          <rPr>
            <sz val="8"/>
            <color indexed="81"/>
            <rFont val="Tahoma"/>
            <family val="2"/>
          </rPr>
          <t xml:space="preserve">
O&amp;M Mainly. New gravity systems and storage in NGCA and a few new wells in exoanded GCA camps</t>
        </r>
      </text>
    </comment>
    <comment ref="V31" authorId="0">
      <text>
        <r>
          <rPr>
            <b/>
            <sz val="8"/>
            <color indexed="81"/>
            <rFont val="Tahoma"/>
            <family val="2"/>
          </rPr>
          <t>Christian:</t>
        </r>
        <r>
          <rPr>
            <sz val="8"/>
            <color indexed="81"/>
            <rFont val="Tahoma"/>
            <family val="2"/>
          </rPr>
          <t xml:space="preserve">
NOTE: Limited funding for hygiene consumables. </t>
        </r>
      </text>
    </comment>
    <comment ref="AG31" authorId="0">
      <text>
        <r>
          <rPr>
            <b/>
            <sz val="8"/>
            <color indexed="81"/>
            <rFont val="Tahoma"/>
            <family val="2"/>
          </rPr>
          <t>Christian:</t>
        </r>
        <r>
          <rPr>
            <sz val="8"/>
            <color indexed="81"/>
            <rFont val="Tahoma"/>
            <family val="2"/>
          </rPr>
          <t xml:space="preserve">
High due to hygiene kit costs</t>
        </r>
      </text>
    </comment>
  </commentList>
</comments>
</file>

<file path=xl/sharedStrings.xml><?xml version="1.0" encoding="utf-8"?>
<sst xmlns="http://schemas.openxmlformats.org/spreadsheetml/2006/main" count="3961" uniqueCount="883">
  <si>
    <t>Township</t>
  </si>
  <si>
    <t>Site</t>
  </si>
  <si>
    <t>Total</t>
  </si>
  <si>
    <t>Location type</t>
  </si>
  <si>
    <t>Type</t>
  </si>
  <si>
    <t>Gap of basic hygiene kit</t>
  </si>
  <si>
    <t>Summary:</t>
  </si>
  <si>
    <t>Focal point Agency</t>
  </si>
  <si>
    <t>IDPs Pop</t>
  </si>
  <si>
    <t>Total PoP</t>
  </si>
  <si>
    <t>Needs coverage</t>
  </si>
  <si>
    <t>Comment</t>
  </si>
  <si>
    <t>Coverage hand wash station %</t>
  </si>
  <si>
    <t>Structure</t>
  </si>
  <si>
    <t>Gap of month covered by refilled</t>
  </si>
  <si>
    <t>Comments</t>
  </si>
  <si>
    <t>Approximative % of household receiving monthly HP senzitisation directly with NGO</t>
  </si>
  <si>
    <t>Camp manager defined by UNHCR</t>
  </si>
  <si>
    <t>Yes</t>
  </si>
  <si>
    <t>No</t>
  </si>
  <si>
    <t>Done</t>
  </si>
  <si>
    <t>Never deployed</t>
  </si>
  <si>
    <t>Coverage Bathing %</t>
  </si>
  <si>
    <r>
      <rPr>
        <b/>
        <sz val="10"/>
        <color indexed="10"/>
        <rFont val="Calibri"/>
        <family val="2"/>
      </rPr>
      <t>%</t>
    </r>
    <r>
      <rPr>
        <b/>
        <sz val="10"/>
        <color indexed="8"/>
        <rFont val="Calibri"/>
        <family val="2"/>
      </rPr>
      <t xml:space="preserve"> Latrine needs coverage</t>
    </r>
  </si>
  <si>
    <r>
      <rPr>
        <b/>
        <sz val="10"/>
        <color indexed="10"/>
        <rFont val="Calibri"/>
        <family val="2"/>
      </rPr>
      <t>#</t>
    </r>
    <r>
      <rPr>
        <b/>
        <sz val="10"/>
        <color indexed="8"/>
        <rFont val="Calibri"/>
        <family val="2"/>
      </rPr>
      <t xml:space="preserve"> Semi permanent latrines missing</t>
    </r>
  </si>
  <si>
    <t>Month reported:</t>
  </si>
  <si>
    <r>
      <rPr>
        <b/>
        <sz val="10"/>
        <color indexed="10"/>
        <rFont val="Calibri"/>
        <family val="2"/>
      </rPr>
      <t>#</t>
    </r>
    <r>
      <rPr>
        <b/>
        <sz val="10"/>
        <color indexed="8"/>
        <rFont val="Calibri"/>
        <family val="2"/>
      </rPr>
      <t xml:space="preserve"> Additional latrines needs identified for community center as TLS, heath center…</t>
    </r>
  </si>
  <si>
    <t>Legend:</t>
  </si>
  <si>
    <t>White cell to be filled by NGO</t>
  </si>
  <si>
    <t>Gray Cell to be filled by UNICEF</t>
  </si>
  <si>
    <t>Colored cell per sector, automatic calculation</t>
  </si>
  <si>
    <t>Unity of the entry mentionned in the colum title in red</t>
  </si>
  <si>
    <t>Focal poing Agency:</t>
  </si>
  <si>
    <t>As mentionned in the Strategic plan, it is wish than one main wash actor per camp is positionned</t>
  </si>
  <si>
    <t>Objectives of the 4W matrix:</t>
  </si>
  <si>
    <t>To identify the geographical positionning of the different intervenants (Who)</t>
  </si>
  <si>
    <t>To deduce the geographical gaps coverage (Where)</t>
  </si>
  <si>
    <t>To produce a basic analysis of the needs covered, and needs remaining (What)</t>
  </si>
  <si>
    <t>To support priority definition</t>
  </si>
  <si>
    <t xml:space="preserve">To offer an synthetic situation overview, a basic, relavant and comparable analysis </t>
  </si>
  <si>
    <t>The 4W excecice cannot replace more complexe and field monitoring tools, and analysis.</t>
  </si>
  <si>
    <t>Geographical reporting coverage</t>
  </si>
  <si>
    <t xml:space="preserve"> It won't analyse much the qualitative aspect of the intervention, while it is pre-condition for any intervention </t>
  </si>
  <si>
    <t>to respect minimum technical standards, shared and contextualised by the cluster</t>
  </si>
  <si>
    <t>However, depending of the needs, two actors can be considered per sub sctor, and different regarding wash sub-sector</t>
  </si>
  <si>
    <t>In a cluster point of view, to facilitate the data collection, the define focal wash agency is reporting for the whole situation per sub-sector, and not only on its own activities</t>
  </si>
  <si>
    <t>The agency focal point is defined on an bilateral agreement between NGO, while the Cluster can accompaign any process difficulties</t>
  </si>
  <si>
    <t>Wash Cluster, through intersectorial coordination with CCCM, is providing a site baseline data. However,  this pre-define list is not closed to new location, if related to the emmergency.</t>
  </si>
  <si>
    <t xml:space="preserve">In case of new location (ex: spontaneous camps not register with CCCM, host communities considered directly affected, isolated villages facing </t>
  </si>
  <si>
    <t>humanitarian risk…), please mark in the data base, and engage exchange with the Wash cluster in order to properly reconized this location, and allow to exchange with CCCM if needed.</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</si>
  <si>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</si>
  <si>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</si>
  <si>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</si>
  <si>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monthly exchange on results finding</t>
  </si>
  <si>
    <t>The 4W should be updated at monthly bases, while all agency are requested to fill the form to offer the more accurate and relevant situation vision</t>
  </si>
  <si>
    <t>To predict at minima the coverage extension or reduction in short term (When)</t>
  </si>
  <si>
    <t>The agency are also welcom to cross check the data and mention major discrpency with field observation. The wash cluster in that case ensure a follow up at the inter-cluster level</t>
  </si>
  <si>
    <t>The 4W and its analysis is shared with the Myanmar autorities</t>
  </si>
  <si>
    <t>The wash cluster is in charge to ensure to gather the information form the State government, in case of technical direct implementation</t>
  </si>
  <si>
    <t>The 4w consolidated by the wash cluster and its analysis will be monthly share through the google wash group, and the internet site</t>
  </si>
  <si>
    <t>Sub-sector remarks:</t>
  </si>
  <si>
    <t>Differenciation between emmergency facilities and semi permanent is done, in order to better forsee the facilities to be developped, further than the immediate coverage</t>
  </si>
  <si>
    <t>Water havest system is mentionned, but not taken in consideration in the calculation of safe water access coverage, due to the water quality</t>
  </si>
  <si>
    <t xml:space="preserve"> and the seasonality of it use, despite considered as a good mitigating technical solution</t>
  </si>
  <si>
    <t>Need for community space, as Temporary Learning School, are not yet clear to mesure, but has to be evaluated on existing structure by Agency</t>
  </si>
  <si>
    <t>Functional and efficient</t>
  </si>
  <si>
    <t>Not yet set up</t>
  </si>
  <si>
    <t>Gender issue is not proposed to be mesure by this tools, considered to be a minimum standard to be respected</t>
  </si>
  <si>
    <t xml:space="preserve">The objective being to mesure the needs remaining, and so the need covered, technical evaluation are not proposed, </t>
  </si>
  <si>
    <t xml:space="preserve">as" # of water point not working" or needed rehabilitation, concentrating on the services effective for the beneficiaries. </t>
  </si>
  <si>
    <t>Social organisation is proposed to be measured on basic effeciency accomplishment</t>
  </si>
  <si>
    <t>Desludging needs monitoring is high, but so high and challenging matter that another separate tools should be developped for a prpper follow up and plan set up</t>
  </si>
  <si>
    <r>
      <rPr>
        <sz val="18"/>
        <color indexed="8"/>
        <rFont val="Calibri"/>
        <family val="2"/>
      </rPr>
      <t>WASH CLUSTER</t>
    </r>
    <r>
      <rPr>
        <b/>
        <sz val="18"/>
        <color indexed="8"/>
        <rFont val="Calibri"/>
        <family val="2"/>
      </rPr>
      <t xml:space="preserve"> 4W MATRIX </t>
    </r>
    <r>
      <rPr>
        <sz val="18"/>
        <color indexed="8"/>
        <rFont val="Calibri"/>
        <family val="2"/>
      </rPr>
      <t>MYANMAR</t>
    </r>
  </si>
  <si>
    <t>Grand Total</t>
  </si>
  <si>
    <t>(All)</t>
  </si>
  <si>
    <t>Data</t>
  </si>
  <si>
    <t>Rank coverage</t>
  </si>
  <si>
    <t>Camps treshold</t>
  </si>
  <si>
    <t>2. Medium</t>
  </si>
  <si>
    <t>1. Small</t>
  </si>
  <si>
    <t>3. Large</t>
  </si>
  <si>
    <t>4. Big</t>
  </si>
  <si>
    <t>5. Massive</t>
  </si>
  <si>
    <t>Agencies involved</t>
  </si>
  <si>
    <t>Complement Agency</t>
  </si>
  <si>
    <t xml:space="preserve">Exit strategy plan from emergency supply </t>
  </si>
  <si>
    <t>Emergency structures</t>
  </si>
  <si>
    <r>
      <t xml:space="preserve">Semi-permanent structures </t>
    </r>
    <r>
      <rPr>
        <b/>
        <sz val="12"/>
        <color indexed="10"/>
        <rFont val="Calibri"/>
        <family val="2"/>
      </rPr>
      <t>functionning</t>
    </r>
  </si>
  <si>
    <t>Actual water needs coverage</t>
  </si>
  <si>
    <t>% Emergency latrines</t>
  </si>
  <si>
    <t>Bathing space gender sperated</t>
  </si>
  <si>
    <t>Not separated yet</t>
  </si>
  <si>
    <t>Latrines gender sperated</t>
  </si>
  <si>
    <t>Count of Bathing space gender sperated</t>
  </si>
  <si>
    <t>Coverage Hygiene kits</t>
  </si>
  <si>
    <t>General comparative Analysis</t>
  </si>
  <si>
    <t>Water access</t>
  </si>
  <si>
    <t>Latrine access</t>
  </si>
  <si>
    <t>Community approach/ Hygiene Promotion</t>
  </si>
  <si>
    <t>% of actual need covered by emergency facilities</t>
  </si>
  <si>
    <r>
      <rPr>
        <b/>
        <sz val="10"/>
        <color indexed="10"/>
        <rFont val="Calibri"/>
        <family val="2"/>
      </rPr>
      <t>#</t>
    </r>
    <r>
      <rPr>
        <b/>
        <sz val="10"/>
        <color indexed="8"/>
        <rFont val="Calibri"/>
        <family val="2"/>
      </rPr>
      <t xml:space="preserve"> Hand pump (on well or borehole)</t>
    </r>
  </si>
  <si>
    <r>
      <rPr>
        <b/>
        <sz val="10"/>
        <color indexed="10"/>
        <rFont val="Calibri"/>
        <family val="2"/>
      </rPr>
      <t>Total #</t>
    </r>
    <r>
      <rPr>
        <b/>
        <sz val="10"/>
        <color indexed="8"/>
        <rFont val="Calibri"/>
        <family val="2"/>
      </rPr>
      <t xml:space="preserve"> Emergency Latrines built since camp opening</t>
    </r>
  </si>
  <si>
    <t>Hygiene promotion</t>
  </si>
  <si>
    <t>GPS x</t>
  </si>
  <si>
    <t>GPS y</t>
  </si>
  <si>
    <t>COMMUNITY MOBILIZATION</t>
  </si>
  <si>
    <t>Nb  community HP trainer trained by NGO</t>
  </si>
  <si>
    <t>Chipwi</t>
  </si>
  <si>
    <t>Chipwi KBC camp</t>
  </si>
  <si>
    <t>Lhaovao Baptist Church (LBC)</t>
  </si>
  <si>
    <t>Hpakan</t>
  </si>
  <si>
    <t>5 Ward Baptist Church(lon Khin)</t>
  </si>
  <si>
    <t>5 Ward RC Church(lon Khin)</t>
  </si>
  <si>
    <t>AG Church, Hmaw Si Sa</t>
  </si>
  <si>
    <t>AG Church, Maw Wan</t>
  </si>
  <si>
    <t>Baptist Church, Hmaw Si Sar(Lon Khin)</t>
  </si>
  <si>
    <t>Baptist Church, Naung Hmee VT</t>
  </si>
  <si>
    <t>Chin Church, Seik Mu</t>
  </si>
  <si>
    <t>Dhama Rakhita, Nyein Chan Tar Yar Ward(Lon Khin)</t>
  </si>
  <si>
    <t>Hmaw Wan, Anglican</t>
  </si>
  <si>
    <t>Lisu Baptist Church, Maw Shan Vil,. Seik Mu</t>
  </si>
  <si>
    <t>Lisu Baptist Church, Maw Wan Ward</t>
  </si>
  <si>
    <t>Maw Wan, Mu-yin Baptist Church</t>
  </si>
  <si>
    <t>Nant Ma Hpit Catholic Church</t>
  </si>
  <si>
    <t>Rawan Baptist Church, Maw Shan Vil., Seik Mu</t>
  </si>
  <si>
    <t>Sai Nai Baptish Church, Maw Shan Vil., Seki Mu</t>
  </si>
  <si>
    <t xml:space="preserve">Ward 2 Sai Taung Baptist Church, Seik Mu </t>
  </si>
  <si>
    <t>Yumar Baptist Church</t>
  </si>
  <si>
    <t>Khaunglanhpu</t>
  </si>
  <si>
    <t>La Ja</t>
  </si>
  <si>
    <t xml:space="preserve">Kyun Taw Baptist Church </t>
  </si>
  <si>
    <t>Mang Hawng Baptist Church</t>
  </si>
  <si>
    <t xml:space="preserve">Nat Gyi Kone Baptist Church </t>
  </si>
  <si>
    <t>Mohnyin</t>
  </si>
  <si>
    <t xml:space="preserve">St. Patrick Catholic Church </t>
  </si>
  <si>
    <t>Myitkyina</t>
  </si>
  <si>
    <t>Du Kahtawng Qtr. 14</t>
  </si>
  <si>
    <t>Du Kahtawng Qtr. 4</t>
  </si>
  <si>
    <t>Du Kahtawng Qtr. 5</t>
  </si>
  <si>
    <t>Jan Mai Kawng Baptist Church</t>
  </si>
  <si>
    <t>Jan Mai Kawng Catholic Church</t>
  </si>
  <si>
    <t>Kyun Pin Thar Baptist Church</t>
  </si>
  <si>
    <t>Le Kone Bethlehem Church</t>
  </si>
  <si>
    <t xml:space="preserve">Le Kone Ziun Baptist Church </t>
  </si>
  <si>
    <t>Maliyang Baptist Church</t>
  </si>
  <si>
    <t>Man Hkring Baptist Church</t>
  </si>
  <si>
    <t>Maw Hpawng Hka Nan Baptist Church</t>
  </si>
  <si>
    <t>Maw Hpawng Lhaovo Baptist Church</t>
  </si>
  <si>
    <t>Pa Dauk Myaing(Pa La Na)</t>
  </si>
  <si>
    <t>Shatapru Sut Ngai Tawng</t>
  </si>
  <si>
    <t>Shatapru Thida Aye Baptist Church</t>
  </si>
  <si>
    <t>Shwe Zet Baptist Church</t>
  </si>
  <si>
    <t>Tat Kone Baptist Church</t>
  </si>
  <si>
    <t>Tat Kone COC Baptist / Tat Kone Htoi San</t>
  </si>
  <si>
    <t>Tat Kone Emanuel Church</t>
  </si>
  <si>
    <t>Tat Kone Galile Baptist Church</t>
  </si>
  <si>
    <t>Tat Kone San Pya Baptist Church</t>
  </si>
  <si>
    <t>Wun Tho Buddhist Monastery</t>
  </si>
  <si>
    <t>Waingmaw</t>
  </si>
  <si>
    <t xml:space="preserve">Hkat Cho </t>
  </si>
  <si>
    <t>Hkau Shau (BP 12)</t>
  </si>
  <si>
    <t>Laiza Market 3 / Laiza Gat</t>
  </si>
  <si>
    <t>Mading Baptist Church</t>
  </si>
  <si>
    <t xml:space="preserve">Maga Yang </t>
  </si>
  <si>
    <t>Maina AG Church</t>
  </si>
  <si>
    <t>Maina Catholic Church (St. Joseph)</t>
  </si>
  <si>
    <t>Maina KBC (Bawng Ring)</t>
  </si>
  <si>
    <t>Maina Lawang Baptist Church</t>
  </si>
  <si>
    <t>Nawng Hee Village</t>
  </si>
  <si>
    <t>Post 6 Camp</t>
  </si>
  <si>
    <t>Qtr. 2 Lhaovo Baptist Church</t>
  </si>
  <si>
    <t>Qtr. 2 Myoma Baptist Church</t>
  </si>
  <si>
    <t>Qtr. 3 Mu-yin  Baptist Church</t>
  </si>
  <si>
    <t>Qtr. 4 Monestry (Thargaya Thayett Taw)</t>
  </si>
  <si>
    <t>Shing Jai</t>
  </si>
  <si>
    <t>Thargaya Lisu Baptist Church</t>
  </si>
  <si>
    <t>Waingmaw AG Church</t>
  </si>
  <si>
    <t>Waingmaw Baptist Zonal Office</t>
  </si>
  <si>
    <t xml:space="preserve">Woi Chyai </t>
  </si>
  <si>
    <t>Zai Awng / Mung Ga Zup</t>
  </si>
  <si>
    <t>Bhamo</t>
  </si>
  <si>
    <t>Aung Thar Church</t>
  </si>
  <si>
    <t>Lisu Boarding-House</t>
  </si>
  <si>
    <t>Nant Hlaing Church</t>
  </si>
  <si>
    <t>Ta Gun Taing Monastery (Shwe Kyi Na)</t>
  </si>
  <si>
    <t>Yoe Kyi Monastery</t>
  </si>
  <si>
    <t>Mansi</t>
  </si>
  <si>
    <t>Manton</t>
  </si>
  <si>
    <t>Momauk</t>
  </si>
  <si>
    <t xml:space="preserve">Dum Bung </t>
  </si>
  <si>
    <t xml:space="preserve">Hpun Lum Yang </t>
  </si>
  <si>
    <t xml:space="preserve">Nhkawng Pa </t>
  </si>
  <si>
    <t>Loi Je Baptist Church</t>
  </si>
  <si>
    <t>Loi Je Catholic Church</t>
  </si>
  <si>
    <t xml:space="preserve">Mai Khat </t>
  </si>
  <si>
    <t xml:space="preserve">Man Nawng </t>
  </si>
  <si>
    <t>Mandalay Monestry</t>
  </si>
  <si>
    <t>Momauk Baptist Church</t>
  </si>
  <si>
    <t xml:space="preserve">Myo Thit </t>
  </si>
  <si>
    <t>Ni Thaw Ka Monestry</t>
  </si>
  <si>
    <t>Lawk Awng Mare D. (Sinbo Area)</t>
  </si>
  <si>
    <t>Shwe Gu Baptist Church</t>
  </si>
  <si>
    <t>Shwe Gu Catholic Church</t>
  </si>
  <si>
    <t xml:space="preserve">Je Yang Hka </t>
  </si>
  <si>
    <t>Pajau / Jan Mai</t>
  </si>
  <si>
    <t>Kutkai</t>
  </si>
  <si>
    <t>Kone Khem Camp</t>
  </si>
  <si>
    <t>Kutkai downtown (KBC Church)</t>
  </si>
  <si>
    <t>Kutkai downtown (RC Church)</t>
  </si>
  <si>
    <t>Mine Yu Lay village</t>
  </si>
  <si>
    <t xml:space="preserve">Mungji Pa Dabang (Baptist Church)         </t>
  </si>
  <si>
    <t xml:space="preserve">Mungji Pa Dabang (RC Church)         </t>
  </si>
  <si>
    <t xml:space="preserve">Nam Hpak Ka Mare </t>
  </si>
  <si>
    <t>Zup Aung Camp</t>
  </si>
  <si>
    <t>Muse</t>
  </si>
  <si>
    <t>Nam Hkam - Nay Win Ni (Palawng)</t>
  </si>
  <si>
    <t>Nam Hkam (KBC Jaw Wang)</t>
  </si>
  <si>
    <t>Nam Hkam Catholic Church ( St. Thomas I)</t>
  </si>
  <si>
    <t>GCA</t>
  </si>
  <si>
    <t xml:space="preserve">Njang Dung Baptist Church </t>
  </si>
  <si>
    <t>Nan Kway St. John Catholic Church</t>
  </si>
  <si>
    <t>Hpare Hkyer - BP6</t>
  </si>
  <si>
    <t>Man Bung Catholic compound</t>
  </si>
  <si>
    <t>Shwegu</t>
  </si>
  <si>
    <t>Puta-O</t>
  </si>
  <si>
    <t>Mogaung</t>
  </si>
  <si>
    <t>NGCA</t>
  </si>
  <si>
    <t>Border Post 8</t>
  </si>
  <si>
    <t>Hlaing Naung Baptist</t>
  </si>
  <si>
    <t>Nam Ma Phyit, COC</t>
  </si>
  <si>
    <t>Khun Sint Village</t>
  </si>
  <si>
    <t>Narte</t>
  </si>
  <si>
    <t>Namtu</t>
  </si>
  <si>
    <r>
      <rPr>
        <b/>
        <sz val="10"/>
        <color indexed="10"/>
        <rFont val="Calibri"/>
        <family val="2"/>
      </rPr>
      <t xml:space="preserve">litres/day produce </t>
    </r>
    <r>
      <rPr>
        <b/>
        <sz val="10"/>
        <color indexed="8"/>
        <rFont val="Calibri"/>
        <family val="2"/>
      </rPr>
      <t xml:space="preserve"> 
Water treatment station </t>
    </r>
  </si>
  <si>
    <r>
      <rPr>
        <b/>
        <sz val="10"/>
        <color indexed="10"/>
        <rFont val="Calibri"/>
        <family val="2"/>
      </rPr>
      <t>litres deliver during the month</t>
    </r>
    <r>
      <rPr>
        <b/>
        <sz val="10"/>
        <color indexed="8"/>
        <rFont val="Calibri"/>
        <family val="2"/>
      </rPr>
      <t xml:space="preserve">
Water/Boat trucking </t>
    </r>
  </si>
  <si>
    <t>KMSS</t>
  </si>
  <si>
    <t>Active</t>
  </si>
  <si>
    <t>Metta</t>
  </si>
  <si>
    <t>SI</t>
  </si>
  <si>
    <t>KBC</t>
  </si>
  <si>
    <t>OXFAM</t>
  </si>
  <si>
    <t>Coverage Hygiene kits * Total PoP</t>
  </si>
  <si>
    <t>Row Labels</t>
  </si>
  <si>
    <t>Sum of Total PoP</t>
  </si>
  <si>
    <t>80-100%</t>
  </si>
  <si>
    <t>0-10%</t>
  </si>
  <si>
    <t>15-30%</t>
  </si>
  <si>
    <t>Household treatment</t>
  </si>
  <si>
    <t>Potential % of actual need coverage including houshold treatment solution</t>
  </si>
  <si>
    <r>
      <rPr>
        <b/>
        <sz val="14"/>
        <color indexed="10"/>
        <rFont val="Calibri"/>
        <family val="2"/>
      </rPr>
      <t>Safe</t>
    </r>
    <r>
      <rPr>
        <b/>
        <sz val="14"/>
        <color indexed="8"/>
        <rFont val="Calibri"/>
        <family val="2"/>
      </rPr>
      <t xml:space="preserve"> Water supply</t>
    </r>
  </si>
  <si>
    <r>
      <t xml:space="preserve">Ending </t>
    </r>
    <r>
      <rPr>
        <b/>
        <sz val="10"/>
        <color indexed="10"/>
        <rFont val="Calibri"/>
        <family val="2"/>
      </rPr>
      <t>date</t>
    </r>
    <r>
      <rPr>
        <b/>
        <sz val="10"/>
        <color indexed="8"/>
        <rFont val="Calibri"/>
        <family val="2"/>
      </rPr>
      <t xml:space="preserve"> funds/project coverage</t>
    </r>
  </si>
  <si>
    <r>
      <t xml:space="preserve">litres/Day </t>
    </r>
    <r>
      <rPr>
        <b/>
        <sz val="10"/>
        <rFont val="Calibri"/>
        <family val="2"/>
      </rPr>
      <t>provided with Overhead or storage tank with reticulation/ Water  gravity system           ( Yield x average running hours)</t>
    </r>
  </si>
  <si>
    <r>
      <rPr>
        <b/>
        <sz val="10"/>
        <color indexed="10"/>
        <rFont val="Calibri"/>
        <family val="2"/>
      </rPr>
      <t>%</t>
    </r>
    <r>
      <rPr>
        <b/>
        <sz val="10"/>
        <color indexed="8"/>
        <rFont val="Calibri"/>
        <family val="2"/>
      </rPr>
      <t xml:space="preserve"> Water harvesting system HH coverage</t>
    </r>
  </si>
  <si>
    <r>
      <rPr>
        <b/>
        <sz val="10"/>
        <color indexed="10"/>
        <rFont val="Calibri"/>
        <family val="2"/>
      </rPr>
      <t>#</t>
    </r>
    <r>
      <rPr>
        <b/>
        <sz val="10"/>
        <color indexed="8"/>
        <rFont val="Calibri"/>
        <family val="2"/>
      </rPr>
      <t xml:space="preserve"> Emergency latrines still </t>
    </r>
    <r>
      <rPr>
        <b/>
        <sz val="10"/>
        <color indexed="10"/>
        <rFont val="Calibri"/>
        <family val="2"/>
      </rPr>
      <t>functional</t>
    </r>
  </si>
  <si>
    <r>
      <rPr>
        <b/>
        <sz val="10"/>
        <color indexed="10"/>
        <rFont val="Calibri"/>
        <family val="2"/>
      </rPr>
      <t>#</t>
    </r>
    <r>
      <rPr>
        <b/>
        <sz val="10"/>
        <color indexed="8"/>
        <rFont val="Calibri"/>
        <family val="2"/>
      </rPr>
      <t xml:space="preserve"> Semi permanent latrine </t>
    </r>
    <r>
      <rPr>
        <b/>
        <sz val="10"/>
        <color indexed="10"/>
        <rFont val="Calibri"/>
        <family val="2"/>
      </rPr>
      <t>functional</t>
    </r>
  </si>
  <si>
    <r>
      <rPr>
        <b/>
        <sz val="10"/>
        <color indexed="10"/>
        <rFont val="Calibri"/>
        <family val="2"/>
      </rPr>
      <t>#</t>
    </r>
    <r>
      <rPr>
        <b/>
        <sz val="10"/>
        <color indexed="8"/>
        <rFont val="Calibri"/>
        <family val="2"/>
      </rPr>
      <t xml:space="preserve"> Hand washing station </t>
    </r>
    <r>
      <rPr>
        <b/>
        <sz val="10"/>
        <color indexed="10"/>
        <rFont val="Calibri"/>
        <family val="2"/>
      </rPr>
      <t>funtional</t>
    </r>
  </si>
  <si>
    <t>Column Labels</t>
  </si>
  <si>
    <t>Hpakant Baptist Church, Nam Ma Hpit</t>
  </si>
  <si>
    <t>Merlin</t>
  </si>
  <si>
    <t>Source of Data</t>
  </si>
  <si>
    <t>Focal NGO</t>
  </si>
  <si>
    <t>UNICEF</t>
  </si>
  <si>
    <t>Not documented</t>
  </si>
  <si>
    <t>Zoning cluster location</t>
  </si>
  <si>
    <t>Cluster 1</t>
  </si>
  <si>
    <t>Cluster 2</t>
  </si>
  <si>
    <t>Cluster 3</t>
  </si>
  <si>
    <t>Cluster 4</t>
  </si>
  <si>
    <t>Cluster 5</t>
  </si>
  <si>
    <t>(Multiple Items)</t>
  </si>
  <si>
    <t>Ratio between population and nb of community HP</t>
  </si>
  <si>
    <t>% Semi permanent latrine</t>
  </si>
  <si>
    <t>Access of safe water drinking permanent water point</t>
  </si>
  <si>
    <t>Cluster 6</t>
  </si>
  <si>
    <t>Cluster 7</t>
  </si>
  <si>
    <t>Cluster 8</t>
  </si>
  <si>
    <t>Cluster 9</t>
  </si>
  <si>
    <t>Estimated coverage of bathroom at the end of project with gender speration</t>
  </si>
  <si>
    <r>
      <rPr>
        <b/>
        <sz val="10"/>
        <color indexed="10"/>
        <rFont val="Calibri"/>
        <family val="2"/>
      </rPr>
      <t>% Estimated</t>
    </r>
    <r>
      <rPr>
        <b/>
        <sz val="10"/>
        <color indexed="8"/>
        <rFont val="Calibri"/>
        <family val="2"/>
      </rPr>
      <t xml:space="preserve"> coverage of latrine need at the end of project</t>
    </r>
  </si>
  <si>
    <t>Estimated coverage need of hand washing station at the end of project</t>
  </si>
  <si>
    <r>
      <rPr>
        <b/>
        <sz val="10"/>
        <color indexed="10"/>
        <rFont val="Calibri"/>
        <family val="2"/>
      </rPr>
      <t>%</t>
    </r>
    <r>
      <rPr>
        <b/>
        <sz val="10"/>
        <color indexed="8"/>
        <rFont val="Calibri"/>
        <family val="2"/>
      </rPr>
      <t xml:space="preserve"> Estimated need coverage at the end of project</t>
    </r>
  </si>
  <si>
    <t>AD-2000 Tharthana Compound*</t>
  </si>
  <si>
    <t>Htoi San Church*</t>
  </si>
  <si>
    <t>Robert Church*</t>
  </si>
  <si>
    <t>Shalom</t>
  </si>
  <si>
    <t>IRRC</t>
  </si>
  <si>
    <t>KMSS- Lashio</t>
  </si>
  <si>
    <t>Man Wing Baptist Church*</t>
  </si>
  <si>
    <t>Man Wing Catholic Church*</t>
  </si>
  <si>
    <t>Mansi Baptist Church*</t>
  </si>
  <si>
    <t>Church</t>
  </si>
  <si>
    <t>Pan Wa</t>
  </si>
  <si>
    <t>CESVI</t>
  </si>
  <si>
    <t>WPN</t>
  </si>
  <si>
    <t>Documented</t>
  </si>
  <si>
    <t>Community management organise and efficient in camps</t>
  </si>
  <si>
    <t>Count of Community management organise and efficient in camps</t>
  </si>
  <si>
    <t>UNHCR</t>
  </si>
  <si>
    <t>Latrine shared by families , not separated</t>
  </si>
  <si>
    <t>Separate, clearly perceived</t>
  </si>
  <si>
    <t>Separate, but not clearly perceived</t>
  </si>
  <si>
    <t xml:space="preserve">Set up but low results </t>
  </si>
  <si>
    <t>Not yet planned</t>
  </si>
  <si>
    <r>
      <rPr>
        <b/>
        <sz val="10"/>
        <color indexed="10"/>
        <rFont val="Calibri"/>
        <family val="2"/>
      </rPr>
      <t>#</t>
    </r>
    <r>
      <rPr>
        <b/>
        <sz val="10"/>
        <color indexed="8"/>
        <rFont val="Calibri"/>
        <family val="2"/>
      </rPr>
      <t xml:space="preserve"> Open hand Dug wells (without hand pump)</t>
    </r>
  </si>
  <si>
    <r>
      <rPr>
        <b/>
        <sz val="10"/>
        <color rgb="FFFF0000"/>
        <rFont val="Calibri"/>
        <family val="2"/>
      </rPr>
      <t xml:space="preserve">Date </t>
    </r>
    <r>
      <rPr>
        <b/>
        <sz val="10"/>
        <color theme="1"/>
        <rFont val="Calibri"/>
        <family val="2"/>
      </rPr>
      <t>Last Full Hygiene Kit distribution</t>
    </r>
  </si>
  <si>
    <r>
      <rPr>
        <b/>
        <sz val="10"/>
        <color indexed="10"/>
        <rFont val="Calibri"/>
        <family val="2"/>
      </rPr>
      <t>Total #</t>
    </r>
    <r>
      <rPr>
        <b/>
        <sz val="10"/>
        <color indexed="8"/>
        <rFont val="Calibri"/>
        <family val="2"/>
      </rPr>
      <t xml:space="preserve"> of Full Hygiene kit distributed during last distribution</t>
    </r>
  </si>
  <si>
    <r>
      <rPr>
        <b/>
        <sz val="10"/>
        <color indexed="10"/>
        <rFont val="Calibri"/>
        <family val="2"/>
      </rPr>
      <t>#</t>
    </r>
    <r>
      <rPr>
        <b/>
        <sz val="10"/>
        <color indexed="8"/>
        <rFont val="Calibri"/>
        <family val="2"/>
      </rPr>
      <t xml:space="preserve"> of month distributed for Refilling Kits since last full kit distribution</t>
    </r>
  </si>
  <si>
    <t>Next distribution to be done</t>
  </si>
  <si>
    <t>None</t>
  </si>
  <si>
    <t>Population for Actual water needs coverage</t>
  </si>
  <si>
    <t>Population for Estimated need coverage in 2 months</t>
  </si>
  <si>
    <t>Population for of actual need covered by emergency facilities</t>
  </si>
  <si>
    <t>Population for Potential % of actual need coverage including houshold treatment solution</t>
  </si>
  <si>
    <t>Population for access of safe water drinking permanent water point</t>
  </si>
  <si>
    <t>Population for % Emergency latrines</t>
  </si>
  <si>
    <t>Population for % Latrine needs coverage</t>
  </si>
  <si>
    <t>Population for % Semi permanent latrine</t>
  </si>
  <si>
    <t>Population for % Estimated coverage of latrine need at the end of project</t>
  </si>
  <si>
    <t>Population Coverage Bathing %</t>
  </si>
  <si>
    <t>Population for  Estimated coverage of bathroom need at the end of projects  % with gender speration</t>
  </si>
  <si>
    <t>Maing Khaung Baptist Church</t>
  </si>
  <si>
    <t>Maing Khaung Catholic Church</t>
  </si>
  <si>
    <t>Cluster 10</t>
  </si>
  <si>
    <t xml:space="preserve">Nawng Ing (Indawgyi) Baptist Church  </t>
  </si>
  <si>
    <t>Naung Khaing</t>
  </si>
  <si>
    <t>Machanbaw</t>
  </si>
  <si>
    <t>Machanbaw-KBC</t>
  </si>
  <si>
    <t xml:space="preserve">Loi Je Nyaung Na Pin </t>
  </si>
  <si>
    <t xml:space="preserve">Loi Je Seng Ja </t>
  </si>
  <si>
    <t>KACHIN EMERGENCY FUNDS ANALYSIS</t>
  </si>
  <si>
    <t>DONORS FUND PARTICIPATION *</t>
  </si>
  <si>
    <t>Year fund received</t>
  </si>
  <si>
    <t>Sum of Total budget of the project US$. For only WASH related cost (including related support costs)</t>
  </si>
  <si>
    <t>Donor</t>
  </si>
  <si>
    <t>ECHO</t>
  </si>
  <si>
    <t>Germany</t>
  </si>
  <si>
    <t>OFDA</t>
  </si>
  <si>
    <t>CERF</t>
  </si>
  <si>
    <t>Canada</t>
  </si>
  <si>
    <t>Australian</t>
  </si>
  <si>
    <t>France</t>
  </si>
  <si>
    <t>Sweden</t>
  </si>
  <si>
    <t>CIDA</t>
  </si>
  <si>
    <t>*Unicef should be retriewed in the filter to avoid double counting of UNICEF funds received and PCA with NGO</t>
  </si>
  <si>
    <t>FUND RECEIVED PER YEAR</t>
  </si>
  <si>
    <t>APPROXIMATE FUND USE/ENGAGED PER YEAR*</t>
  </si>
  <si>
    <t>GEOGRAPHIC FUND REPARTITION</t>
  </si>
  <si>
    <t>% fund attributed for Northern Shan</t>
  </si>
  <si>
    <t xml:space="preserve"> % fund attributed for South Kachin</t>
  </si>
  <si>
    <t xml:space="preserve"> % funds attributed for North kachin</t>
  </si>
  <si>
    <t>Average of Approximative % of NGCA beneficiaries</t>
  </si>
  <si>
    <t>Average of Approximative % of GCA beneficiaries</t>
  </si>
  <si>
    <t>BENEFICIARIES REPARTITION</t>
  </si>
  <si>
    <t>Average of Approximate % of beneficiaries in host community</t>
  </si>
  <si>
    <t>Average of Approximate % of beneficiaries in camps</t>
  </si>
  <si>
    <t>FUNDS REPARTITION BY SUB-SECTOR</t>
  </si>
  <si>
    <t>Average of Approximate % of fund dedicated to sanitation</t>
  </si>
  <si>
    <t>Average of Approximate % fund dedicated to Water access</t>
  </si>
  <si>
    <t>Average of Approximate % of fund dedicated to HP</t>
  </si>
  <si>
    <t>NB OF BENEFICIARIES PER SUB-SECTOR IN CAMPS</t>
  </si>
  <si>
    <t>Number of sanitation beneficiaries</t>
  </si>
  <si>
    <t>Number of water access beneficiaries</t>
  </si>
  <si>
    <t xml:space="preserve"> Number of beneficiairies for HE</t>
  </si>
  <si>
    <t>NB OF BENEFICIARIES IN HOST COMMUNITIES</t>
  </si>
  <si>
    <t>Agency leading the project</t>
  </si>
  <si>
    <t xml:space="preserve"> Nb of sanitation beneficiaries</t>
  </si>
  <si>
    <t>Nb of water access beneficiaries</t>
  </si>
  <si>
    <t>Nb of beneficiairies for HE in host</t>
  </si>
  <si>
    <t>Last update:</t>
  </si>
  <si>
    <t>KACHIN EMMERGENCY FUNDING MATRIX</t>
  </si>
  <si>
    <t>Beneficiaries target  detail by type and sub-sector</t>
  </si>
  <si>
    <t>General</t>
  </si>
  <si>
    <t>Details</t>
  </si>
  <si>
    <t>Beneficiaries</t>
  </si>
  <si>
    <t>Camps</t>
  </si>
  <si>
    <t>Other than camp 
(Host communities, villages...)</t>
  </si>
  <si>
    <t>Budget details</t>
  </si>
  <si>
    <t xml:space="preserve">Implementing or consortium partner  </t>
  </si>
  <si>
    <t>cofunding donors</t>
  </si>
  <si>
    <t>Name of the project</t>
  </si>
  <si>
    <t>Project start date 
 dd/mm/yy</t>
  </si>
  <si>
    <t>Project end date  dd/mm/yy</t>
  </si>
  <si>
    <t>Status of the project</t>
  </si>
  <si>
    <t>Total Nb of wash beneficiaries</t>
  </si>
  <si>
    <t>Approximative % of NGCA beneficiaries</t>
  </si>
  <si>
    <t>Approximative % of GCA beneficiaries</t>
  </si>
  <si>
    <t>% Northern Shan</t>
  </si>
  <si>
    <t>%South Kachin</t>
  </si>
  <si>
    <t>%North kachin</t>
  </si>
  <si>
    <t>Approximate % of beneficiaries in camps</t>
  </si>
  <si>
    <t>Approximate % of beneficiaries in host community</t>
  </si>
  <si>
    <t>Nb of sanitation beneficiaries plan</t>
  </si>
  <si>
    <t>Nb of water access beneficiaries plan</t>
  </si>
  <si>
    <t>Nb of beneficiairies for HE</t>
  </si>
  <si>
    <t>Total budget of the project US$. For only WASH related cost (including related support costs)</t>
  </si>
  <si>
    <t>Approximate fund before 2014 regarding project date implementation</t>
  </si>
  <si>
    <t>Approximate fund 2014 regarding project date implementation</t>
  </si>
  <si>
    <t>Approximate fund % dedicated to camps population only</t>
  </si>
  <si>
    <t>Approximate % of fund dedicated to sanitation</t>
  </si>
  <si>
    <t>Approximate % fund dedicated to Water access</t>
  </si>
  <si>
    <t>Approximate % of fund dedicated to HP</t>
  </si>
  <si>
    <t>Miscellaneous Comments on project</t>
  </si>
  <si>
    <t>Provision of Hygiene and Sanitation facilities for IDPs at Khaung Doke Khar, Say Tha Mar Gyi and Ohn Taw Gyi 2 camps at Sittwe Township in Rakhine State</t>
  </si>
  <si>
    <t>Emergency support for people displaced by the conflict in Kachin State, Myanmar</t>
  </si>
  <si>
    <t>DWHH</t>
  </si>
  <si>
    <t xml:space="preserve"> Improvement of Community Drinking Water Supply and Strengthening of Communal Structures of Marginalised Population in Northern Shan State as well as Humanitarian Assistance to IDP due to the armed conflict in Kachin State (PN: 20121882.5)</t>
  </si>
  <si>
    <t>HIDA</t>
  </si>
  <si>
    <t>Provision of water and sanitation facilities, and non-food relief items - IDPs in Kachin State (M013859)</t>
  </si>
  <si>
    <t>Humanitarian Assistance to Internally Dispalced Persons in Kachin
Addendum</t>
  </si>
  <si>
    <t xml:space="preserve">Humanitarian Assistance to Internally Dispalced Persons in Kachin
</t>
  </si>
  <si>
    <t>Humanitarian Assistance to Internally Dispalced Persons in Kachin</t>
  </si>
  <si>
    <t>OCHA</t>
  </si>
  <si>
    <t>ERF</t>
  </si>
  <si>
    <t>Humanitarian assitance to internally displaced persons in Kachin State</t>
  </si>
  <si>
    <t>Supporting life saving health interventions in conflict affected populations in Northern Shan State, Myanmar</t>
  </si>
  <si>
    <t>Oxfam GB</t>
  </si>
  <si>
    <t>KBC/Shalom</t>
  </si>
  <si>
    <t>Australian
CIDA</t>
  </si>
  <si>
    <t>Emergency Response for Conflict-Affected Population in Kachin and Northern Shan</t>
  </si>
  <si>
    <t>Data input on 17/10/2013</t>
  </si>
  <si>
    <t>ECHO/CIDA</t>
  </si>
  <si>
    <t>Same project than previous one, co-financing</t>
  </si>
  <si>
    <t>ECHO/Australian</t>
  </si>
  <si>
    <t>Plan</t>
  </si>
  <si>
    <t>SCI</t>
  </si>
  <si>
    <t>Emergency Assistance to Conflict Affected Populations in Myanmar</t>
  </si>
  <si>
    <t>active</t>
  </si>
  <si>
    <t>Emergency WASH support for the affected population in Southern Kachin State</t>
  </si>
  <si>
    <t>Water, Sanitation and Hygiene assistance for IDPs affected by the conflict in Southern Kachin State (ECHO/-XA/BUD/2012/91023)</t>
  </si>
  <si>
    <t>Part of global project including Rakhines. For activities the 58% remaining are for Winter kits and assesment of new sites.</t>
  </si>
  <si>
    <t xml:space="preserve"> WASH activities and distribution of non-food items in the Bhamo camps</t>
  </si>
  <si>
    <t>Completed</t>
  </si>
  <si>
    <t>UNICEF/OFDA</t>
  </si>
  <si>
    <t>Cofi-UNICEF-CERF//ECHO The reported beneficiaries are under the ECHO Project for both of those project // ----------------------------------------------------------------the remaining 35% for the distribution of Winter Kits</t>
  </si>
  <si>
    <t>Water, Sanitation and Hygiene rapid response to internal displacements in Kachin and Northern Shan States</t>
  </si>
  <si>
    <t>Integrated WaSH assistance to IDPs affected by conflict
 in Kachin State</t>
  </si>
  <si>
    <t>Trocaire</t>
  </si>
  <si>
    <t>Irland</t>
  </si>
  <si>
    <t>DIFID</t>
  </si>
  <si>
    <t>WASH activity and distribution of Hygiene Kits in Myitkyina and Lashio</t>
  </si>
  <si>
    <t>Secondment of a WASH emergency officer to UNICEF for work in Kachin</t>
  </si>
  <si>
    <t>Secondment of a WASH emergency Capacity building to UNICEF for work in Kachin</t>
  </si>
  <si>
    <t>List status</t>
  </si>
  <si>
    <t>In soumission</t>
  </si>
  <si>
    <t>Rajouter CERF recu et difference commited</t>
  </si>
  <si>
    <t>WASH CLUSTER STRATEGY QUANTITATIVE OBJECTIVE FOLLOW UP</t>
  </si>
  <si>
    <t>Target population</t>
  </si>
  <si>
    <t>Strategy target:</t>
  </si>
  <si>
    <t>Presently targetted</t>
  </si>
  <si>
    <t>% Targetted</t>
  </si>
  <si>
    <t>Remarks</t>
  </si>
  <si>
    <t>Target review in consideration of population update in 4W</t>
  </si>
  <si>
    <r>
      <t xml:space="preserve">Indicators Follow up </t>
    </r>
    <r>
      <rPr>
        <b/>
        <i/>
        <sz val="11"/>
        <color theme="0"/>
        <rFont val="Calibri"/>
        <family val="2"/>
        <scheme val="minor"/>
      </rPr>
      <t>(only quantativally measurable, taken form cluster strategy)</t>
    </r>
  </si>
  <si>
    <t>Objective 1, indicators:</t>
  </si>
  <si>
    <t>Target</t>
  </si>
  <si>
    <t>Achieved</t>
  </si>
  <si>
    <t>Achieved with durable solution (excluding household treatment and emergency facilities)</t>
  </si>
  <si>
    <t>Verification sources</t>
  </si>
  <si>
    <t>4W</t>
  </si>
  <si>
    <t>Objective 2, indicators:</t>
  </si>
  <si>
    <t>Achieved with Sustanaible solution</t>
  </si>
  <si>
    <t>Objective 3, indicators:</t>
  </si>
  <si>
    <t>N/A</t>
  </si>
  <si>
    <t xml:space="preserve">IDP in GCA camps </t>
  </si>
  <si>
    <t>IDP in NGCA camps</t>
  </si>
  <si>
    <t>Student</t>
  </si>
  <si>
    <t>Small Scale emergency</t>
  </si>
  <si>
    <t>Camp</t>
  </si>
  <si>
    <t>School</t>
  </si>
  <si>
    <t>Potential Number permanent water point missing</t>
  </si>
  <si>
    <t>Number family having ceramic filter</t>
  </si>
  <si>
    <t>nb of persons having rain harvest acess</t>
  </si>
  <si>
    <t>Nb of missing bathing space</t>
  </si>
  <si>
    <t>Nb of missing hand washing station</t>
  </si>
  <si>
    <t>Master 4W WASH  ANALYSIS</t>
  </si>
  <si>
    <t>Master 4W WASH KACHIN</t>
  </si>
  <si>
    <t>Namtu Baptist</t>
  </si>
  <si>
    <t>Doke Htan Ward</t>
  </si>
  <si>
    <t>Village</t>
  </si>
  <si>
    <t>Mu-yin Baptist Church</t>
  </si>
  <si>
    <t>Agritural Compound (KBC)</t>
  </si>
  <si>
    <t>Kachin Su Baptist Church (ECCD)</t>
  </si>
  <si>
    <t>Khar Nan (1) Baptist Church</t>
  </si>
  <si>
    <t>Man Bung Edin Baptist Church</t>
  </si>
  <si>
    <t xml:space="preserve">Tarli </t>
  </si>
  <si>
    <t>SC and Metta will organize for WASH committee forming</t>
  </si>
  <si>
    <t>Namkham</t>
  </si>
  <si>
    <t>Bang Lung</t>
  </si>
  <si>
    <t>Jaw 2</t>
  </si>
  <si>
    <t xml:space="preserve">these IDPs are using nearest water sources </t>
  </si>
  <si>
    <t>Chipwi (School coumpound)</t>
  </si>
  <si>
    <t>NA</t>
  </si>
  <si>
    <t>Japan</t>
  </si>
  <si>
    <t>Emergency WASH assistance and Food Security and Livelihood support to vulnerable populations affected by conflicts in Rakhine and Kachin States</t>
  </si>
  <si>
    <t>SC seed funding</t>
  </si>
  <si>
    <t>MMR Kachin  Humanitarian Response</t>
  </si>
  <si>
    <t>Humanitarian assistance to populations affected by vioence in Rakhine &amp; Kachin States</t>
  </si>
  <si>
    <t>SIDA</t>
  </si>
  <si>
    <t>MMR Emergency assistance to populations affected by displacement and violence in Kachin State</t>
  </si>
  <si>
    <t>Muse KBC Church</t>
  </si>
  <si>
    <t>Muse RC Church</t>
  </si>
  <si>
    <t>Loi Je RC Boarding School</t>
  </si>
  <si>
    <t>Camp_P_Code</t>
  </si>
  <si>
    <t>MMR001CMP001</t>
  </si>
  <si>
    <t>MMR001CMP002</t>
  </si>
  <si>
    <t>MMR001CMP003</t>
  </si>
  <si>
    <t>MMR001CMP004</t>
  </si>
  <si>
    <t>MMR001CMP005</t>
  </si>
  <si>
    <t>MMR001CMP006</t>
  </si>
  <si>
    <t>MMR001CMP007</t>
  </si>
  <si>
    <t>MMR001CMP009</t>
  </si>
  <si>
    <t>MMR001CMP008</t>
  </si>
  <si>
    <t>MMR001CMP010</t>
  </si>
  <si>
    <t>MMR001CMP011</t>
  </si>
  <si>
    <t>MMR001CMP012</t>
  </si>
  <si>
    <t>MMR001CMP013</t>
  </si>
  <si>
    <t>MMR001CMP014</t>
  </si>
  <si>
    <t>MMR001CMP015</t>
  </si>
  <si>
    <t>MMR001CMP016</t>
  </si>
  <si>
    <t>MMR001CMP018</t>
  </si>
  <si>
    <t>MMR001CMP019</t>
  </si>
  <si>
    <t>MMR001CMP020</t>
  </si>
  <si>
    <t>MMR001CMP021</t>
  </si>
  <si>
    <t>MMR001CMP022</t>
  </si>
  <si>
    <t>MMR001CMP023</t>
  </si>
  <si>
    <t>MMR001CMP024</t>
  </si>
  <si>
    <t>MMR001CMP162</t>
  </si>
  <si>
    <t>MMR001CMP050</t>
  </si>
  <si>
    <t>MMR001CMP194</t>
  </si>
  <si>
    <t>MMR001CMP052</t>
  </si>
  <si>
    <t>MMR001CMP049</t>
  </si>
  <si>
    <t>MMR001CMP051</t>
  </si>
  <si>
    <t>MMR001CMP054</t>
  </si>
  <si>
    <t>MMR001CMP193</t>
  </si>
  <si>
    <t>MMR001CMP047</t>
  </si>
  <si>
    <t>MMR001CMP055</t>
  </si>
  <si>
    <t>MMR001CMP053</t>
  </si>
  <si>
    <t>MMR001CMP042</t>
  </si>
  <si>
    <t>MMR001CMP043</t>
  </si>
  <si>
    <t>MMR001CMP195</t>
  </si>
  <si>
    <t>MMR001CMP210</t>
  </si>
  <si>
    <t>MMR001CMP179</t>
  </si>
  <si>
    <t>MMR001CMP168</t>
  </si>
  <si>
    <t>MMR001CMP176</t>
  </si>
  <si>
    <t>MMR001CMP190</t>
  </si>
  <si>
    <t>MMR001CMP169</t>
  </si>
  <si>
    <t>MMR001CMP188</t>
  </si>
  <si>
    <t>MMR001CMP109</t>
  </si>
  <si>
    <t>MMR001CMP174</t>
  </si>
  <si>
    <t>MMR001CMP148</t>
  </si>
  <si>
    <t>MMR001CMP191</t>
  </si>
  <si>
    <t>MMR001CMP181</t>
  </si>
  <si>
    <t>MMR001CMP167</t>
  </si>
  <si>
    <t>MMR001CMP091</t>
  </si>
  <si>
    <t>MMR001CMP192</t>
  </si>
  <si>
    <t>MMR001CMP103</t>
  </si>
  <si>
    <t>MMR001CMP182</t>
  </si>
  <si>
    <t>MMR001CMP183</t>
  </si>
  <si>
    <t>MMR001CMP184</t>
  </si>
  <si>
    <t>MMR001CMP105</t>
  </si>
  <si>
    <t>MMR001CMP074</t>
  </si>
  <si>
    <t>MMR015CMP015</t>
  </si>
  <si>
    <t>MMR015CMP016</t>
  </si>
  <si>
    <t>MMR015CMP017</t>
  </si>
  <si>
    <t>MMR015CMP018</t>
  </si>
  <si>
    <t>MMR015CMP006</t>
  </si>
  <si>
    <t>MMR015CMP019</t>
  </si>
  <si>
    <t>MMR015CMP007</t>
  </si>
  <si>
    <t>MMR015CMP020</t>
  </si>
  <si>
    <t>MMR001CMP221</t>
  </si>
  <si>
    <t>MMR001CMP129</t>
  </si>
  <si>
    <t>MMR001CMP202</t>
  </si>
  <si>
    <t>MMR001CMP128</t>
  </si>
  <si>
    <t>MMR001CMP212</t>
  </si>
  <si>
    <t>MMR001CMP213</t>
  </si>
  <si>
    <t>MMR001CMP133</t>
  </si>
  <si>
    <t>MMR001CMP132</t>
  </si>
  <si>
    <t>MMR001CMP066</t>
  </si>
  <si>
    <t>MMR001CMP077</t>
  </si>
  <si>
    <t>MMR001CMP079</t>
  </si>
  <si>
    <t>MMR001CMP078</t>
  </si>
  <si>
    <t>MMR001CMP080</t>
  </si>
  <si>
    <t>MMR001CMP152</t>
  </si>
  <si>
    <t>MMR001CMP123</t>
  </si>
  <si>
    <t>MMR001CMP197</t>
  </si>
  <si>
    <t>MMR001CMP122</t>
  </si>
  <si>
    <t>MMR001CMP121</t>
  </si>
  <si>
    <t>MMR001CMP200</t>
  </si>
  <si>
    <t>MMR001CMP071</t>
  </si>
  <si>
    <t>MMR001CMP069</t>
  </si>
  <si>
    <t>MMR001CMP070</t>
  </si>
  <si>
    <t>MMR001CMP064</t>
  </si>
  <si>
    <t>MMR001CMP062</t>
  </si>
  <si>
    <t>MMR001CMP063</t>
  </si>
  <si>
    <t>MMR001CMP058</t>
  </si>
  <si>
    <t>MMR001CMP056</t>
  </si>
  <si>
    <t>MMR001CMP061</t>
  </si>
  <si>
    <t>MMR001CMP059</t>
  </si>
  <si>
    <t>MMR001CMP060</t>
  </si>
  <si>
    <t>MMR015CMP004</t>
  </si>
  <si>
    <t>MMR015CMP001</t>
  </si>
  <si>
    <t>MMR015CMP003</t>
  </si>
  <si>
    <t>MMR001CMP075</t>
  </si>
  <si>
    <t>MMR001CMP220</t>
  </si>
  <si>
    <t>MMR001CMP067</t>
  </si>
  <si>
    <t>MMR001CMP068</t>
  </si>
  <si>
    <t>MMR001CMP199</t>
  </si>
  <si>
    <t>MMR001CMP113</t>
  </si>
  <si>
    <t>MMR001CMP028</t>
  </si>
  <si>
    <t>MMR001CMP115</t>
  </si>
  <si>
    <t>MMR001CMP208</t>
  </si>
  <si>
    <t>MMR001CMP117</t>
  </si>
  <si>
    <t>MMR001CMP027</t>
  </si>
  <si>
    <t>MMR001CMP119</t>
  </si>
  <si>
    <t>MMR001CMP031</t>
  </si>
  <si>
    <t>MMR001CMP029</t>
  </si>
  <si>
    <t>MMR001CMP040</t>
  </si>
  <si>
    <t>MMR001CMP039</t>
  </si>
  <si>
    <t>MMR001CMP033</t>
  </si>
  <si>
    <t>MMR001CMP120</t>
  </si>
  <si>
    <t>MMR001CMP160</t>
  </si>
  <si>
    <t>MMR001CMP032</t>
  </si>
  <si>
    <t>MMR001CMP025</t>
  </si>
  <si>
    <t>MMR001CMP030</t>
  </si>
  <si>
    <t>MMR001CMP026</t>
  </si>
  <si>
    <t>MMR001CMP041</t>
  </si>
  <si>
    <t>MMR001CMP037</t>
  </si>
  <si>
    <t>MMR001CMP038</t>
  </si>
  <si>
    <t>MMR001CMP036</t>
  </si>
  <si>
    <t>MMR001CMP116</t>
  </si>
  <si>
    <t>MMR001CMP111</t>
  </si>
  <si>
    <t>MMR015CMP014</t>
  </si>
  <si>
    <t>MMR015CMP207</t>
  </si>
  <si>
    <t>Start fund</t>
  </si>
  <si>
    <t>Oxfam</t>
  </si>
  <si>
    <t>DFAT (AusAID)</t>
  </si>
  <si>
    <t>Emergency Response for Conflict-Affected Population in Kachin and Northern Shan 14/15</t>
  </si>
  <si>
    <t xml:space="preserve">Data input on 09/06/2014. Note this funding does not enable full coverage with hygiene kits in GCA camps. Oxfam will submit to UNICEF a proposal to cover the gap, but targeting will also be established this year due to increasing livlihoods and decreasing donor funds. </t>
  </si>
  <si>
    <t>Population</t>
  </si>
  <si>
    <r>
      <rPr>
        <b/>
        <sz val="12"/>
        <color theme="1"/>
        <rFont val="Cambria"/>
        <family val="1"/>
        <scheme val="major"/>
      </rPr>
      <t xml:space="preserve">UNICEF break down funds received </t>
    </r>
    <r>
      <rPr>
        <sz val="10"/>
        <color theme="1"/>
        <rFont val="Cambria"/>
        <family val="1"/>
        <scheme val="major"/>
      </rPr>
      <t>(Should not be double counted with UNICEF commited funds with PCA)</t>
    </r>
  </si>
  <si>
    <t>Tat Kone (Ra Da Kawng)</t>
  </si>
  <si>
    <t>Girl Boarding house, A Len Bum</t>
  </si>
  <si>
    <t>Boys Boarding house, A Len Bum</t>
  </si>
  <si>
    <t>Bum Tsit Pa * (1)</t>
  </si>
  <si>
    <t>Bum Tsit Pa * (2)</t>
  </si>
  <si>
    <t xml:space="preserve">Pa Kahtawng Boarding Middle School </t>
  </si>
  <si>
    <t xml:space="preserve">Pa Kahtawng Boarding High School </t>
  </si>
  <si>
    <t>Pa Kahtawng 2</t>
  </si>
  <si>
    <t>Pa Kahtawng 1B</t>
  </si>
  <si>
    <t>Pa Kahtawng 1 A</t>
  </si>
  <si>
    <t>Pa Kahtawng Host Families</t>
  </si>
  <si>
    <t>MWG -RC2</t>
  </si>
  <si>
    <t>Nam Hkawng/Manaung kaung</t>
  </si>
  <si>
    <t>Mandung - Jinghpaw</t>
  </si>
  <si>
    <t>Mandung - RC</t>
  </si>
  <si>
    <t>(Nam Hoi) Host families</t>
  </si>
  <si>
    <t>Gap</t>
  </si>
  <si>
    <t>Cesvi</t>
  </si>
  <si>
    <t>Desagregated GCA</t>
  </si>
  <si>
    <t>Desagregated NGCA</t>
  </si>
  <si>
    <r>
      <rPr>
        <b/>
        <sz val="10"/>
        <color rgb="FFFF0000"/>
        <rFont val="Calibri"/>
        <family val="2"/>
        <scheme val="minor"/>
      </rPr>
      <t>%</t>
    </r>
    <r>
      <rPr>
        <b/>
        <sz val="10"/>
        <color theme="1"/>
        <rFont val="Calibri"/>
        <family val="2"/>
        <scheme val="minor"/>
      </rPr>
      <t xml:space="preserve"> Household covered with Household filtration </t>
    </r>
  </si>
  <si>
    <t>Incinerator operational</t>
  </si>
  <si>
    <t xml:space="preserve">Development of Lifesaving WASH Facilities in tandem with New Shelter Construction for IDPs
</t>
  </si>
  <si>
    <t>DONORS FUNDS PARTICIPATION</t>
  </si>
  <si>
    <t>Sum of Approximate fund 2014 regarding project date implementation</t>
  </si>
  <si>
    <t>AD-2000 Extension camp</t>
  </si>
  <si>
    <t>Loi Je Lisu  (1) Camp</t>
  </si>
  <si>
    <t>Loi Je Lisu  (2) Camp</t>
  </si>
  <si>
    <t>Loi Je Lisu  (3) Camp</t>
  </si>
  <si>
    <t>MMR015CMP009</t>
  </si>
  <si>
    <t>HWS is not functioning, 1 SP was closed becoz of demage concrect ring</t>
  </si>
  <si>
    <t>have limited spaces to construct more latrines</t>
  </si>
  <si>
    <t>now all of HWS don't use , they wash their hands only in the Bathing Spaces</t>
  </si>
  <si>
    <t>MDCG supported WASH-Shelter as HH level (no need to construct semi-parmanent)</t>
  </si>
  <si>
    <t>MDCG + Metta supported WASH-Shelter as HH level (no need to construct semi-parmanent)</t>
  </si>
  <si>
    <t xml:space="preserve">community have practice as wash their hand at bathing space near the latrines </t>
  </si>
  <si>
    <t>MDCG supported WASH-Shelter as HH level (no need to construct semi-parmanent)/ bathing space was ongoing activities by Metta</t>
  </si>
  <si>
    <t>SCI will deal with NSS partners for basic HK distribution to cover the whole area</t>
  </si>
  <si>
    <t>Sum of # Semi permanent latrines missing</t>
  </si>
  <si>
    <t>Sum of Coverage Full HK %</t>
  </si>
  <si>
    <t>Population receiving HP at HH level</t>
  </si>
  <si>
    <t>(blank)</t>
  </si>
  <si>
    <t>Count of Latrines gender sperated</t>
  </si>
  <si>
    <t>Targetted</t>
  </si>
  <si>
    <t>Count of Targetted</t>
  </si>
  <si>
    <t>Covered</t>
  </si>
  <si>
    <t>Not covered</t>
  </si>
  <si>
    <t>Count of Documented</t>
  </si>
  <si>
    <t>% Water Need coverage</t>
  </si>
  <si>
    <t>% Latrine need coverage</t>
  </si>
  <si>
    <t>% Bathroom need coverage</t>
  </si>
  <si>
    <t>%  Latrine need coverage</t>
  </si>
  <si>
    <t>Count of Rank coverage</t>
  </si>
  <si>
    <t>% Coverage Permanent Latrine</t>
  </si>
  <si>
    <t>% Coverage Emergency latrine</t>
  </si>
  <si>
    <t>%Coverage Permanent Latrine</t>
  </si>
  <si>
    <t>Nb of Familly affected</t>
  </si>
  <si>
    <t>% Coverage Full HK</t>
  </si>
  <si>
    <t>% Coverage HP session at HH level</t>
  </si>
  <si>
    <t>% Coverage projection end of project</t>
  </si>
  <si>
    <t>% Projection latrine need coverage EOP</t>
  </si>
  <si>
    <t>% Projection Bathrrom coverage EOP</t>
  </si>
  <si>
    <t>%  Coverage Emergency latrine</t>
  </si>
  <si>
    <r>
      <t xml:space="preserve"># of Bathing space </t>
    </r>
    <r>
      <rPr>
        <b/>
        <sz val="10"/>
        <color rgb="FFFF0000"/>
        <rFont val="Calibri"/>
        <family val="2"/>
        <scheme val="minor"/>
      </rPr>
      <t>(1 unit for 100 persons)</t>
    </r>
  </si>
  <si>
    <t>MMR001CMP172</t>
  </si>
  <si>
    <t>Baptist Church, Sai Ra village</t>
  </si>
  <si>
    <t>N-Lwe Yan</t>
  </si>
  <si>
    <t>Phan Khar Kone*</t>
  </si>
  <si>
    <t>Pa Kahtawng Primary House</t>
  </si>
  <si>
    <t>Clutural Compound</t>
  </si>
  <si>
    <t>separated</t>
  </si>
  <si>
    <t>Separated, clearly perceived</t>
  </si>
  <si>
    <t>small HH</t>
  </si>
  <si>
    <t>% Water coverage</t>
  </si>
  <si>
    <t>% Latrine coverage</t>
  </si>
  <si>
    <t>% Bathroom coverage</t>
  </si>
  <si>
    <t>DFAT</t>
  </si>
  <si>
    <t>Before 2014</t>
  </si>
  <si>
    <t>2014</t>
  </si>
  <si>
    <t>Visualisation for Snapshot</t>
  </si>
  <si>
    <t>Total targetted population</t>
  </si>
  <si>
    <t>Graph set up</t>
  </si>
  <si>
    <t>Target population reach</t>
  </si>
  <si>
    <t>Target population not reah</t>
  </si>
  <si>
    <t>Objective 1: water access</t>
  </si>
  <si>
    <t>Objective 2: sanitation access</t>
  </si>
  <si>
    <t>WaSH assistance to IDPs affected by conflict
 in Kachin State</t>
  </si>
  <si>
    <t>MMR001CMP229</t>
  </si>
  <si>
    <t>MMR001CMP147</t>
  </si>
  <si>
    <t>Woi Chyai (Mong Lai)</t>
  </si>
  <si>
    <t>Woi Chyai  host families</t>
  </si>
  <si>
    <t>MMR001CMP227</t>
  </si>
  <si>
    <t>MMR001CMP072</t>
  </si>
  <si>
    <t>MMR001CMP073</t>
  </si>
  <si>
    <t>MMR001CMP131</t>
  </si>
  <si>
    <t>MMR001CMP126</t>
  </si>
  <si>
    <t>MMR001CMP196</t>
  </si>
  <si>
    <t>MMR001CMP163</t>
  </si>
  <si>
    <t>MMR001CMP230</t>
  </si>
  <si>
    <t>MMR001CMP228</t>
  </si>
  <si>
    <t>MMR015CMP213</t>
  </si>
  <si>
    <t>MMR015CMP216</t>
  </si>
  <si>
    <t>MMR015CMP139</t>
  </si>
  <si>
    <t>MMR015CMP215</t>
  </si>
  <si>
    <t>MMR015CMP214</t>
  </si>
  <si>
    <t>MMR015CMP209</t>
  </si>
  <si>
    <t>Not reachable location</t>
  </si>
  <si>
    <t>HH need more filter to coverage</t>
  </si>
  <si>
    <t>have limited spaces to construct more latrines and WASH facilities</t>
  </si>
  <si>
    <t>already set up</t>
  </si>
  <si>
    <t>SANITATION</t>
  </si>
  <si>
    <t>HYGIENE KIT</t>
  </si>
  <si>
    <t>Project Analysis</t>
  </si>
  <si>
    <t>Approximate Fund 2015 regarding project date implementation</t>
  </si>
  <si>
    <t>2015</t>
  </si>
  <si>
    <t>Improving water access, hygiene and sanitation conditions of the conflict affected population in Kachin and Rakhine States</t>
  </si>
  <si>
    <t>Part of global project including Rakhine State</t>
  </si>
  <si>
    <t>Water, Sanitation and Hygiene rapid response for people affected by conflict induced displacements and natural disasters in Kachin and Northern Shan States</t>
  </si>
  <si>
    <t>The targeting of beneifciaries cannot be detailed as this project aims at answering to new emergency following displacement or natural hazards</t>
  </si>
  <si>
    <t>IDP in host community</t>
  </si>
  <si>
    <t>To be measured through partner EP&amp;R action, cumulative</t>
  </si>
  <si>
    <t>Population targetted</t>
  </si>
  <si>
    <t>Nb of sites</t>
  </si>
  <si>
    <t>Emergency support for displaced and hosting communities affected by the Kachin conflict, Myanmar</t>
  </si>
  <si>
    <t>Lone Sut</t>
  </si>
  <si>
    <t>Bum Tsit Pa * (3)</t>
  </si>
  <si>
    <t>Momauk Host Families</t>
  </si>
  <si>
    <t>Bhamo Host Families</t>
  </si>
  <si>
    <t>Currently, according to water frozen KBC and Oxfam distributed a drinking water distribution, it was started in february 15.</t>
  </si>
  <si>
    <t>this place have a plan to relocate into Lone Sut camp</t>
  </si>
  <si>
    <t>106 CWF distributed on 27th February 15</t>
  </si>
  <si>
    <t>74 CWF distributed on 27th February 15 (with ICRC)</t>
  </si>
  <si>
    <t>28 CWF distri buted on 27th February 15</t>
  </si>
  <si>
    <t>240 CWF diistributed within 26th February 15</t>
  </si>
  <si>
    <t>CWF coverage changed due to SI ' KAP survey</t>
  </si>
  <si>
    <t>due to land owner filled the land the bathing sapce construction have removed</t>
  </si>
  <si>
    <t>HWS is not functioning/ due to land limited the bathing space construction have hard to implement</t>
  </si>
  <si>
    <t xml:space="preserve">due to IDPs make and sued individual bathing space, no need to construct more. And also land limited. </t>
  </si>
  <si>
    <t xml:space="preserve">have limited spaces to construct more sanitation facilities. </t>
  </si>
  <si>
    <t>the 20 semi-permanent latrine are constructed by KBC</t>
  </si>
  <si>
    <t>project gap</t>
  </si>
  <si>
    <t>temporary  incinerator not functioning</t>
  </si>
  <si>
    <t>temporary incinerator have implemented as pilot by Oxfam but it was not functioning now</t>
  </si>
  <si>
    <t xml:space="preserve">6 temporary  incinerator was not functioning </t>
  </si>
  <si>
    <t>need to follow up WASH committee situation within coming cluster meeting</t>
  </si>
  <si>
    <t>60-80%</t>
  </si>
  <si>
    <t>Review target HRP 2015</t>
  </si>
  <si>
    <t>Nb of affected household</t>
  </si>
  <si>
    <t>Separated</t>
  </si>
  <si>
    <t>due to lack of running cost, the HWS facilities have not functioing, hard to construct SPL bcoz of materials not easily availiable</t>
  </si>
  <si>
    <t>no spaces to construct more latrines and bathing spaces/ now church committee let them to use only in 5 latrines, if they wish, they can go to the church student hostel latrine/ /they have a plan to shilft to the Lal Pyin Qtr of Hpakant,</t>
  </si>
  <si>
    <t xml:space="preserve">land spaces are limited, due to lack of running cost, the HWS facilities have not functioing,  if repair  and dig pit. 2-3 latrines can be used, </t>
  </si>
  <si>
    <t>1 tube well is not functioning</t>
  </si>
  <si>
    <t>small HH, wash their hand on the bathing space</t>
  </si>
  <si>
    <t>IDPs can fetach a water from 1 well that situated outside of a camp</t>
  </si>
  <si>
    <t xml:space="preserve">Not have enough space to construct more bathing spaces </t>
  </si>
  <si>
    <t>land limited for more semi-permanent latrine construciton, 6 semi permanent latrine already existed, church committee let them to use in 3, but if trouble, they church committee can share</t>
  </si>
  <si>
    <t>1 SPL already closed bcoz of nearing the dining room (can move to other place)</t>
  </si>
  <si>
    <t>HWS is not functioning, 1 latrien pit already exised , just to move the frame</t>
  </si>
  <si>
    <t>have limited spaces to construct more latrines, 1 BS can be repair by updating water supply system</t>
  </si>
  <si>
    <t>KBC didn't have plan to construct sanitation facilities</t>
  </si>
  <si>
    <t>will move to lone sut camp</t>
  </si>
  <si>
    <t>hard to implement due to rocky, logistic issues</t>
  </si>
  <si>
    <t xml:space="preserve">due to lack of running cost, the HWS facilities have not functioing/ 4 bathing space have constructed but all are not functioning currently/8-10 latrines closeed due to near shelter/need to renovate in some latrine </t>
  </si>
  <si>
    <t>No Plan for Semi permanent latrines construction</t>
  </si>
  <si>
    <t>Land issuse for latrines coverage</t>
  </si>
  <si>
    <t>Emergency Latrines need to renovate</t>
  </si>
  <si>
    <t xml:space="preserve"> KMSS will distribute Hugiene kit</t>
  </si>
  <si>
    <t>Hseni</t>
  </si>
  <si>
    <t>MMR001CMP231</t>
  </si>
  <si>
    <t>Ku Day Maw KBC</t>
  </si>
  <si>
    <t>Loi Je Lisu  (4) Camp</t>
  </si>
  <si>
    <t>Nam Ja Rap</t>
  </si>
  <si>
    <t>45-60%</t>
  </si>
  <si>
    <t>MMR001CMP225</t>
  </si>
  <si>
    <t xml:space="preserve">Pan Wa (Saw Zam) camp </t>
  </si>
  <si>
    <t>Mansi Host Families</t>
  </si>
  <si>
    <t>Shwegu Host Families</t>
  </si>
  <si>
    <t>68 chinese water filter distrubuted in 2014</t>
  </si>
  <si>
    <t>118 chinese water filter  distributed in 2014</t>
  </si>
  <si>
    <t>180 chinese water filter  distributed in 2014</t>
  </si>
  <si>
    <t>120 chinese water filter  distributed in 2014</t>
  </si>
  <si>
    <t>14 chinese water filter distributed 2014</t>
  </si>
  <si>
    <t>30 chinese water filter distrubuted in 2014</t>
  </si>
  <si>
    <t>land space limited</t>
  </si>
  <si>
    <t xml:space="preserve">although 15 hand washing station on this camp, they do not use all of these HWS now. </t>
  </si>
  <si>
    <t>No spaces to construct more latrines and bathing spaces/ now church committee.</t>
  </si>
  <si>
    <t xml:space="preserve">And also land limited for new sanitation facitlies construction. But Church committee have a plan to relocate some people from this camp to another place. </t>
  </si>
  <si>
    <t xml:space="preserve">due to IDPs make and used individual bathing space, no need to construct more. </t>
  </si>
  <si>
    <t xml:space="preserve">have limited spaces to construct more sanitation facilities. Some household has alaready moved to new location (have a plan to move all HHs to this new site. </t>
  </si>
  <si>
    <t>every host families HH have a latrine</t>
  </si>
  <si>
    <t>land limited for more semi-permanent latrine construciton and also for other sanitation facilities, they more preferred to take a bath near their  shelter.</t>
  </si>
  <si>
    <t>some semi-latrines have closed by CMC to manage latrines usage</t>
  </si>
  <si>
    <t>Metta only distributed refill HK in 2015</t>
  </si>
  <si>
    <t xml:space="preserve">Latest distribution of HK refill in April 15 </t>
  </si>
  <si>
    <t xml:space="preserve">Functional and efficient. The number of people actually leaving in the camp is 93 HH (so around 500 people) </t>
  </si>
  <si>
    <r>
      <t>Solidarit</t>
    </r>
    <r>
      <rPr>
        <b/>
        <sz val="10"/>
        <color theme="1"/>
        <rFont val="Arial"/>
        <family val="2"/>
      </rPr>
      <t>é</t>
    </r>
    <r>
      <rPr>
        <b/>
        <sz val="10"/>
        <color theme="1"/>
        <rFont val="Cambria"/>
        <family val="1"/>
        <scheme val="major"/>
      </rPr>
      <t>s International</t>
    </r>
  </si>
  <si>
    <t>SCI/Oxfam</t>
  </si>
  <si>
    <t>Lana Zup Ja</t>
  </si>
  <si>
    <t>Pan Ku</t>
  </si>
  <si>
    <t>WASH cluster</t>
  </si>
  <si>
    <t xml:space="preserve">the existing 1 well is not protect and not usually used and currently IDPs used GFS. KMSS have a plan to improve that GFS as Water storage tank construction. </t>
  </si>
  <si>
    <t>CESVI implement WASH activities such HP and HK distribution and renovation of WASH facilities in this host families</t>
  </si>
  <si>
    <t>water distribution pipe line system broken at currently due to Road construction. KBC try to fix it. hopefully, that will function again in June. According to that no water access issues.</t>
  </si>
  <si>
    <t>Currently, IDPs fetching a water from near wells inside from village. KBC will be install GFS and it will finish in June 15</t>
  </si>
  <si>
    <t>Water distribution point(1),Drainage system(1),Over head tank(1)</t>
  </si>
  <si>
    <t>The GFS is currently out of use</t>
  </si>
  <si>
    <t>Metta plan,Drainage system(1)</t>
  </si>
  <si>
    <t>KMSS have a plan to distrbute CWF filter</t>
  </si>
  <si>
    <t>Meeta plan, Gravity flow (1)</t>
  </si>
  <si>
    <t>Metta plan,Gravity flow(1),Drainage system(2)</t>
  </si>
  <si>
    <t>Digging well(2) on going</t>
  </si>
  <si>
    <t>Metta have GFS construction plan and find the appropriate water source now.</t>
  </si>
  <si>
    <t xml:space="preserve">These IDPs from NGCA didn't need more Semi - permanent construction because of IDPs have sufficient HH latrines at each HH level. Semi-permanent isn't appropriate construciton due to Rocky land and logistic issue in this IDPs camp. </t>
  </si>
  <si>
    <t xml:space="preserve">Every IDPs HH used individual bathing spaces. </t>
  </si>
  <si>
    <t>Land limited to costruct more Semi-permanent in this camp</t>
  </si>
  <si>
    <t>we have plan additional construction 4 doors SPL.</t>
  </si>
  <si>
    <t>we have plan additional construction 12 doors SPL.</t>
  </si>
  <si>
    <t>we have plan additional construction 20doors SPL.</t>
  </si>
  <si>
    <t>7 SPL to be constructed by May/June 2015</t>
  </si>
  <si>
    <t>3 SPL to be constructed by May/June 2015</t>
  </si>
  <si>
    <t>8 SPL to be constructed by May/June 2015</t>
  </si>
  <si>
    <t>we have to plan 2doors SPL.</t>
  </si>
  <si>
    <t>Please note that due to a lack of space in the camps, KBC cannot construct additional latrines. all hand washing not functioning due to tap broken, bottle moved out, under replacement.</t>
  </si>
  <si>
    <t>No space for additional latriens and desludging issues.</t>
  </si>
  <si>
    <t>Camp located in step areas hence difficulties to build semi permanent latrines. Land issues</t>
  </si>
  <si>
    <t>land limited to construct more semi-permanent</t>
  </si>
  <si>
    <t>SCI have plan for hand washing basin &amp; land limited for more hardware construction</t>
  </si>
  <si>
    <t>Land limited for hardward construciton</t>
  </si>
  <si>
    <t>SCI have plan for hand washing basin</t>
  </si>
  <si>
    <t>MEETA Plan(Emergency latrine 20)</t>
  </si>
  <si>
    <t xml:space="preserve">90 emergency latrines construciton is ongoing, TLS  and other education supports needed. </t>
  </si>
  <si>
    <t>SCI Hyginen Fully kit distribution at Jaw 2 camp 41 Kits(6.5.15), Bang Lang camp 144 kits (6.5.15)and KBC 2 camp 116 kit(21.5.15). SCI also distribution at Kut Khaing Pan KU camp Household kit 96 kit.</t>
  </si>
  <si>
    <t>Metta will fill gap of fully Hygiene</t>
  </si>
  <si>
    <t xml:space="preserve">18 hygiene kit distribution on (31.3.15) new arrived IDPs, 205 HH of host family already distributed basic hygiene </t>
  </si>
  <si>
    <t>Basic Hygiene kits already distributed by SCI and Overlappin with SCI</t>
  </si>
  <si>
    <t>Contribute to improved living conditions for conflict affected children and their families in Kachin/NSS states</t>
  </si>
  <si>
    <t>31/1/2015</t>
  </si>
  <si>
    <t>MMR Humanitarian Assistance for Households Affected Kacin State, Burma</t>
  </si>
  <si>
    <t>Objective 3: Hygiene promotion</t>
  </si>
  <si>
    <t>Population with equitable access to sufficient and sustainable quantity of safe drinking and domestic water</t>
  </si>
  <si>
    <t>Population with equitable access to safe and sustainable sanitation facilities</t>
  </si>
  <si>
    <t>Population with basic knowledge of diarrheal disease transmission and prevention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</si>
</sst>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_);_(* \(#,##0\);_(* &quot;-&quot;??_);_(@_)"/>
    <numFmt numFmtId="165" formatCode="[$-409]d/mmm/yy;@"/>
    <numFmt numFmtId="166" formatCode="dd/mm/yyyy"/>
    <numFmt numFmtId="167" formatCode="_-* #,##0.00_-;\-* #,##0.00_-;_-* &quot;-&quot;??_-;_-@_-"/>
    <numFmt numFmtId="168" formatCode="[$-409]dd\-mmm\-yy;@"/>
    <numFmt numFmtId="169" formatCode="[$-409]d\-mmm\-yy;@"/>
  </numFmts>
  <fonts count="77" x14ac:knownFonts="1">
    <font>
      <sz val="11"/>
      <color theme="1"/>
      <name val="Calibri"/>
      <family val="2"/>
      <scheme val="minor"/>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0"/>
      <name val="Arial"/>
      <family val="2"/>
    </font>
    <font>
      <sz val="9"/>
      <color indexed="81"/>
      <name val="Tahoma"/>
      <family val="2"/>
    </font>
    <font>
      <b/>
      <sz val="9"/>
      <color indexed="81"/>
      <name val="Tahoma"/>
      <family val="2"/>
    </font>
    <font>
      <b/>
      <sz val="10"/>
      <color indexed="8"/>
      <name val="Calibri"/>
      <family val="2"/>
    </font>
    <font>
      <b/>
      <sz val="12"/>
      <color indexed="10"/>
      <name val="Calibri"/>
      <family val="2"/>
    </font>
    <font>
      <b/>
      <sz val="10"/>
      <color indexed="10"/>
      <name val="Calibri"/>
      <family val="2"/>
    </font>
    <font>
      <sz val="18"/>
      <color indexed="8"/>
      <name val="Calibri"/>
      <family val="2"/>
    </font>
    <font>
      <b/>
      <sz val="18"/>
      <color indexed="8"/>
      <name val="Calibri"/>
      <family val="2"/>
    </font>
    <font>
      <sz val="11"/>
      <color theme="1"/>
      <name val="Calibri"/>
      <family val="2"/>
      <scheme val="minor"/>
    </font>
    <font>
      <b/>
      <sz val="11"/>
      <color theme="1"/>
      <name val="Calibri"/>
      <family val="2"/>
      <scheme val="minor"/>
    </font>
    <font>
      <sz val="10"/>
      <color theme="1"/>
      <name val="Arial Narrow"/>
      <family val="2"/>
    </font>
    <font>
      <b/>
      <sz val="12"/>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b/>
      <sz val="12"/>
      <color theme="3" tint="0.39997558519241921"/>
      <name val="Calibri"/>
      <family val="2"/>
      <scheme val="minor"/>
    </font>
    <font>
      <sz val="12"/>
      <color theme="3" tint="0.39997558519241921"/>
      <name val="Calibri"/>
      <family val="2"/>
      <scheme val="minor"/>
    </font>
    <font>
      <sz val="10"/>
      <name val="Calibri"/>
      <family val="2"/>
      <scheme val="minor"/>
    </font>
    <font>
      <b/>
      <sz val="18"/>
      <color theme="1"/>
      <name val="Calibri"/>
      <family val="2"/>
      <scheme val="minor"/>
    </font>
    <font>
      <b/>
      <sz val="16"/>
      <color theme="3" tint="0.39997558519241921"/>
      <name val="Calibri"/>
      <family val="2"/>
      <scheme val="minor"/>
    </font>
    <font>
      <b/>
      <sz val="10"/>
      <color theme="1"/>
      <name val="Calibri"/>
      <family val="2"/>
    </font>
    <font>
      <b/>
      <sz val="20"/>
      <color theme="1"/>
      <name val="Calibri"/>
      <family val="2"/>
      <scheme val="minor"/>
    </font>
    <font>
      <b/>
      <sz val="14"/>
      <color theme="3" tint="0.39997558519241921"/>
      <name val="Calibri"/>
      <family val="2"/>
      <scheme val="minor"/>
    </font>
    <font>
      <b/>
      <sz val="10"/>
      <name val="Calibri"/>
      <family val="2"/>
    </font>
    <font>
      <b/>
      <sz val="14"/>
      <color indexed="10"/>
      <name val="Calibri"/>
      <family val="2"/>
    </font>
    <font>
      <b/>
      <sz val="14"/>
      <color indexed="8"/>
      <name val="Calibri"/>
      <family val="2"/>
    </font>
    <font>
      <b/>
      <sz val="12"/>
      <name val="Calibri"/>
      <family val="2"/>
      <scheme val="minor"/>
    </font>
    <font>
      <b/>
      <sz val="10"/>
      <color rgb="FFFF0000"/>
      <name val="Calibri"/>
      <family val="2"/>
      <scheme val="minor"/>
    </font>
    <font>
      <b/>
      <sz val="10"/>
      <name val="Calibri"/>
      <family val="2"/>
      <scheme val="minor"/>
    </font>
    <font>
      <b/>
      <sz val="11"/>
      <color rgb="FFFF0000"/>
      <name val="Calibri"/>
      <family val="2"/>
      <scheme val="minor"/>
    </font>
    <font>
      <i/>
      <sz val="11"/>
      <color rgb="FFFF0000"/>
      <name val="Calibri"/>
      <family val="2"/>
      <scheme val="minor"/>
    </font>
    <font>
      <sz val="10"/>
      <color rgb="FF0070C0"/>
      <name val="Arial Narrow"/>
      <family val="2"/>
    </font>
    <font>
      <b/>
      <sz val="10"/>
      <color rgb="FFFF0000"/>
      <name val="Calibri"/>
      <family val="2"/>
    </font>
    <font>
      <b/>
      <sz val="20"/>
      <color theme="0"/>
      <name val="Calibri"/>
      <family val="2"/>
      <scheme val="minor"/>
    </font>
    <font>
      <b/>
      <sz val="16"/>
      <color theme="0"/>
      <name val="Calibri"/>
      <family val="2"/>
      <scheme val="minor"/>
    </font>
    <font>
      <b/>
      <sz val="16"/>
      <color theme="1"/>
      <name val="Calibri"/>
      <family val="2"/>
      <scheme val="minor"/>
    </font>
    <font>
      <sz val="11"/>
      <color rgb="FFFF0000"/>
      <name val="Calibri"/>
      <family val="2"/>
      <scheme val="minor"/>
    </font>
    <font>
      <sz val="11"/>
      <name val="Calibri"/>
      <family val="2"/>
      <scheme val="minor"/>
    </font>
    <font>
      <i/>
      <sz val="10"/>
      <color theme="1"/>
      <name val="Calibri"/>
      <family val="2"/>
      <scheme val="minor"/>
    </font>
    <font>
      <b/>
      <i/>
      <sz val="11"/>
      <color theme="0"/>
      <name val="Calibri"/>
      <family val="2"/>
      <scheme val="minor"/>
    </font>
    <font>
      <sz val="12"/>
      <color theme="1"/>
      <name val="Calibri"/>
      <family val="2"/>
      <scheme val="minor"/>
    </font>
    <font>
      <i/>
      <sz val="12"/>
      <color theme="1"/>
      <name val="Calibri"/>
      <family val="2"/>
      <scheme val="minor"/>
    </font>
    <font>
      <i/>
      <sz val="9"/>
      <color theme="1"/>
      <name val="Calibri"/>
      <family val="2"/>
      <scheme val="minor"/>
    </font>
    <font>
      <sz val="12"/>
      <color rgb="FFFF0000"/>
      <name val="Calibri"/>
      <family val="2"/>
      <scheme val="minor"/>
    </font>
    <font>
      <b/>
      <sz val="14"/>
      <color rgb="FF000000"/>
      <name val="Calibri"/>
      <family val="2"/>
      <scheme val="minor"/>
    </font>
    <font>
      <sz val="10"/>
      <color theme="1"/>
      <name val="Cambria"/>
      <family val="1"/>
      <scheme val="major"/>
    </font>
    <font>
      <b/>
      <sz val="12"/>
      <color theme="1"/>
      <name val="Cambria"/>
      <family val="1"/>
      <scheme val="major"/>
    </font>
    <font>
      <b/>
      <sz val="14"/>
      <color theme="3" tint="0.39997558519241921"/>
      <name val="Cambria"/>
      <family val="1"/>
      <scheme val="major"/>
    </font>
    <font>
      <b/>
      <sz val="14"/>
      <name val="Cambria"/>
      <family val="1"/>
      <scheme val="major"/>
    </font>
    <font>
      <b/>
      <sz val="14"/>
      <color theme="1"/>
      <name val="Cambria"/>
      <family val="1"/>
      <scheme val="major"/>
    </font>
    <font>
      <b/>
      <sz val="10"/>
      <name val="Cambria"/>
      <family val="1"/>
      <scheme val="major"/>
    </font>
    <font>
      <b/>
      <sz val="10"/>
      <color theme="1"/>
      <name val="Cambria"/>
      <family val="1"/>
      <scheme val="major"/>
    </font>
    <font>
      <sz val="10"/>
      <name val="Cambria"/>
      <family val="1"/>
      <scheme val="major"/>
    </font>
    <font>
      <i/>
      <sz val="10"/>
      <color theme="1"/>
      <name val="Cambria"/>
      <family val="1"/>
      <scheme val="major"/>
    </font>
    <font>
      <sz val="10"/>
      <name val="MS Sans Serif"/>
      <family val="2"/>
    </font>
    <font>
      <b/>
      <sz val="8"/>
      <color indexed="81"/>
      <name val="Tahoma"/>
      <family val="2"/>
    </font>
    <font>
      <sz val="8"/>
      <color indexed="81"/>
      <name val="Tahoma"/>
      <family val="2"/>
    </font>
    <font>
      <sz val="11"/>
      <color theme="0" tint="-0.499984740745262"/>
      <name val="Calibri"/>
      <family val="2"/>
      <scheme val="minor"/>
    </font>
    <font>
      <i/>
      <sz val="11"/>
      <color theme="0" tint="-0.499984740745262"/>
      <name val="Calibri"/>
      <family val="2"/>
      <scheme val="minor"/>
    </font>
    <font>
      <sz val="16"/>
      <color theme="1"/>
      <name val="Calibri"/>
      <family val="2"/>
      <scheme val="minor"/>
    </font>
    <font>
      <sz val="11"/>
      <color theme="0" tint="-0.249977111117893"/>
      <name val="Calibri"/>
      <family val="2"/>
      <scheme val="minor"/>
    </font>
    <font>
      <b/>
      <i/>
      <sz val="12"/>
      <color theme="1"/>
      <name val="Calibri"/>
      <family val="2"/>
      <scheme val="minor"/>
    </font>
    <font>
      <sz val="10"/>
      <color rgb="FFFF0000"/>
      <name val="Arial Narrow"/>
      <family val="2"/>
    </font>
    <font>
      <b/>
      <sz val="16"/>
      <color rgb="FFFF0000"/>
      <name val="Calibri"/>
      <family val="2"/>
      <scheme val="minor"/>
    </font>
    <font>
      <b/>
      <sz val="12"/>
      <color rgb="FFFF0000"/>
      <name val="Calibri"/>
      <family val="2"/>
      <scheme val="minor"/>
    </font>
    <font>
      <b/>
      <sz val="10"/>
      <color theme="1"/>
      <name val="Arial"/>
      <family val="2"/>
    </font>
    <font>
      <sz val="12"/>
      <name val="Calibri"/>
      <family val="2"/>
      <scheme val="minor"/>
    </font>
    <font>
      <sz val="12"/>
      <color theme="1"/>
      <name val="Arial Narrow"/>
      <family val="2"/>
    </font>
    <font>
      <sz val="12"/>
      <color rgb="FF0070C0"/>
      <name val="Arial Narrow"/>
      <family val="2"/>
    </font>
  </fonts>
  <fills count="16">
    <fill>
      <patternFill patternType="none"/>
    </fill>
    <fill>
      <patternFill patternType="gray125"/>
    </fill>
    <fill>
      <patternFill patternType="solid">
        <fgColor theme="0"/>
        <bgColor indexed="64"/>
      </patternFill>
    </fill>
    <fill>
      <patternFill patternType="solid">
        <fgColor rgb="FFCCFFCC"/>
        <bgColor indexed="64"/>
      </patternFill>
    </fill>
    <fill>
      <patternFill patternType="solid">
        <fgColor rgb="FFCCCCFF"/>
        <bgColor indexed="64"/>
      </patternFill>
    </fill>
    <fill>
      <patternFill patternType="solid">
        <fgColor theme="0" tint="-0.249977111117893"/>
        <bgColor indexed="64"/>
      </patternFill>
    </fill>
    <fill>
      <patternFill patternType="solid">
        <fgColor rgb="FFFFFFCC"/>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s>
  <borders count="145">
    <border>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ck">
        <color indexed="64"/>
      </left>
      <right style="thin">
        <color indexed="64"/>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diagonal/>
    </border>
    <border>
      <left style="thick">
        <color indexed="64"/>
      </left>
      <right/>
      <top/>
      <bottom style="thick">
        <color indexed="64"/>
      </bottom>
      <diagonal/>
    </border>
    <border>
      <left/>
      <right/>
      <top/>
      <bottom style="thick">
        <color indexed="64"/>
      </bottom>
      <diagonal/>
    </border>
    <border>
      <left style="thick">
        <color indexed="64"/>
      </left>
      <right/>
      <top/>
      <bottom/>
      <diagonal/>
    </border>
    <border>
      <left/>
      <right style="thick">
        <color indexed="64"/>
      </right>
      <top/>
      <bottom/>
      <diagonal/>
    </border>
    <border>
      <left/>
      <right style="thick">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ck">
        <color indexed="64"/>
      </top>
      <bottom style="medium">
        <color indexed="64"/>
      </bottom>
      <diagonal/>
    </border>
    <border>
      <left style="medium">
        <color indexed="64"/>
      </left>
      <right/>
      <top style="medium">
        <color indexed="64"/>
      </top>
      <bottom/>
      <diagonal/>
    </border>
    <border>
      <left style="thick">
        <color indexed="64"/>
      </left>
      <right style="thin">
        <color indexed="64"/>
      </right>
      <top style="medium">
        <color indexed="64"/>
      </top>
      <bottom/>
      <diagonal/>
    </border>
    <border>
      <left style="thin">
        <color indexed="64"/>
      </left>
      <right style="thick">
        <color indexed="64"/>
      </right>
      <top/>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top/>
      <bottom/>
      <diagonal/>
    </border>
    <border>
      <left style="thin">
        <color rgb="FFABABAB"/>
      </left>
      <right style="thin">
        <color rgb="FFABABAB"/>
      </right>
      <top style="thin">
        <color rgb="FFABABAB"/>
      </top>
      <bottom style="thin">
        <color rgb="FFABABAB"/>
      </bottom>
      <diagonal/>
    </border>
    <border>
      <left style="thin">
        <color rgb="FFABABAB"/>
      </left>
      <right style="thin">
        <color rgb="FFABABAB"/>
      </right>
      <top style="thin">
        <color rgb="FFABABAB"/>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thin">
        <color rgb="FFABABAB"/>
      </left>
      <right/>
      <top/>
      <bottom style="thin">
        <color rgb="FFABABAB"/>
      </bottom>
      <diagonal/>
    </border>
    <border>
      <left style="thin">
        <color rgb="FFABABAB"/>
      </left>
      <right style="thin">
        <color rgb="FFABABAB"/>
      </right>
      <top/>
      <bottom style="thin">
        <color rgb="FFABABAB"/>
      </bottom>
      <diagonal/>
    </border>
    <border>
      <left/>
      <right/>
      <top/>
      <bottom style="thin">
        <color rgb="FFABABAB"/>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thin">
        <color indexed="64"/>
      </right>
      <top/>
      <bottom/>
      <diagonal/>
    </border>
    <border>
      <left style="medium">
        <color indexed="64"/>
      </left>
      <right style="medium">
        <color indexed="64"/>
      </right>
      <top style="hair">
        <color indexed="64"/>
      </top>
      <bottom style="hair">
        <color indexed="64"/>
      </bottom>
      <diagonal/>
    </border>
    <border>
      <left/>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diagonal/>
    </border>
    <border>
      <left style="hair">
        <color indexed="64"/>
      </left>
      <right style="medium">
        <color indexed="64"/>
      </right>
      <top/>
      <bottom/>
      <diagonal/>
    </border>
    <border>
      <left style="thin">
        <color indexed="64"/>
      </left>
      <right style="hair">
        <color indexed="64"/>
      </right>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medium">
        <color indexed="64"/>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theme="0" tint="-0.24994659260841701"/>
      </left>
      <right style="thin">
        <color theme="0" tint="-0.24994659260841701"/>
      </right>
      <top style="thin">
        <color theme="0" tint="-0.24994659260841701"/>
      </top>
      <bottom style="hair">
        <color theme="0" tint="-0.24994659260841701"/>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theme="0" tint="-0.24994659260841701"/>
      </left>
      <right style="thin">
        <color theme="0" tint="-0.24994659260841701"/>
      </right>
      <top style="hair">
        <color theme="0" tint="-0.24994659260841701"/>
      </top>
      <bottom style="hair">
        <color theme="0" tint="-0.24994659260841701"/>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theme="0" tint="-0.24994659260841701"/>
      </left>
      <right style="thin">
        <color theme="0" tint="-0.24994659260841701"/>
      </right>
      <top style="hair">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bottom style="hair">
        <color theme="0" tint="-0.499984740745262"/>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48">
    <xf numFmtId="0" fontId="0" fillId="0" borderId="0"/>
    <xf numFmtId="43" fontId="16" fillId="0" borderId="0" applyFont="0" applyFill="0" applyBorder="0" applyAlignment="0" applyProtection="0"/>
    <xf numFmtId="0" fontId="8" fillId="0" borderId="0"/>
    <xf numFmtId="9" fontId="16" fillId="0" borderId="0" applyFont="0" applyFill="0" applyBorder="0" applyAlignment="0" applyProtection="0"/>
    <xf numFmtId="165" fontId="16"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7" fontId="16" fillId="0" borderId="0" applyFont="0" applyFill="0" applyBorder="0" applyAlignment="0" applyProtection="0"/>
    <xf numFmtId="167" fontId="62" fillId="0" borderId="0" applyFont="0" applyFill="0" applyBorder="0" applyAlignment="0" applyProtection="0"/>
    <xf numFmtId="0" fontId="16" fillId="0" borderId="0"/>
    <xf numFmtId="0" fontId="16" fillId="0" borderId="0"/>
    <xf numFmtId="0" fontId="16" fillId="0" borderId="0"/>
    <xf numFmtId="0" fontId="8" fillId="0" borderId="0"/>
    <xf numFmtId="168" fontId="16" fillId="0" borderId="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cellStyleXfs>
  <cellXfs count="803">
    <xf numFmtId="0" fontId="0" fillId="0" borderId="0" xfId="0"/>
    <xf numFmtId="0" fontId="0" fillId="2" borderId="0" xfId="0" applyFill="1"/>
    <xf numFmtId="0" fontId="0" fillId="5" borderId="15" xfId="0" applyFill="1" applyBorder="1"/>
    <xf numFmtId="0" fontId="0" fillId="5" borderId="0" xfId="0" applyFill="1" applyBorder="1"/>
    <xf numFmtId="0" fontId="0" fillId="5" borderId="16" xfId="0" applyFill="1" applyBorder="1"/>
    <xf numFmtId="0" fontId="17" fillId="5" borderId="0" xfId="0" applyFont="1" applyFill="1" applyBorder="1"/>
    <xf numFmtId="0" fontId="0" fillId="5" borderId="13" xfId="0" applyFill="1" applyBorder="1"/>
    <xf numFmtId="0" fontId="0" fillId="5" borderId="14" xfId="0" applyFill="1" applyBorder="1"/>
    <xf numFmtId="0" fontId="0" fillId="5" borderId="17" xfId="0" applyFill="1" applyBorder="1"/>
    <xf numFmtId="0" fontId="0" fillId="2" borderId="0" xfId="0" applyFill="1" applyAlignment="1">
      <alignment horizontal="center" vertical="center"/>
    </xf>
    <xf numFmtId="14" fontId="0" fillId="0" borderId="0" xfId="0" applyNumberFormat="1"/>
    <xf numFmtId="0" fontId="0" fillId="2" borderId="0" xfId="0" applyFill="1" applyAlignment="1">
      <alignment vertical="center" wrapText="1"/>
    </xf>
    <xf numFmtId="0" fontId="0" fillId="2" borderId="0" xfId="0" applyFill="1" applyBorder="1" applyAlignment="1">
      <alignment vertical="center" wrapText="1"/>
    </xf>
    <xf numFmtId="9" fontId="0" fillId="2" borderId="0" xfId="0" applyNumberFormat="1" applyFill="1" applyBorder="1" applyAlignment="1">
      <alignment vertical="center" wrapText="1"/>
    </xf>
    <xf numFmtId="0" fontId="0" fillId="2" borderId="0" xfId="0" applyFill="1" applyAlignment="1">
      <alignment horizontal="center" vertical="center" wrapText="1"/>
    </xf>
    <xf numFmtId="0" fontId="0" fillId="2" borderId="0" xfId="0" applyFill="1" applyBorder="1" applyAlignment="1">
      <alignment horizontal="center" vertical="center" wrapText="1"/>
    </xf>
    <xf numFmtId="9" fontId="0" fillId="2" borderId="0" xfId="0" applyNumberFormat="1" applyFill="1" applyBorder="1" applyAlignment="1">
      <alignment horizontal="center" vertical="center" wrapText="1"/>
    </xf>
    <xf numFmtId="0" fontId="0" fillId="2" borderId="0" xfId="0" applyNumberFormat="1" applyFill="1" applyBorder="1" applyAlignment="1">
      <alignment horizontal="center" vertical="center" wrapText="1"/>
    </xf>
    <xf numFmtId="0" fontId="18" fillId="2" borderId="0" xfId="0" applyFont="1" applyFill="1" applyBorder="1" applyAlignment="1" applyProtection="1">
      <alignment horizontal="left"/>
      <protection locked="0"/>
    </xf>
    <xf numFmtId="0" fontId="18" fillId="2" borderId="0" xfId="0" applyFont="1" applyFill="1" applyBorder="1" applyAlignment="1" applyProtection="1">
      <alignment horizontal="left"/>
    </xf>
    <xf numFmtId="0" fontId="23" fillId="5" borderId="9" xfId="0" applyFont="1" applyFill="1" applyBorder="1" applyAlignment="1" applyProtection="1">
      <alignment horizontal="right" vertical="center"/>
      <protection locked="0"/>
    </xf>
    <xf numFmtId="17" fontId="23" fillId="5" borderId="12" xfId="0" applyNumberFormat="1"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protection locked="0"/>
    </xf>
    <xf numFmtId="164" fontId="23" fillId="2" borderId="0" xfId="1" applyNumberFormat="1" applyFont="1" applyFill="1" applyBorder="1" applyAlignment="1" applyProtection="1">
      <alignment horizontal="center" vertical="center"/>
      <protection locked="0"/>
    </xf>
    <xf numFmtId="0" fontId="18" fillId="2" borderId="0" xfId="0" applyFont="1" applyFill="1" applyBorder="1" applyAlignment="1" applyProtection="1">
      <alignment horizontal="center"/>
      <protection locked="0"/>
    </xf>
    <xf numFmtId="0" fontId="18" fillId="2" borderId="0" xfId="0" applyFont="1" applyFill="1" applyBorder="1" applyAlignment="1" applyProtection="1">
      <alignment horizontal="left" vertical="center"/>
      <protection locked="0"/>
    </xf>
    <xf numFmtId="0" fontId="0" fillId="0" borderId="0" xfId="0" applyAlignment="1">
      <alignment horizontal="left"/>
    </xf>
    <xf numFmtId="9" fontId="0" fillId="0" borderId="0" xfId="0" applyNumberFormat="1"/>
    <xf numFmtId="0" fontId="0" fillId="0" borderId="0" xfId="0" applyBorder="1"/>
    <xf numFmtId="0" fontId="0" fillId="0" borderId="0" xfId="0" pivotButton="1"/>
    <xf numFmtId="9" fontId="0" fillId="2" borderId="0" xfId="3" applyFont="1" applyFill="1" applyBorder="1" applyAlignment="1">
      <alignment vertical="center" wrapText="1"/>
    </xf>
    <xf numFmtId="0" fontId="23" fillId="5" borderId="25" xfId="0" applyFont="1" applyFill="1" applyBorder="1" applyAlignment="1" applyProtection="1">
      <alignment horizontal="right" vertical="center"/>
      <protection locked="0"/>
    </xf>
    <xf numFmtId="0" fontId="23" fillId="5" borderId="7" xfId="0" applyFont="1" applyFill="1" applyBorder="1" applyAlignment="1" applyProtection="1">
      <alignment horizontal="center" vertical="center"/>
      <protection locked="0"/>
    </xf>
    <xf numFmtId="0" fontId="22" fillId="3" borderId="5" xfId="0" applyFont="1" applyFill="1" applyBorder="1" applyAlignment="1" applyProtection="1">
      <alignment vertical="center"/>
      <protection locked="0"/>
    </xf>
    <xf numFmtId="0" fontId="23" fillId="5" borderId="12" xfId="0" applyFont="1" applyFill="1" applyBorder="1" applyAlignment="1" applyProtection="1">
      <alignment horizontal="right" vertical="center"/>
      <protection locked="0"/>
    </xf>
    <xf numFmtId="0" fontId="23" fillId="5" borderId="3" xfId="0" applyFont="1" applyFill="1" applyBorder="1" applyAlignment="1" applyProtection="1">
      <alignment horizontal="right" vertical="center"/>
      <protection locked="0"/>
    </xf>
    <xf numFmtId="0" fontId="30" fillId="5" borderId="21" xfId="0" applyFont="1" applyFill="1" applyBorder="1" applyAlignment="1">
      <alignment horizontal="left" vertical="center"/>
    </xf>
    <xf numFmtId="0" fontId="30" fillId="5" borderId="22" xfId="0" applyFont="1" applyFill="1" applyBorder="1" applyAlignment="1">
      <alignment horizontal="left" vertical="center"/>
    </xf>
    <xf numFmtId="0" fontId="37" fillId="2" borderId="0" xfId="0" applyFont="1" applyFill="1" applyBorder="1" applyAlignment="1">
      <alignment horizontal="right" vertical="center" wrapText="1"/>
    </xf>
    <xf numFmtId="0" fontId="38" fillId="2" borderId="0" xfId="0" applyFont="1" applyFill="1" applyBorder="1" applyAlignment="1">
      <alignment horizontal="left" vertical="center"/>
    </xf>
    <xf numFmtId="0" fontId="39" fillId="2" borderId="0" xfId="0" applyFont="1" applyFill="1" applyBorder="1" applyAlignment="1" applyProtection="1">
      <alignment horizontal="left"/>
      <protection locked="0"/>
    </xf>
    <xf numFmtId="165" fontId="16" fillId="2" borderId="0" xfId="4" applyFill="1" applyAlignment="1">
      <alignment vertical="center"/>
    </xf>
    <xf numFmtId="165" fontId="42" fillId="11" borderId="0" xfId="4" applyFont="1" applyFill="1" applyAlignment="1">
      <alignment vertical="center"/>
    </xf>
    <xf numFmtId="165" fontId="43" fillId="11" borderId="0" xfId="4" applyFont="1" applyFill="1" applyAlignment="1">
      <alignment vertical="center"/>
    </xf>
    <xf numFmtId="165" fontId="43" fillId="2" borderId="0" xfId="4" applyFont="1" applyFill="1" applyAlignment="1">
      <alignment vertical="center"/>
    </xf>
    <xf numFmtId="165" fontId="17" fillId="5" borderId="85" xfId="4" applyFont="1" applyFill="1" applyBorder="1" applyAlignment="1">
      <alignment horizontal="center" vertical="center"/>
    </xf>
    <xf numFmtId="165" fontId="17" fillId="5" borderId="86" xfId="4" applyFont="1" applyFill="1" applyBorder="1" applyAlignment="1">
      <alignment horizontal="center" vertical="center"/>
    </xf>
    <xf numFmtId="165" fontId="17" fillId="5" borderId="87" xfId="4" applyFont="1" applyFill="1" applyBorder="1" applyAlignment="1">
      <alignment horizontal="center" vertical="center"/>
    </xf>
    <xf numFmtId="165" fontId="0" fillId="2" borderId="62" xfId="4" applyFont="1" applyFill="1" applyBorder="1" applyAlignment="1">
      <alignment vertical="center"/>
    </xf>
    <xf numFmtId="3" fontId="16" fillId="2" borderId="58" xfId="4" applyNumberFormat="1" applyFill="1" applyBorder="1" applyAlignment="1">
      <alignment horizontal="center" vertical="center"/>
    </xf>
    <xf numFmtId="9" fontId="16" fillId="2" borderId="60" xfId="4" applyNumberFormat="1" applyFill="1" applyBorder="1" applyAlignment="1">
      <alignment horizontal="center" vertical="center"/>
    </xf>
    <xf numFmtId="9" fontId="16" fillId="2" borderId="61" xfId="4" applyNumberFormat="1" applyFill="1" applyBorder="1" applyAlignment="1">
      <alignment horizontal="left" vertical="center"/>
    </xf>
    <xf numFmtId="9" fontId="16" fillId="2" borderId="61" xfId="4" applyNumberFormat="1" applyFill="1" applyBorder="1" applyAlignment="1">
      <alignment horizontal="left" vertical="center" wrapText="1"/>
    </xf>
    <xf numFmtId="3" fontId="45" fillId="2" borderId="58" xfId="4" applyNumberFormat="1" applyFont="1" applyFill="1" applyBorder="1" applyAlignment="1">
      <alignment horizontal="center" vertical="center"/>
    </xf>
    <xf numFmtId="3" fontId="16" fillId="2" borderId="0" xfId="4" applyNumberFormat="1" applyFill="1" applyAlignment="1">
      <alignment vertical="center"/>
    </xf>
    <xf numFmtId="165" fontId="46" fillId="2" borderId="0" xfId="4" applyFont="1" applyFill="1" applyAlignment="1">
      <alignment vertical="center"/>
    </xf>
    <xf numFmtId="165" fontId="42" fillId="2" borderId="0" xfId="4" applyFont="1" applyFill="1" applyAlignment="1">
      <alignment vertical="center"/>
    </xf>
    <xf numFmtId="165" fontId="37" fillId="5" borderId="84" xfId="4" applyFont="1" applyFill="1" applyBorder="1" applyAlignment="1">
      <alignment horizontal="center" vertical="center"/>
    </xf>
    <xf numFmtId="3" fontId="17" fillId="5" borderId="85" xfId="4" applyNumberFormat="1" applyFont="1" applyFill="1" applyBorder="1" applyAlignment="1">
      <alignment horizontal="center" vertical="center"/>
    </xf>
    <xf numFmtId="165" fontId="17" fillId="5" borderId="85" xfId="4" applyFont="1" applyFill="1" applyBorder="1" applyAlignment="1">
      <alignment horizontal="center" vertical="center" wrapText="1"/>
    </xf>
    <xf numFmtId="9" fontId="16" fillId="2" borderId="89" xfId="4" applyNumberFormat="1" applyFill="1" applyBorder="1" applyAlignment="1">
      <alignment horizontal="center" vertical="center"/>
    </xf>
    <xf numFmtId="165" fontId="16" fillId="2" borderId="27" xfId="4" applyFill="1" applyBorder="1" applyAlignment="1">
      <alignment horizontal="center" vertical="center"/>
    </xf>
    <xf numFmtId="165" fontId="16" fillId="2" borderId="91" xfId="4" applyFill="1" applyBorder="1" applyAlignment="1">
      <alignment vertical="center" wrapText="1"/>
    </xf>
    <xf numFmtId="165" fontId="16" fillId="2" borderId="61" xfId="4" applyFill="1" applyBorder="1" applyAlignment="1">
      <alignment vertical="center" wrapText="1"/>
    </xf>
    <xf numFmtId="165" fontId="16" fillId="2" borderId="27" xfId="4" applyFill="1" applyBorder="1" applyAlignment="1">
      <alignment vertical="center"/>
    </xf>
    <xf numFmtId="0" fontId="16" fillId="2" borderId="0" xfId="4" applyNumberFormat="1" applyFill="1" applyAlignment="1">
      <alignment vertical="center"/>
    </xf>
    <xf numFmtId="165" fontId="16" fillId="2" borderId="0" xfId="4" applyFill="1" applyAlignment="1">
      <alignment horizontal="center" vertical="center"/>
    </xf>
    <xf numFmtId="0" fontId="48" fillId="2" borderId="0" xfId="5" applyFont="1" applyFill="1"/>
    <xf numFmtId="0" fontId="48" fillId="2" borderId="0" xfId="5" applyFont="1" applyFill="1" applyAlignment="1">
      <alignment wrapText="1"/>
    </xf>
    <xf numFmtId="0" fontId="48" fillId="2" borderId="0" xfId="5" applyFont="1" applyFill="1" applyAlignment="1">
      <alignment horizontal="center" vertical="center"/>
    </xf>
    <xf numFmtId="0" fontId="48" fillId="0" borderId="0" xfId="5" applyFont="1"/>
    <xf numFmtId="0" fontId="49" fillId="0" borderId="0" xfId="5" applyFont="1" applyAlignment="1">
      <alignment wrapText="1"/>
    </xf>
    <xf numFmtId="0" fontId="50" fillId="2" borderId="0" xfId="5" applyFont="1" applyFill="1" applyAlignment="1">
      <alignment vertical="center" wrapText="1"/>
    </xf>
    <xf numFmtId="0" fontId="51" fillId="0" borderId="0" xfId="5" applyFont="1"/>
    <xf numFmtId="0" fontId="48" fillId="0" borderId="0" xfId="5" applyFont="1" applyAlignment="1">
      <alignment wrapText="1"/>
    </xf>
    <xf numFmtId="0" fontId="48" fillId="0" borderId="0" xfId="5" applyFont="1" applyAlignment="1">
      <alignment horizontal="center" vertical="center"/>
    </xf>
    <xf numFmtId="0" fontId="52" fillId="0" borderId="0" xfId="5" applyFont="1" applyAlignment="1">
      <alignment horizontal="center" vertical="center" readingOrder="1"/>
    </xf>
    <xf numFmtId="3" fontId="44" fillId="2" borderId="58" xfId="4" applyNumberFormat="1" applyFont="1" applyFill="1" applyBorder="1" applyAlignment="1">
      <alignment horizontal="center" vertical="center"/>
    </xf>
    <xf numFmtId="9" fontId="0" fillId="2" borderId="61" xfId="4" applyNumberFormat="1" applyFont="1" applyFill="1" applyBorder="1" applyAlignment="1">
      <alignment horizontal="left" vertical="center"/>
    </xf>
    <xf numFmtId="0" fontId="20" fillId="6" borderId="48" xfId="0" applyFont="1" applyFill="1" applyBorder="1" applyAlignment="1" applyProtection="1">
      <alignment horizontal="center" vertical="center" wrapText="1"/>
    </xf>
    <xf numFmtId="0" fontId="17" fillId="0" borderId="0" xfId="0" applyFont="1"/>
    <xf numFmtId="165" fontId="65" fillId="2" borderId="90" xfId="4" applyFont="1" applyFill="1" applyBorder="1" applyAlignment="1">
      <alignment vertical="center" wrapText="1"/>
    </xf>
    <xf numFmtId="165" fontId="66" fillId="2" borderId="88" xfId="4" applyFont="1" applyFill="1" applyBorder="1" applyAlignment="1">
      <alignment vertical="center" wrapText="1"/>
    </xf>
    <xf numFmtId="165" fontId="66" fillId="2" borderId="103" xfId="4" applyFont="1" applyFill="1" applyBorder="1" applyAlignment="1">
      <alignment vertical="center" wrapText="1"/>
    </xf>
    <xf numFmtId="165" fontId="65" fillId="2" borderId="102" xfId="4" applyFont="1" applyFill="1" applyBorder="1" applyAlignment="1">
      <alignment vertical="center" wrapText="1"/>
    </xf>
    <xf numFmtId="9" fontId="16" fillId="2" borderId="58" xfId="4" applyNumberFormat="1" applyFill="1" applyBorder="1" applyAlignment="1">
      <alignment horizontal="center" vertical="center"/>
    </xf>
    <xf numFmtId="165" fontId="16" fillId="2" borderId="58" xfId="4" applyFill="1" applyBorder="1" applyAlignment="1">
      <alignment horizontal="center" vertical="center"/>
    </xf>
    <xf numFmtId="0" fontId="53" fillId="2" borderId="0" xfId="21" applyFont="1" applyFill="1" applyProtection="1">
      <protection locked="0"/>
    </xf>
    <xf numFmtId="3" fontId="53" fillId="2" borderId="0" xfId="21" applyNumberFormat="1" applyFont="1" applyFill="1" applyProtection="1">
      <protection locked="0"/>
    </xf>
    <xf numFmtId="3" fontId="53" fillId="2" borderId="45" xfId="21" applyNumberFormat="1" applyFont="1" applyFill="1" applyBorder="1" applyProtection="1">
      <protection locked="0"/>
    </xf>
    <xf numFmtId="3" fontId="53" fillId="2" borderId="47" xfId="21" applyNumberFormat="1" applyFont="1" applyFill="1" applyBorder="1" applyProtection="1">
      <protection locked="0"/>
    </xf>
    <xf numFmtId="0" fontId="53" fillId="2" borderId="0" xfId="21" applyFont="1" applyFill="1"/>
    <xf numFmtId="0" fontId="54" fillId="5" borderId="109" xfId="21" applyFont="1" applyFill="1" applyBorder="1" applyAlignment="1" applyProtection="1">
      <alignment horizontal="right" vertical="center"/>
      <protection locked="0"/>
    </xf>
    <xf numFmtId="15" fontId="55" fillId="5" borderId="109" xfId="21" applyNumberFormat="1" applyFont="1" applyFill="1" applyBorder="1" applyAlignment="1" applyProtection="1">
      <alignment horizontal="left" vertical="center"/>
      <protection locked="0"/>
    </xf>
    <xf numFmtId="0" fontId="53" fillId="5" borderId="110" xfId="21" applyFont="1" applyFill="1" applyBorder="1" applyProtection="1">
      <protection locked="0"/>
    </xf>
    <xf numFmtId="0" fontId="53" fillId="5" borderId="111" xfId="21" applyFont="1" applyFill="1" applyBorder="1" applyProtection="1">
      <protection locked="0"/>
    </xf>
    <xf numFmtId="0" fontId="54" fillId="8" borderId="111" xfId="21" applyFont="1" applyFill="1" applyBorder="1" applyAlignment="1" applyProtection="1">
      <alignment horizontal="center" vertical="center"/>
      <protection locked="0"/>
    </xf>
    <xf numFmtId="0" fontId="57" fillId="2" borderId="0" xfId="21" applyFont="1" applyFill="1" applyAlignment="1">
      <alignment horizontal="center" vertical="center"/>
    </xf>
    <xf numFmtId="0" fontId="58" fillId="4" borderId="49" xfId="21" applyFont="1" applyFill="1" applyBorder="1" applyAlignment="1">
      <alignment horizontal="center" vertical="center" wrapText="1"/>
    </xf>
    <xf numFmtId="0" fontId="58" fillId="4" borderId="50" xfId="21" applyFont="1" applyFill="1" applyBorder="1" applyAlignment="1">
      <alignment horizontal="center" vertical="center" wrapText="1"/>
    </xf>
    <xf numFmtId="0" fontId="58" fillId="4" borderId="51" xfId="21" applyFont="1" applyFill="1" applyBorder="1" applyAlignment="1">
      <alignment horizontal="center" vertical="center" wrapText="1"/>
    </xf>
    <xf numFmtId="0" fontId="58" fillId="4" borderId="52" xfId="21" applyFont="1" applyFill="1" applyBorder="1" applyAlignment="1">
      <alignment horizontal="center" vertical="center" wrapText="1"/>
    </xf>
    <xf numFmtId="10" fontId="58" fillId="4" borderId="50" xfId="21" applyNumberFormat="1" applyFont="1" applyFill="1" applyBorder="1" applyAlignment="1">
      <alignment horizontal="center" vertical="center" wrapText="1"/>
    </xf>
    <xf numFmtId="10" fontId="58" fillId="4" borderId="53" xfId="21" applyNumberFormat="1" applyFont="1" applyFill="1" applyBorder="1" applyAlignment="1">
      <alignment horizontal="center" vertical="center" wrapText="1"/>
    </xf>
    <xf numFmtId="3" fontId="58" fillId="4" borderId="54" xfId="21" applyNumberFormat="1" applyFont="1" applyFill="1" applyBorder="1" applyAlignment="1">
      <alignment horizontal="center" vertical="center" wrapText="1"/>
    </xf>
    <xf numFmtId="0" fontId="58" fillId="4" borderId="54" xfId="21" applyFont="1" applyFill="1" applyBorder="1" applyAlignment="1">
      <alignment horizontal="center" vertical="center" wrapText="1"/>
    </xf>
    <xf numFmtId="0" fontId="58" fillId="4" borderId="53" xfId="21" applyFont="1" applyFill="1" applyBorder="1" applyAlignment="1">
      <alignment horizontal="center" vertical="center" wrapText="1"/>
    </xf>
    <xf numFmtId="0" fontId="58" fillId="4" borderId="55" xfId="21" applyFont="1" applyFill="1" applyBorder="1" applyAlignment="1">
      <alignment horizontal="center" vertical="center" wrapText="1"/>
    </xf>
    <xf numFmtId="3" fontId="58" fillId="4" borderId="49" xfId="21" applyNumberFormat="1" applyFont="1" applyFill="1" applyBorder="1" applyAlignment="1">
      <alignment horizontal="center" vertical="center" wrapText="1"/>
    </xf>
    <xf numFmtId="3" fontId="58" fillId="4" borderId="55" xfId="21" applyNumberFormat="1" applyFont="1" applyFill="1" applyBorder="1" applyAlignment="1">
      <alignment horizontal="center" vertical="center" wrapText="1"/>
    </xf>
    <xf numFmtId="3" fontId="58" fillId="4" borderId="50" xfId="21" applyNumberFormat="1" applyFont="1" applyFill="1" applyBorder="1" applyAlignment="1">
      <alignment horizontal="center" vertical="center" wrapText="1"/>
    </xf>
    <xf numFmtId="3" fontId="58" fillId="4" borderId="51" xfId="21" applyNumberFormat="1" applyFont="1" applyFill="1" applyBorder="1" applyAlignment="1">
      <alignment horizontal="center" vertical="center" wrapText="1"/>
    </xf>
    <xf numFmtId="0" fontId="58" fillId="4" borderId="56" xfId="21" applyFont="1" applyFill="1" applyBorder="1" applyAlignment="1">
      <alignment horizontal="center" vertical="center" wrapText="1"/>
    </xf>
    <xf numFmtId="0" fontId="59" fillId="6" borderId="57" xfId="21" applyFont="1" applyFill="1" applyBorder="1" applyAlignment="1" applyProtection="1">
      <alignment horizontal="left" vertical="center" wrapText="1"/>
      <protection locked="0"/>
    </xf>
    <xf numFmtId="0" fontId="53" fillId="6" borderId="58" xfId="21" applyFont="1" applyFill="1" applyBorder="1" applyAlignment="1" applyProtection="1">
      <alignment horizontal="center" vertical="center" wrapText="1"/>
      <protection locked="0"/>
    </xf>
    <xf numFmtId="0" fontId="59" fillId="6" borderId="58" xfId="21" applyFont="1" applyFill="1" applyBorder="1" applyAlignment="1" applyProtection="1">
      <alignment horizontal="center" vertical="center" wrapText="1"/>
      <protection locked="0"/>
    </xf>
    <xf numFmtId="0" fontId="53" fillId="2" borderId="59" xfId="21" applyFont="1" applyFill="1" applyBorder="1" applyAlignment="1" applyProtection="1">
      <alignment horizontal="left" vertical="center" wrapText="1"/>
      <protection locked="0"/>
    </xf>
    <xf numFmtId="14" fontId="53" fillId="2" borderId="57" xfId="21" applyNumberFormat="1" applyFont="1" applyFill="1" applyBorder="1" applyAlignment="1">
      <alignment horizontal="center" vertical="center" wrapText="1"/>
    </xf>
    <xf numFmtId="14" fontId="53" fillId="2" borderId="58" xfId="21" applyNumberFormat="1" applyFont="1" applyFill="1" applyBorder="1" applyAlignment="1">
      <alignment horizontal="center" vertical="center" wrapText="1"/>
    </xf>
    <xf numFmtId="0" fontId="53" fillId="2" borderId="60" xfId="21" applyFont="1" applyFill="1" applyBorder="1" applyAlignment="1" applyProtection="1">
      <alignment horizontal="center" vertical="center" wrapText="1"/>
      <protection locked="0"/>
    </xf>
    <xf numFmtId="0" fontId="53" fillId="2" borderId="59" xfId="21" applyFont="1" applyFill="1" applyBorder="1" applyAlignment="1" applyProtection="1">
      <alignment horizontal="center" vertical="center" wrapText="1"/>
      <protection locked="0"/>
    </xf>
    <xf numFmtId="0" fontId="53" fillId="2" borderId="57" xfId="21" applyFont="1" applyFill="1" applyBorder="1" applyAlignment="1" applyProtection="1">
      <alignment horizontal="center" vertical="center" wrapText="1"/>
      <protection locked="0"/>
    </xf>
    <xf numFmtId="9" fontId="53" fillId="2" borderId="58" xfId="22" applyNumberFormat="1" applyFont="1" applyFill="1" applyBorder="1" applyAlignment="1">
      <alignment horizontal="center" vertical="center"/>
    </xf>
    <xf numFmtId="9" fontId="53" fillId="2" borderId="61" xfId="22" applyNumberFormat="1" applyFont="1" applyFill="1" applyBorder="1" applyAlignment="1">
      <alignment horizontal="center" vertical="center"/>
    </xf>
    <xf numFmtId="9" fontId="53" fillId="2" borderId="62" xfId="21" applyNumberFormat="1" applyFont="1" applyFill="1" applyBorder="1" applyAlignment="1" applyProtection="1">
      <alignment horizontal="center" vertical="center" wrapText="1"/>
      <protection locked="0"/>
    </xf>
    <xf numFmtId="9" fontId="53" fillId="2" borderId="61" xfId="21" applyNumberFormat="1" applyFont="1" applyFill="1" applyBorder="1" applyAlignment="1" applyProtection="1">
      <alignment horizontal="center" vertical="center" wrapText="1"/>
      <protection locked="0"/>
    </xf>
    <xf numFmtId="0" fontId="53" fillId="2" borderId="62" xfId="21" applyFont="1" applyFill="1" applyBorder="1" applyAlignment="1" applyProtection="1">
      <alignment horizontal="center" vertical="center" wrapText="1"/>
      <protection locked="0"/>
    </xf>
    <xf numFmtId="0" fontId="53" fillId="2" borderId="58" xfId="21" applyFont="1" applyFill="1" applyBorder="1" applyAlignment="1" applyProtection="1">
      <alignment horizontal="center" vertical="center" wrapText="1"/>
      <protection locked="0"/>
    </xf>
    <xf numFmtId="0" fontId="53" fillId="2" borderId="61" xfId="21" applyFont="1" applyFill="1" applyBorder="1" applyAlignment="1" applyProtection="1">
      <alignment horizontal="center" vertical="center" wrapText="1"/>
      <protection locked="0"/>
    </xf>
    <xf numFmtId="0" fontId="53" fillId="2" borderId="63" xfId="21" applyFont="1" applyFill="1" applyBorder="1" applyAlignment="1" applyProtection="1">
      <alignment horizontal="center" vertical="center" wrapText="1"/>
      <protection locked="0"/>
    </xf>
    <xf numFmtId="3" fontId="53" fillId="6" borderId="57" xfId="21" applyNumberFormat="1" applyFont="1" applyFill="1" applyBorder="1" applyAlignment="1" applyProtection="1">
      <alignment horizontal="center" vertical="center" wrapText="1"/>
      <protection locked="0"/>
    </xf>
    <xf numFmtId="3" fontId="53" fillId="6" borderId="63" xfId="21" applyNumberFormat="1" applyFont="1" applyFill="1" applyBorder="1" applyAlignment="1" applyProtection="1">
      <alignment horizontal="center" vertical="center" wrapText="1"/>
      <protection locked="0"/>
    </xf>
    <xf numFmtId="9" fontId="53" fillId="2" borderId="58" xfId="21" applyNumberFormat="1" applyFont="1" applyFill="1" applyBorder="1" applyAlignment="1" applyProtection="1">
      <alignment horizontal="center" vertical="center" wrapText="1"/>
      <protection locked="0"/>
    </xf>
    <xf numFmtId="9" fontId="53" fillId="2" borderId="59" xfId="21" applyNumberFormat="1" applyFont="1" applyFill="1" applyBorder="1" applyAlignment="1" applyProtection="1">
      <alignment horizontal="center" vertical="center" wrapText="1"/>
      <protection locked="0"/>
    </xf>
    <xf numFmtId="0" fontId="53" fillId="2" borderId="64" xfId="21" applyFont="1" applyFill="1" applyBorder="1" applyAlignment="1" applyProtection="1">
      <alignment horizontal="center" vertical="center" wrapText="1"/>
      <protection locked="0"/>
    </xf>
    <xf numFmtId="166" fontId="53" fillId="2" borderId="57" xfId="21" applyNumberFormat="1" applyFont="1" applyFill="1" applyBorder="1" applyAlignment="1" applyProtection="1">
      <alignment horizontal="center" vertical="center" wrapText="1"/>
      <protection locked="0"/>
    </xf>
    <xf numFmtId="166" fontId="53" fillId="2" borderId="58" xfId="21" applyNumberFormat="1" applyFont="1" applyFill="1" applyBorder="1" applyAlignment="1" applyProtection="1">
      <alignment horizontal="center" vertical="center" wrapText="1"/>
      <protection locked="0"/>
    </xf>
    <xf numFmtId="9" fontId="53" fillId="2" borderId="62" xfId="22" applyNumberFormat="1" applyFont="1" applyFill="1" applyBorder="1" applyAlignment="1">
      <alignment horizontal="center" vertical="center"/>
    </xf>
    <xf numFmtId="3" fontId="53" fillId="6" borderId="57" xfId="22" applyNumberFormat="1" applyFont="1" applyFill="1" applyBorder="1" applyAlignment="1">
      <alignment horizontal="center" vertical="center"/>
    </xf>
    <xf numFmtId="3" fontId="53" fillId="6" borderId="63" xfId="22" applyNumberFormat="1" applyFont="1" applyFill="1" applyBorder="1" applyAlignment="1">
      <alignment horizontal="center" vertical="center"/>
    </xf>
    <xf numFmtId="9" fontId="53" fillId="2" borderId="59" xfId="22" applyNumberFormat="1" applyFont="1" applyFill="1" applyBorder="1" applyAlignment="1">
      <alignment horizontal="center" vertical="center"/>
    </xf>
    <xf numFmtId="14" fontId="53" fillId="2" borderId="57" xfId="21" applyNumberFormat="1" applyFont="1" applyFill="1" applyBorder="1" applyAlignment="1" applyProtection="1">
      <alignment horizontal="center" vertical="center" wrapText="1"/>
      <protection locked="0"/>
    </xf>
    <xf numFmtId="14" fontId="53" fillId="2" borderId="58" xfId="21" applyNumberFormat="1" applyFont="1" applyFill="1" applyBorder="1" applyAlignment="1" applyProtection="1">
      <alignment horizontal="center" vertical="center" wrapText="1"/>
      <protection locked="0"/>
    </xf>
    <xf numFmtId="3" fontId="53" fillId="2" borderId="57" xfId="21" applyNumberFormat="1" applyFont="1" applyFill="1" applyBorder="1" applyAlignment="1" applyProtection="1">
      <alignment horizontal="center" vertical="center" wrapText="1"/>
      <protection locked="0"/>
    </xf>
    <xf numFmtId="3" fontId="53" fillId="2" borderId="62" xfId="21" applyNumberFormat="1" applyFont="1" applyFill="1" applyBorder="1" applyAlignment="1" applyProtection="1">
      <alignment horizontal="center" vertical="center" wrapText="1"/>
      <protection locked="0"/>
    </xf>
    <xf numFmtId="3" fontId="53" fillId="2" borderId="58" xfId="21" applyNumberFormat="1" applyFont="1" applyFill="1" applyBorder="1" applyAlignment="1" applyProtection="1">
      <alignment horizontal="center" vertical="center" wrapText="1"/>
      <protection locked="0"/>
    </xf>
    <xf numFmtId="3" fontId="53" fillId="2" borderId="61" xfId="21" applyNumberFormat="1" applyFont="1" applyFill="1" applyBorder="1" applyAlignment="1" applyProtection="1">
      <alignment horizontal="center" vertical="center" wrapText="1"/>
      <protection locked="0"/>
    </xf>
    <xf numFmtId="3" fontId="53" fillId="2" borderId="63" xfId="21" applyNumberFormat="1" applyFont="1" applyFill="1" applyBorder="1" applyAlignment="1" applyProtection="1">
      <alignment horizontal="center" vertical="center" wrapText="1"/>
      <protection locked="0"/>
    </xf>
    <xf numFmtId="3" fontId="53" fillId="2" borderId="60" xfId="21" applyNumberFormat="1" applyFont="1" applyFill="1" applyBorder="1" applyAlignment="1" applyProtection="1">
      <alignment horizontal="center" vertical="center" wrapText="1"/>
      <protection locked="0"/>
    </xf>
    <xf numFmtId="0" fontId="60" fillId="6" borderId="58" xfId="21" applyFont="1" applyFill="1" applyBorder="1" applyAlignment="1" applyProtection="1">
      <alignment horizontal="center" vertical="center" wrapText="1"/>
      <protection locked="0"/>
    </xf>
    <xf numFmtId="0" fontId="53" fillId="2" borderId="0" xfId="21" applyFont="1" applyFill="1" applyAlignment="1">
      <alignment wrapText="1"/>
    </xf>
    <xf numFmtId="9" fontId="53" fillId="2" borderId="58" xfId="23" applyNumberFormat="1" applyFont="1" applyFill="1" applyBorder="1" applyAlignment="1" applyProtection="1">
      <alignment horizontal="center" vertical="center" wrapText="1"/>
      <protection locked="0"/>
    </xf>
    <xf numFmtId="9" fontId="53" fillId="2" borderId="61" xfId="23" applyNumberFormat="1" applyFont="1" applyFill="1" applyBorder="1" applyAlignment="1" applyProtection="1">
      <alignment horizontal="center" vertical="center" wrapText="1"/>
      <protection locked="0"/>
    </xf>
    <xf numFmtId="9" fontId="53" fillId="2" borderId="46" xfId="21" applyNumberFormat="1" applyFont="1" applyFill="1" applyBorder="1" applyAlignment="1">
      <alignment horizontal="center" vertical="center" wrapText="1"/>
    </xf>
    <xf numFmtId="9" fontId="53" fillId="2" borderId="65" xfId="21" applyNumberFormat="1" applyFont="1" applyFill="1" applyBorder="1" applyAlignment="1">
      <alignment horizontal="center" vertical="center" wrapText="1"/>
    </xf>
    <xf numFmtId="9" fontId="53" fillId="2" borderId="60" xfId="22" applyNumberFormat="1" applyFont="1" applyFill="1" applyBorder="1" applyAlignment="1">
      <alignment horizontal="center" vertical="center"/>
    </xf>
    <xf numFmtId="0" fontId="53" fillId="2" borderId="66" xfId="21" applyFont="1" applyFill="1" applyBorder="1" applyAlignment="1" applyProtection="1">
      <alignment horizontal="center" vertical="center" wrapText="1"/>
      <protection locked="0"/>
    </xf>
    <xf numFmtId="9" fontId="53" fillId="2" borderId="60" xfId="21" applyNumberFormat="1" applyFont="1" applyFill="1" applyBorder="1" applyAlignment="1" applyProtection="1">
      <alignment horizontal="center" vertical="center" wrapText="1"/>
      <protection locked="0"/>
    </xf>
    <xf numFmtId="9" fontId="53" fillId="2" borderId="67" xfId="21" applyNumberFormat="1" applyFont="1" applyFill="1" applyBorder="1" applyAlignment="1" applyProtection="1">
      <alignment horizontal="center" vertical="center" wrapText="1"/>
      <protection locked="0"/>
    </xf>
    <xf numFmtId="0" fontId="53" fillId="2" borderId="66" xfId="21" applyFont="1" applyFill="1" applyBorder="1" applyAlignment="1" applyProtection="1">
      <alignment horizontal="left" vertical="center" wrapText="1"/>
      <protection locked="0"/>
    </xf>
    <xf numFmtId="1" fontId="53" fillId="2" borderId="63" xfId="21" applyNumberFormat="1" applyFont="1" applyFill="1" applyBorder="1" applyAlignment="1" applyProtection="1">
      <alignment horizontal="center" vertical="center" wrapText="1"/>
      <protection locked="0"/>
    </xf>
    <xf numFmtId="14" fontId="60" fillId="2" borderId="68" xfId="21" applyNumberFormat="1" applyFont="1" applyFill="1" applyBorder="1" applyAlignment="1" applyProtection="1">
      <alignment horizontal="center" vertical="center" wrapText="1"/>
      <protection locked="0"/>
    </xf>
    <xf numFmtId="14" fontId="60" fillId="2" borderId="69" xfId="21" applyNumberFormat="1" applyFont="1" applyFill="1" applyBorder="1" applyAlignment="1" applyProtection="1">
      <alignment horizontal="center" vertical="center" wrapText="1"/>
      <protection locked="0"/>
    </xf>
    <xf numFmtId="0" fontId="60" fillId="2" borderId="70" xfId="21" applyFont="1" applyFill="1" applyBorder="1" applyAlignment="1" applyProtection="1">
      <alignment horizontal="center" vertical="center" wrapText="1"/>
      <protection locked="0"/>
    </xf>
    <xf numFmtId="0" fontId="60" fillId="2" borderId="71" xfId="21" applyFont="1" applyFill="1" applyBorder="1" applyAlignment="1" applyProtection="1">
      <alignment horizontal="center" vertical="center" wrapText="1"/>
      <protection locked="0"/>
    </xf>
    <xf numFmtId="14" fontId="60" fillId="2" borderId="57" xfId="21" applyNumberFormat="1" applyFont="1" applyFill="1" applyBorder="1" applyAlignment="1" applyProtection="1">
      <alignment horizontal="center" vertical="center" wrapText="1"/>
      <protection locked="0"/>
    </xf>
    <xf numFmtId="14" fontId="60" fillId="2" borderId="58" xfId="21" applyNumberFormat="1" applyFont="1" applyFill="1" applyBorder="1" applyAlignment="1" applyProtection="1">
      <alignment horizontal="center" vertical="center" wrapText="1"/>
      <protection locked="0"/>
    </xf>
    <xf numFmtId="0" fontId="60" fillId="2" borderId="60" xfId="21" applyFont="1" applyFill="1" applyBorder="1" applyAlignment="1" applyProtection="1">
      <alignment horizontal="center" vertical="center" wrapText="1"/>
      <protection locked="0"/>
    </xf>
    <xf numFmtId="0" fontId="60" fillId="2" borderId="59" xfId="21" applyFont="1" applyFill="1" applyBorder="1" applyAlignment="1" applyProtection="1">
      <alignment horizontal="center" vertical="center" wrapText="1"/>
      <protection locked="0"/>
    </xf>
    <xf numFmtId="0" fontId="59" fillId="6" borderId="68" xfId="21" applyFont="1" applyFill="1" applyBorder="1" applyAlignment="1" applyProtection="1">
      <alignment horizontal="left" vertical="center" wrapText="1"/>
      <protection locked="0"/>
    </xf>
    <xf numFmtId="0" fontId="53" fillId="6" borderId="69" xfId="21" applyFont="1" applyFill="1" applyBorder="1" applyAlignment="1" applyProtection="1">
      <alignment horizontal="center" vertical="center" wrapText="1"/>
      <protection locked="0"/>
    </xf>
    <xf numFmtId="0" fontId="59" fillId="6" borderId="69" xfId="21" applyFont="1" applyFill="1" applyBorder="1" applyAlignment="1" applyProtection="1">
      <alignment horizontal="center" vertical="center" wrapText="1"/>
      <protection locked="0"/>
    </xf>
    <xf numFmtId="0" fontId="53" fillId="2" borderId="71" xfId="21" applyFont="1" applyFill="1" applyBorder="1" applyAlignment="1" applyProtection="1">
      <alignment horizontal="left" vertical="center" wrapText="1"/>
      <protection locked="0"/>
    </xf>
    <xf numFmtId="14" fontId="53" fillId="2" borderId="68" xfId="21" applyNumberFormat="1" applyFont="1" applyFill="1" applyBorder="1" applyAlignment="1" applyProtection="1">
      <alignment horizontal="center" vertical="center" wrapText="1"/>
      <protection locked="0"/>
    </xf>
    <xf numFmtId="14" fontId="53" fillId="2" borderId="69" xfId="21" applyNumberFormat="1" applyFont="1" applyFill="1" applyBorder="1" applyAlignment="1" applyProtection="1">
      <alignment horizontal="center" vertical="center" wrapText="1"/>
      <protection locked="0"/>
    </xf>
    <xf numFmtId="0" fontId="53" fillId="2" borderId="70" xfId="21" applyFont="1" applyFill="1" applyBorder="1" applyAlignment="1" applyProtection="1">
      <alignment horizontal="center" vertical="center" wrapText="1"/>
      <protection locked="0"/>
    </xf>
    <xf numFmtId="3" fontId="53" fillId="2" borderId="68" xfId="21" applyNumberFormat="1" applyFont="1" applyFill="1" applyBorder="1" applyAlignment="1" applyProtection="1">
      <alignment horizontal="center" vertical="center" wrapText="1"/>
      <protection locked="0"/>
    </xf>
    <xf numFmtId="9" fontId="53" fillId="2" borderId="69" xfId="21" applyNumberFormat="1" applyFont="1" applyFill="1" applyBorder="1" applyAlignment="1" applyProtection="1">
      <alignment horizontal="center" vertical="center" wrapText="1"/>
      <protection locked="0"/>
    </xf>
    <xf numFmtId="9" fontId="53" fillId="2" borderId="93" xfId="21" applyNumberFormat="1" applyFont="1" applyFill="1" applyBorder="1" applyAlignment="1" applyProtection="1">
      <alignment horizontal="center" vertical="center" wrapText="1"/>
      <protection locked="0"/>
    </xf>
    <xf numFmtId="9" fontId="53" fillId="2" borderId="94" xfId="21" applyNumberFormat="1" applyFont="1" applyFill="1" applyBorder="1" applyAlignment="1" applyProtection="1">
      <alignment horizontal="center" vertical="center" wrapText="1"/>
      <protection locked="0"/>
    </xf>
    <xf numFmtId="3" fontId="53" fillId="2" borderId="94" xfId="21" applyNumberFormat="1" applyFont="1" applyFill="1" applyBorder="1" applyAlignment="1" applyProtection="1">
      <alignment horizontal="center" vertical="center" wrapText="1"/>
      <protection locked="0"/>
    </xf>
    <xf numFmtId="3" fontId="53" fillId="2" borderId="69" xfId="21" applyNumberFormat="1" applyFont="1" applyFill="1" applyBorder="1" applyAlignment="1" applyProtection="1">
      <alignment horizontal="center" vertical="center" wrapText="1"/>
      <protection locked="0"/>
    </xf>
    <xf numFmtId="3" fontId="53" fillId="2" borderId="93" xfId="21" applyNumberFormat="1" applyFont="1" applyFill="1" applyBorder="1" applyAlignment="1" applyProtection="1">
      <alignment horizontal="center" vertical="center" wrapText="1"/>
      <protection locked="0"/>
    </xf>
    <xf numFmtId="3" fontId="53" fillId="2" borderId="95" xfId="21" applyNumberFormat="1" applyFont="1" applyFill="1" applyBorder="1" applyAlignment="1" applyProtection="1">
      <alignment horizontal="center" vertical="center" wrapText="1"/>
      <protection locked="0"/>
    </xf>
    <xf numFmtId="3" fontId="53" fillId="2" borderId="70" xfId="21" applyNumberFormat="1" applyFont="1" applyFill="1" applyBorder="1" applyAlignment="1" applyProtection="1">
      <alignment horizontal="center" vertical="center" wrapText="1"/>
      <protection locked="0"/>
    </xf>
    <xf numFmtId="3" fontId="53" fillId="6" borderId="68" xfId="21" applyNumberFormat="1" applyFont="1" applyFill="1" applyBorder="1" applyAlignment="1" applyProtection="1">
      <alignment horizontal="center" vertical="center" wrapText="1"/>
      <protection locked="0"/>
    </xf>
    <xf numFmtId="3" fontId="53" fillId="6" borderId="95" xfId="21" applyNumberFormat="1" applyFont="1" applyFill="1" applyBorder="1" applyAlignment="1" applyProtection="1">
      <alignment horizontal="center" vertical="center" wrapText="1"/>
      <protection locked="0"/>
    </xf>
    <xf numFmtId="9" fontId="53" fillId="2" borderId="70" xfId="21" applyNumberFormat="1" applyFont="1" applyFill="1" applyBorder="1" applyAlignment="1" applyProtection="1">
      <alignment horizontal="center" vertical="center" wrapText="1"/>
      <protection locked="0"/>
    </xf>
    <xf numFmtId="0" fontId="53" fillId="2" borderId="96" xfId="21" applyFont="1" applyFill="1" applyBorder="1" applyAlignment="1" applyProtection="1">
      <alignment horizontal="center" vertical="center" wrapText="1"/>
      <protection locked="0"/>
    </xf>
    <xf numFmtId="0" fontId="59" fillId="9" borderId="49" xfId="21" applyFont="1" applyFill="1" applyBorder="1" applyAlignment="1" applyProtection="1">
      <alignment horizontal="left" vertical="center" wrapText="1"/>
      <protection locked="0"/>
    </xf>
    <xf numFmtId="0" fontId="53" fillId="9" borderId="50" xfId="21" applyFont="1" applyFill="1" applyBorder="1" applyAlignment="1" applyProtection="1">
      <alignment horizontal="center" vertical="center" wrapText="1"/>
      <protection locked="0"/>
    </xf>
    <xf numFmtId="0" fontId="59" fillId="9" borderId="50" xfId="21" applyFont="1" applyFill="1" applyBorder="1" applyAlignment="1" applyProtection="1">
      <alignment horizontal="center" vertical="center" wrapText="1"/>
      <protection locked="0"/>
    </xf>
    <xf numFmtId="0" fontId="53" fillId="9" borderId="51" xfId="21" applyFont="1" applyFill="1" applyBorder="1" applyAlignment="1" applyProtection="1">
      <alignment horizontal="left" vertical="center" wrapText="1"/>
      <protection locked="0"/>
    </xf>
    <xf numFmtId="14" fontId="53" fillId="9" borderId="49" xfId="21" applyNumberFormat="1" applyFont="1" applyFill="1" applyBorder="1" applyAlignment="1" applyProtection="1">
      <alignment horizontal="center" vertical="center" wrapText="1"/>
      <protection locked="0"/>
    </xf>
    <xf numFmtId="14" fontId="53" fillId="9" borderId="50" xfId="21" applyNumberFormat="1" applyFont="1" applyFill="1" applyBorder="1" applyAlignment="1" applyProtection="1">
      <alignment horizontal="center" vertical="center" wrapText="1"/>
      <protection locked="0"/>
    </xf>
    <xf numFmtId="0" fontId="53" fillId="9" borderId="52" xfId="21" applyFont="1" applyFill="1" applyBorder="1" applyAlignment="1" applyProtection="1">
      <alignment horizontal="center" vertical="center" wrapText="1"/>
      <protection locked="0"/>
    </xf>
    <xf numFmtId="0" fontId="53" fillId="9" borderId="51" xfId="21" applyFont="1" applyFill="1" applyBorder="1" applyAlignment="1" applyProtection="1">
      <alignment horizontal="center" vertical="center" wrapText="1"/>
      <protection locked="0"/>
    </xf>
    <xf numFmtId="3" fontId="53" fillId="9" borderId="49" xfId="21" applyNumberFormat="1" applyFont="1" applyFill="1" applyBorder="1" applyAlignment="1" applyProtection="1">
      <alignment horizontal="center" vertical="center" wrapText="1"/>
      <protection locked="0"/>
    </xf>
    <xf numFmtId="9" fontId="53" fillId="9" borderId="50" xfId="21" applyNumberFormat="1" applyFont="1" applyFill="1" applyBorder="1" applyAlignment="1" applyProtection="1">
      <alignment horizontal="center" vertical="center" wrapText="1"/>
      <protection locked="0"/>
    </xf>
    <xf numFmtId="9" fontId="53" fillId="9" borderId="53" xfId="21" applyNumberFormat="1" applyFont="1" applyFill="1" applyBorder="1" applyAlignment="1" applyProtection="1">
      <alignment horizontal="center" vertical="center" wrapText="1"/>
      <protection locked="0"/>
    </xf>
    <xf numFmtId="9" fontId="53" fillId="9" borderId="54" xfId="21" applyNumberFormat="1" applyFont="1" applyFill="1" applyBorder="1" applyAlignment="1" applyProtection="1">
      <alignment horizontal="center" vertical="center" wrapText="1"/>
      <protection locked="0"/>
    </xf>
    <xf numFmtId="3" fontId="53" fillId="6" borderId="49" xfId="21" applyNumberFormat="1" applyFont="1" applyFill="1" applyBorder="1" applyAlignment="1" applyProtection="1">
      <alignment horizontal="center" vertical="center" wrapText="1"/>
      <protection locked="0"/>
    </xf>
    <xf numFmtId="3" fontId="53" fillId="6" borderId="55" xfId="21" applyNumberFormat="1" applyFont="1" applyFill="1" applyBorder="1" applyAlignment="1" applyProtection="1">
      <alignment horizontal="center" vertical="center" wrapText="1"/>
      <protection locked="0"/>
    </xf>
    <xf numFmtId="9" fontId="53" fillId="9" borderId="52" xfId="21" applyNumberFormat="1" applyFont="1" applyFill="1" applyBorder="1" applyAlignment="1" applyProtection="1">
      <alignment horizontal="center" vertical="center" wrapText="1"/>
      <protection locked="0"/>
    </xf>
    <xf numFmtId="0" fontId="53" fillId="9" borderId="97" xfId="21" applyFont="1" applyFill="1" applyBorder="1" applyAlignment="1" applyProtection="1">
      <alignment horizontal="center" vertical="center" wrapText="1"/>
      <protection locked="0"/>
    </xf>
    <xf numFmtId="0" fontId="59" fillId="9" borderId="57" xfId="21" applyFont="1" applyFill="1" applyBorder="1" applyAlignment="1" applyProtection="1">
      <alignment horizontal="left" vertical="center" wrapText="1"/>
      <protection locked="0"/>
    </xf>
    <xf numFmtId="0" fontId="53" fillId="9" borderId="58" xfId="21" applyFont="1" applyFill="1" applyBorder="1" applyAlignment="1" applyProtection="1">
      <alignment horizontal="center" vertical="center" wrapText="1"/>
      <protection locked="0"/>
    </xf>
    <xf numFmtId="0" fontId="59" fillId="9" borderId="58" xfId="21" applyFont="1" applyFill="1" applyBorder="1" applyAlignment="1" applyProtection="1">
      <alignment horizontal="center" vertical="center" wrapText="1"/>
      <protection locked="0"/>
    </xf>
    <xf numFmtId="0" fontId="53" fillId="9" borderId="59" xfId="21" applyFont="1" applyFill="1" applyBorder="1" applyAlignment="1" applyProtection="1">
      <alignment horizontal="left" vertical="center" wrapText="1"/>
      <protection locked="0"/>
    </xf>
    <xf numFmtId="14" fontId="53" fillId="9" borderId="57" xfId="21" applyNumberFormat="1" applyFont="1" applyFill="1" applyBorder="1" applyAlignment="1" applyProtection="1">
      <alignment horizontal="center" vertical="center" wrapText="1"/>
      <protection locked="0"/>
    </xf>
    <xf numFmtId="14" fontId="53" fillId="9" borderId="58" xfId="21" applyNumberFormat="1" applyFont="1" applyFill="1" applyBorder="1" applyAlignment="1" applyProtection="1">
      <alignment horizontal="center" vertical="center" wrapText="1"/>
      <protection locked="0"/>
    </xf>
    <xf numFmtId="0" fontId="53" fillId="9" borderId="60" xfId="21" applyFont="1" applyFill="1" applyBorder="1" applyAlignment="1" applyProtection="1">
      <alignment horizontal="center" vertical="center" wrapText="1"/>
      <protection locked="0"/>
    </xf>
    <xf numFmtId="0" fontId="53" fillId="9" borderId="59" xfId="21" applyFont="1" applyFill="1" applyBorder="1" applyAlignment="1" applyProtection="1">
      <alignment horizontal="center" vertical="center" wrapText="1"/>
      <protection locked="0"/>
    </xf>
    <xf numFmtId="3" fontId="53" fillId="9" borderId="57" xfId="21" applyNumberFormat="1" applyFont="1" applyFill="1" applyBorder="1" applyAlignment="1" applyProtection="1">
      <alignment horizontal="center" vertical="center" wrapText="1"/>
      <protection locked="0"/>
    </xf>
    <xf numFmtId="9" fontId="53" fillId="9" borderId="58" xfId="21" applyNumberFormat="1" applyFont="1" applyFill="1" applyBorder="1" applyAlignment="1" applyProtection="1">
      <alignment horizontal="center" vertical="center" wrapText="1"/>
      <protection locked="0"/>
    </xf>
    <xf numFmtId="9" fontId="53" fillId="9" borderId="61" xfId="21" applyNumberFormat="1" applyFont="1" applyFill="1" applyBorder="1" applyAlignment="1" applyProtection="1">
      <alignment horizontal="center" vertical="center" wrapText="1"/>
      <protection locked="0"/>
    </xf>
    <xf numFmtId="9" fontId="53" fillId="9" borderId="62" xfId="21" applyNumberFormat="1" applyFont="1" applyFill="1" applyBorder="1" applyAlignment="1" applyProtection="1">
      <alignment horizontal="center" vertical="center" wrapText="1"/>
      <protection locked="0"/>
    </xf>
    <xf numFmtId="3" fontId="53" fillId="9" borderId="62" xfId="21" applyNumberFormat="1" applyFont="1" applyFill="1" applyBorder="1" applyAlignment="1" applyProtection="1">
      <alignment horizontal="center" vertical="center" wrapText="1"/>
      <protection locked="0"/>
    </xf>
    <xf numFmtId="3" fontId="53" fillId="9" borderId="58" xfId="21" applyNumberFormat="1" applyFont="1" applyFill="1" applyBorder="1" applyAlignment="1" applyProtection="1">
      <alignment horizontal="center" vertical="center" wrapText="1"/>
      <protection locked="0"/>
    </xf>
    <xf numFmtId="3" fontId="53" fillId="9" borderId="61" xfId="21" applyNumberFormat="1" applyFont="1" applyFill="1" applyBorder="1" applyAlignment="1" applyProtection="1">
      <alignment horizontal="center" vertical="center" wrapText="1"/>
      <protection locked="0"/>
    </xf>
    <xf numFmtId="9" fontId="53" fillId="9" borderId="60" xfId="21" applyNumberFormat="1" applyFont="1" applyFill="1" applyBorder="1" applyAlignment="1" applyProtection="1">
      <alignment horizontal="center" vertical="center" wrapText="1"/>
      <protection locked="0"/>
    </xf>
    <xf numFmtId="0" fontId="53" fillId="9" borderId="66" xfId="21" applyFont="1" applyFill="1" applyBorder="1" applyAlignment="1" applyProtection="1">
      <alignment horizontal="center" vertical="center" wrapText="1"/>
      <protection locked="0"/>
    </xf>
    <xf numFmtId="0" fontId="53" fillId="9" borderId="57" xfId="21" applyFont="1" applyFill="1" applyBorder="1" applyAlignment="1" applyProtection="1">
      <alignment horizontal="center" vertical="center" wrapText="1"/>
      <protection locked="0"/>
    </xf>
    <xf numFmtId="0" fontId="59" fillId="9" borderId="98" xfId="21" applyFont="1" applyFill="1" applyBorder="1" applyAlignment="1" applyProtection="1">
      <alignment horizontal="left" vertical="center" wrapText="1"/>
      <protection locked="0"/>
    </xf>
    <xf numFmtId="0" fontId="53" fillId="9" borderId="99" xfId="21" applyFont="1" applyFill="1" applyBorder="1" applyAlignment="1" applyProtection="1">
      <alignment horizontal="center" vertical="center" wrapText="1"/>
      <protection locked="0"/>
    </xf>
    <xf numFmtId="0" fontId="59" fillId="9" borderId="99" xfId="21" applyFont="1" applyFill="1" applyBorder="1" applyAlignment="1" applyProtection="1">
      <alignment horizontal="center" vertical="center" wrapText="1"/>
      <protection locked="0"/>
    </xf>
    <xf numFmtId="14" fontId="53" fillId="9" borderId="98" xfId="21" applyNumberFormat="1" applyFont="1" applyFill="1" applyBorder="1" applyAlignment="1" applyProtection="1">
      <alignment horizontal="center" vertical="center" wrapText="1"/>
      <protection locked="0"/>
    </xf>
    <xf numFmtId="14" fontId="53" fillId="9" borderId="99" xfId="21" applyNumberFormat="1" applyFont="1" applyFill="1" applyBorder="1" applyAlignment="1" applyProtection="1">
      <alignment horizontal="center" vertical="center" wrapText="1"/>
      <protection locked="0"/>
    </xf>
    <xf numFmtId="0" fontId="53" fillId="9" borderId="101" xfId="21" applyFont="1" applyFill="1" applyBorder="1" applyAlignment="1" applyProtection="1">
      <alignment horizontal="center" vertical="center" wrapText="1"/>
      <protection locked="0"/>
    </xf>
    <xf numFmtId="0" fontId="53" fillId="9" borderId="100" xfId="21" applyFont="1" applyFill="1" applyBorder="1" applyAlignment="1" applyProtection="1">
      <alignment horizontal="center" vertical="center" wrapText="1"/>
      <protection locked="0"/>
    </xf>
    <xf numFmtId="0" fontId="53" fillId="9" borderId="98" xfId="21" applyFont="1" applyFill="1" applyBorder="1" applyAlignment="1" applyProtection="1">
      <alignment horizontal="center" vertical="center" wrapText="1"/>
      <protection locked="0"/>
    </xf>
    <xf numFmtId="9" fontId="53" fillId="9" borderId="99" xfId="21" applyNumberFormat="1" applyFont="1" applyFill="1" applyBorder="1" applyAlignment="1" applyProtection="1">
      <alignment horizontal="center" vertical="center" wrapText="1"/>
      <protection locked="0"/>
    </xf>
    <xf numFmtId="9" fontId="53" fillId="9" borderId="102" xfId="21" applyNumberFormat="1" applyFont="1" applyFill="1" applyBorder="1" applyAlignment="1" applyProtection="1">
      <alignment horizontal="center" vertical="center" wrapText="1"/>
      <protection locked="0"/>
    </xf>
    <xf numFmtId="9" fontId="53" fillId="9" borderId="103" xfId="21" applyNumberFormat="1" applyFont="1" applyFill="1" applyBorder="1" applyAlignment="1" applyProtection="1">
      <alignment horizontal="center" vertical="center" wrapText="1"/>
      <protection locked="0"/>
    </xf>
    <xf numFmtId="3" fontId="53" fillId="6" borderId="98" xfId="21" applyNumberFormat="1" applyFont="1" applyFill="1" applyBorder="1" applyAlignment="1" applyProtection="1">
      <alignment horizontal="center" vertical="center" wrapText="1"/>
      <protection locked="0"/>
    </xf>
    <xf numFmtId="3" fontId="53" fillId="6" borderId="104" xfId="21" applyNumberFormat="1" applyFont="1" applyFill="1" applyBorder="1" applyAlignment="1" applyProtection="1">
      <alignment horizontal="center" vertical="center" wrapText="1"/>
      <protection locked="0"/>
    </xf>
    <xf numFmtId="9" fontId="53" fillId="9" borderId="101" xfId="21" applyNumberFormat="1" applyFont="1" applyFill="1" applyBorder="1" applyAlignment="1" applyProtection="1">
      <alignment horizontal="center" vertical="center" wrapText="1"/>
      <protection locked="0"/>
    </xf>
    <xf numFmtId="0" fontId="53" fillId="9" borderId="105" xfId="21" applyFont="1" applyFill="1" applyBorder="1" applyAlignment="1" applyProtection="1">
      <alignment horizontal="center" vertical="center" wrapText="1"/>
      <protection locked="0"/>
    </xf>
    <xf numFmtId="0" fontId="53" fillId="9" borderId="61" xfId="21" applyFont="1" applyFill="1" applyBorder="1" applyAlignment="1" applyProtection="1">
      <alignment horizontal="center" vertical="center" wrapText="1"/>
      <protection locked="0"/>
    </xf>
    <xf numFmtId="3" fontId="53" fillId="6" borderId="58" xfId="21" applyNumberFormat="1" applyFont="1" applyFill="1" applyBorder="1" applyAlignment="1" applyProtection="1">
      <alignment horizontal="center" vertical="center" wrapText="1"/>
      <protection locked="0"/>
    </xf>
    <xf numFmtId="0" fontId="59" fillId="9" borderId="72" xfId="21" applyFont="1" applyFill="1" applyBorder="1" applyAlignment="1" applyProtection="1">
      <alignment horizontal="left" vertical="center" wrapText="1"/>
      <protection locked="0"/>
    </xf>
    <xf numFmtId="0" fontId="53" fillId="9" borderId="46" xfId="21" applyFont="1" applyFill="1" applyBorder="1" applyAlignment="1" applyProtection="1">
      <alignment horizontal="center" vertical="center" wrapText="1"/>
      <protection locked="0"/>
    </xf>
    <xf numFmtId="0" fontId="59" fillId="9" borderId="46" xfId="21" applyFont="1" applyFill="1" applyBorder="1" applyAlignment="1" applyProtection="1">
      <alignment horizontal="center" vertical="center" wrapText="1"/>
      <protection locked="0"/>
    </xf>
    <xf numFmtId="14" fontId="53" fillId="9" borderId="72" xfId="21" applyNumberFormat="1" applyFont="1" applyFill="1" applyBorder="1" applyAlignment="1" applyProtection="1">
      <alignment horizontal="center" vertical="center" wrapText="1"/>
      <protection locked="0"/>
    </xf>
    <xf numFmtId="14" fontId="53" fillId="9" borderId="46" xfId="21" applyNumberFormat="1" applyFont="1" applyFill="1" applyBorder="1" applyAlignment="1" applyProtection="1">
      <alignment horizontal="center" vertical="center" wrapText="1"/>
      <protection locked="0"/>
    </xf>
    <xf numFmtId="0" fontId="53" fillId="9" borderId="47" xfId="21" applyFont="1" applyFill="1" applyBorder="1" applyAlignment="1" applyProtection="1">
      <alignment horizontal="center" vertical="center" wrapText="1"/>
      <protection locked="0"/>
    </xf>
    <xf numFmtId="0" fontId="53" fillId="9" borderId="73" xfId="21" applyFont="1" applyFill="1" applyBorder="1" applyAlignment="1" applyProtection="1">
      <alignment horizontal="center" vertical="center" wrapText="1"/>
      <protection locked="0"/>
    </xf>
    <xf numFmtId="3" fontId="53" fillId="9" borderId="72" xfId="21" applyNumberFormat="1" applyFont="1" applyFill="1" applyBorder="1" applyAlignment="1" applyProtection="1">
      <alignment horizontal="center" vertical="center" wrapText="1"/>
      <protection locked="0"/>
    </xf>
    <xf numFmtId="9" fontId="53" fillId="9" borderId="46" xfId="21" applyNumberFormat="1" applyFont="1" applyFill="1" applyBorder="1" applyAlignment="1" applyProtection="1">
      <alignment horizontal="center" vertical="center" wrapText="1"/>
      <protection locked="0"/>
    </xf>
    <xf numFmtId="9" fontId="53" fillId="9" borderId="65" xfId="21" applyNumberFormat="1" applyFont="1" applyFill="1" applyBorder="1" applyAlignment="1" applyProtection="1">
      <alignment horizontal="center" vertical="center" wrapText="1"/>
      <protection locked="0"/>
    </xf>
    <xf numFmtId="9" fontId="53" fillId="9" borderId="74" xfId="21" applyNumberFormat="1" applyFont="1" applyFill="1" applyBorder="1" applyAlignment="1" applyProtection="1">
      <alignment horizontal="center" vertical="center" wrapText="1"/>
      <protection locked="0"/>
    </xf>
    <xf numFmtId="9" fontId="53" fillId="9" borderId="47" xfId="21" applyNumberFormat="1" applyFont="1" applyFill="1" applyBorder="1" applyAlignment="1" applyProtection="1">
      <alignment horizontal="center" vertical="center" wrapText="1"/>
      <protection locked="0"/>
    </xf>
    <xf numFmtId="0" fontId="53" fillId="9" borderId="75" xfId="21" applyFont="1" applyFill="1" applyBorder="1" applyAlignment="1" applyProtection="1">
      <alignment horizontal="center" vertical="center" wrapText="1"/>
      <protection locked="0"/>
    </xf>
    <xf numFmtId="0" fontId="59" fillId="9" borderId="76" xfId="21" applyFont="1" applyFill="1" applyBorder="1" applyAlignment="1" applyProtection="1">
      <alignment horizontal="left" vertical="center" wrapText="1"/>
      <protection locked="0"/>
    </xf>
    <xf numFmtId="0" fontId="53" fillId="9" borderId="77" xfId="21" applyFont="1" applyFill="1" applyBorder="1" applyAlignment="1" applyProtection="1">
      <alignment horizontal="center" vertical="center" wrapText="1"/>
      <protection locked="0"/>
    </xf>
    <xf numFmtId="0" fontId="59" fillId="9" borderId="77" xfId="21" applyFont="1" applyFill="1" applyBorder="1" applyAlignment="1" applyProtection="1">
      <alignment horizontal="center" vertical="center" wrapText="1"/>
      <protection locked="0"/>
    </xf>
    <xf numFmtId="14" fontId="53" fillId="9" borderId="76" xfId="21" applyNumberFormat="1" applyFont="1" applyFill="1" applyBorder="1" applyAlignment="1" applyProtection="1">
      <alignment horizontal="center" vertical="center" wrapText="1"/>
      <protection locked="0"/>
    </xf>
    <xf numFmtId="14" fontId="53" fillId="9" borderId="77" xfId="21" applyNumberFormat="1" applyFont="1" applyFill="1" applyBorder="1" applyAlignment="1" applyProtection="1">
      <alignment horizontal="center" vertical="center" wrapText="1"/>
      <protection locked="0"/>
    </xf>
    <xf numFmtId="0" fontId="53" fillId="9" borderId="79" xfId="21" applyFont="1" applyFill="1" applyBorder="1" applyAlignment="1" applyProtection="1">
      <alignment horizontal="center" vertical="center" wrapText="1"/>
      <protection locked="0"/>
    </xf>
    <xf numFmtId="0" fontId="53" fillId="9" borderId="78" xfId="21" applyFont="1" applyFill="1" applyBorder="1" applyAlignment="1" applyProtection="1">
      <alignment horizontal="center" vertical="center" wrapText="1"/>
      <protection locked="0"/>
    </xf>
    <xf numFmtId="3" fontId="53" fillId="9" borderId="76" xfId="21" applyNumberFormat="1" applyFont="1" applyFill="1" applyBorder="1" applyAlignment="1" applyProtection="1">
      <alignment horizontal="center" vertical="center" wrapText="1"/>
      <protection locked="0"/>
    </xf>
    <xf numFmtId="9" fontId="53" fillId="9" borderId="77" xfId="21" applyNumberFormat="1" applyFont="1" applyFill="1" applyBorder="1" applyAlignment="1" applyProtection="1">
      <alignment horizontal="center" vertical="center" wrapText="1"/>
      <protection locked="0"/>
    </xf>
    <xf numFmtId="9" fontId="53" fillId="9" borderId="80" xfId="21" applyNumberFormat="1" applyFont="1" applyFill="1" applyBorder="1" applyAlignment="1" applyProtection="1">
      <alignment horizontal="center" vertical="center" wrapText="1"/>
      <protection locked="0"/>
    </xf>
    <xf numFmtId="9" fontId="53" fillId="9" borderId="81" xfId="21" applyNumberFormat="1" applyFont="1" applyFill="1" applyBorder="1" applyAlignment="1" applyProtection="1">
      <alignment horizontal="center" vertical="center" wrapText="1"/>
      <protection locked="0"/>
    </xf>
    <xf numFmtId="3" fontId="53" fillId="9" borderId="81" xfId="21" applyNumberFormat="1" applyFont="1" applyFill="1" applyBorder="1" applyAlignment="1" applyProtection="1">
      <alignment horizontal="center" vertical="center" wrapText="1"/>
      <protection locked="0"/>
    </xf>
    <xf numFmtId="9" fontId="53" fillId="9" borderId="79" xfId="21" applyNumberFormat="1" applyFont="1" applyFill="1" applyBorder="1" applyAlignment="1" applyProtection="1">
      <alignment horizontal="center" vertical="center" wrapText="1"/>
      <protection locked="0"/>
    </xf>
    <xf numFmtId="0" fontId="53" fillId="9" borderId="83" xfId="21" applyFont="1" applyFill="1" applyBorder="1" applyAlignment="1" applyProtection="1">
      <alignment horizontal="center" vertical="center" wrapText="1"/>
      <protection locked="0"/>
    </xf>
    <xf numFmtId="0" fontId="53" fillId="2" borderId="0" xfId="21" applyFont="1" applyFill="1" applyBorder="1" applyAlignment="1" applyProtection="1">
      <alignment horizontal="center" vertical="center" wrapText="1"/>
      <protection locked="0"/>
    </xf>
    <xf numFmtId="3" fontId="53" fillId="2" borderId="0" xfId="21" applyNumberFormat="1" applyFont="1" applyFill="1" applyBorder="1" applyAlignment="1" applyProtection="1">
      <alignment horizontal="center" vertical="center" wrapText="1"/>
      <protection locked="0"/>
    </xf>
    <xf numFmtId="3" fontId="53" fillId="2" borderId="45" xfId="21" applyNumberFormat="1" applyFont="1" applyFill="1" applyBorder="1" applyAlignment="1" applyProtection="1">
      <alignment horizontal="center" vertical="center" wrapText="1"/>
      <protection locked="0"/>
    </xf>
    <xf numFmtId="3" fontId="53" fillId="2" borderId="47" xfId="21" applyNumberFormat="1" applyFont="1" applyFill="1" applyBorder="1" applyAlignment="1" applyProtection="1">
      <alignment horizontal="center" vertical="center" wrapText="1"/>
      <protection locked="0"/>
    </xf>
    <xf numFmtId="0" fontId="53" fillId="2" borderId="0" xfId="21" applyFont="1" applyFill="1" applyBorder="1"/>
    <xf numFmtId="9" fontId="53" fillId="2" borderId="0" xfId="23" applyFont="1" applyFill="1" applyBorder="1" applyAlignment="1" applyProtection="1">
      <alignment horizontal="center" vertical="center" wrapText="1"/>
      <protection locked="0"/>
    </xf>
    <xf numFmtId="0" fontId="53" fillId="2" borderId="0" xfId="21" applyFont="1" applyFill="1" applyBorder="1" applyAlignment="1" applyProtection="1">
      <alignment horizontal="left" vertical="center"/>
      <protection locked="0"/>
    </xf>
    <xf numFmtId="0" fontId="61" fillId="2" borderId="0" xfId="21" applyFont="1" applyFill="1" applyBorder="1" applyAlignment="1" applyProtection="1">
      <alignment horizontal="center" vertical="center" wrapText="1"/>
      <protection locked="0"/>
    </xf>
    <xf numFmtId="3" fontId="61" fillId="2" borderId="0" xfId="21" applyNumberFormat="1" applyFont="1" applyFill="1" applyBorder="1" applyAlignment="1" applyProtection="1">
      <alignment horizontal="center" vertical="center" wrapText="1"/>
      <protection locked="0"/>
    </xf>
    <xf numFmtId="3" fontId="61" fillId="2" borderId="45" xfId="21" applyNumberFormat="1" applyFont="1" applyFill="1" applyBorder="1" applyAlignment="1" applyProtection="1">
      <alignment horizontal="center" vertical="center" wrapText="1"/>
      <protection locked="0"/>
    </xf>
    <xf numFmtId="3" fontId="61" fillId="2" borderId="47" xfId="21" applyNumberFormat="1" applyFont="1" applyFill="1" applyBorder="1" applyAlignment="1" applyProtection="1">
      <alignment horizontal="center" vertical="center" wrapText="1"/>
      <protection locked="0"/>
    </xf>
    <xf numFmtId="0" fontId="53" fillId="2" borderId="0" xfId="21" applyFont="1" applyFill="1" applyBorder="1" applyProtection="1">
      <protection locked="0"/>
    </xf>
    <xf numFmtId="3" fontId="53" fillId="2" borderId="0" xfId="21" applyNumberFormat="1" applyFont="1" applyFill="1" applyBorder="1" applyProtection="1">
      <protection locked="0"/>
    </xf>
    <xf numFmtId="3" fontId="58" fillId="4" borderId="52" xfId="21" applyNumberFormat="1" applyFont="1" applyFill="1" applyBorder="1" applyAlignment="1">
      <alignment horizontal="center" vertical="center" wrapText="1"/>
    </xf>
    <xf numFmtId="3" fontId="53" fillId="9" borderId="77" xfId="21" applyNumberFormat="1" applyFont="1" applyFill="1" applyBorder="1" applyAlignment="1" applyProtection="1">
      <alignment horizontal="center" vertical="center" wrapText="1"/>
      <protection locked="0"/>
    </xf>
    <xf numFmtId="3" fontId="53" fillId="9" borderId="80" xfId="21" applyNumberFormat="1" applyFont="1" applyFill="1" applyBorder="1" applyAlignment="1" applyProtection="1">
      <alignment horizontal="center" vertical="center" wrapText="1"/>
      <protection locked="0"/>
    </xf>
    <xf numFmtId="0" fontId="5" fillId="2" borderId="0" xfId="20" applyFill="1"/>
    <xf numFmtId="0" fontId="0" fillId="0" borderId="36" xfId="0" applyBorder="1"/>
    <xf numFmtId="0" fontId="0" fillId="0" borderId="37" xfId="0" applyBorder="1" applyAlignment="1">
      <alignment horizontal="center" vertical="center"/>
    </xf>
    <xf numFmtId="0" fontId="5" fillId="0" borderId="0" xfId="20"/>
    <xf numFmtId="0" fontId="0" fillId="0" borderId="37" xfId="0" applyBorder="1"/>
    <xf numFmtId="0" fontId="0" fillId="0" borderId="31" xfId="0" applyBorder="1"/>
    <xf numFmtId="3" fontId="0" fillId="0" borderId="37" xfId="0" applyNumberFormat="1" applyBorder="1" applyAlignment="1">
      <alignment horizontal="right" vertical="center"/>
    </xf>
    <xf numFmtId="0" fontId="0" fillId="0" borderId="35" xfId="0" applyBorder="1"/>
    <xf numFmtId="3" fontId="0" fillId="0" borderId="38" xfId="0" applyNumberFormat="1" applyBorder="1" applyAlignment="1">
      <alignment horizontal="right" vertical="center"/>
    </xf>
    <xf numFmtId="0" fontId="0" fillId="0" borderId="39" xfId="0" applyBorder="1" applyAlignment="1">
      <alignment wrapText="1"/>
    </xf>
    <xf numFmtId="3" fontId="0" fillId="0" borderId="36" xfId="0" applyNumberFormat="1" applyBorder="1" applyAlignment="1">
      <alignment horizontal="right" vertical="center"/>
    </xf>
    <xf numFmtId="0" fontId="0" fillId="0" borderId="36" xfId="0" pivotButton="1" applyBorder="1"/>
    <xf numFmtId="0" fontId="0" fillId="0" borderId="31" xfId="0" pivotButton="1" applyBorder="1" applyAlignment="1">
      <alignment wrapText="1"/>
    </xf>
    <xf numFmtId="0" fontId="0" fillId="0" borderId="0" xfId="0" applyBorder="1" applyAlignment="1">
      <alignment wrapText="1"/>
    </xf>
    <xf numFmtId="3" fontId="0" fillId="0" borderId="0" xfId="0" applyNumberFormat="1" applyBorder="1" applyAlignment="1">
      <alignment horizontal="right" vertical="center"/>
    </xf>
    <xf numFmtId="9" fontId="66" fillId="2" borderId="99" xfId="4" applyNumberFormat="1" applyFont="1" applyFill="1" applyBorder="1" applyAlignment="1">
      <alignment horizontal="center" vertical="center"/>
    </xf>
    <xf numFmtId="165" fontId="66" fillId="2" borderId="99" xfId="4" applyFont="1" applyFill="1" applyBorder="1" applyAlignment="1">
      <alignment horizontal="center" vertical="center"/>
    </xf>
    <xf numFmtId="9" fontId="66" fillId="2" borderId="89" xfId="4" applyNumberFormat="1" applyFont="1" applyFill="1" applyBorder="1" applyAlignment="1">
      <alignment horizontal="center" vertical="center"/>
    </xf>
    <xf numFmtId="165" fontId="66" fillId="2" borderId="89" xfId="4" applyFont="1" applyFill="1" applyBorder="1" applyAlignment="1">
      <alignment horizontal="center" vertical="center"/>
    </xf>
    <xf numFmtId="0" fontId="27" fillId="5" borderId="28" xfId="0" applyFont="1" applyFill="1" applyBorder="1" applyAlignment="1">
      <alignment horizontal="left" vertical="center"/>
    </xf>
    <xf numFmtId="9" fontId="0" fillId="0" borderId="0" xfId="0" applyNumberFormat="1" applyAlignment="1">
      <alignment horizontal="center"/>
    </xf>
    <xf numFmtId="3" fontId="0" fillId="0" borderId="0" xfId="0" applyNumberFormat="1" applyAlignment="1">
      <alignment horizontal="center"/>
    </xf>
    <xf numFmtId="0" fontId="0" fillId="0" borderId="0" xfId="0" applyAlignment="1">
      <alignment horizontal="right"/>
    </xf>
    <xf numFmtId="0" fontId="22" fillId="3" borderId="110" xfId="0" applyFont="1" applyFill="1" applyBorder="1" applyAlignment="1" applyProtection="1">
      <alignment vertical="center"/>
      <protection locked="0"/>
    </xf>
    <xf numFmtId="1" fontId="0" fillId="0" borderId="0" xfId="0" applyNumberFormat="1" applyAlignment="1">
      <alignment horizontal="center"/>
    </xf>
    <xf numFmtId="0" fontId="0" fillId="0" borderId="0" xfId="0" pivotButton="1" applyAlignment="1">
      <alignment wrapText="1"/>
    </xf>
    <xf numFmtId="0" fontId="0" fillId="0" borderId="0" xfId="0" pivotButton="1" applyAlignment="1">
      <alignment vertical="center"/>
    </xf>
    <xf numFmtId="0" fontId="0" fillId="0" borderId="0" xfId="0" applyAlignment="1">
      <alignment vertical="center"/>
    </xf>
    <xf numFmtId="0" fontId="0" fillId="0" borderId="0" xfId="0" applyAlignment="1">
      <alignment horizontal="left" vertical="center"/>
    </xf>
    <xf numFmtId="0" fontId="0" fillId="0" borderId="0" xfId="0" pivotButton="1" applyAlignment="1">
      <alignment horizontal="center" vertical="center" wrapText="1"/>
    </xf>
    <xf numFmtId="0" fontId="0" fillId="0" borderId="0" xfId="0" applyAlignment="1">
      <alignment horizontal="center" vertical="center" wrapText="1"/>
    </xf>
    <xf numFmtId="9" fontId="0" fillId="0" borderId="0" xfId="0" applyNumberFormat="1" applyAlignment="1">
      <alignment horizontal="center" vertical="center"/>
    </xf>
    <xf numFmtId="0" fontId="0" fillId="0" borderId="0" xfId="0" applyAlignment="1">
      <alignment horizontal="center" wrapText="1"/>
    </xf>
    <xf numFmtId="1" fontId="0" fillId="0" borderId="0" xfId="0" applyNumberFormat="1" applyAlignment="1">
      <alignment horizontal="center" vertical="center"/>
    </xf>
    <xf numFmtId="0" fontId="0" fillId="0" borderId="0" xfId="0" applyAlignment="1">
      <alignment horizontal="center"/>
    </xf>
    <xf numFmtId="0" fontId="0" fillId="0" borderId="0" xfId="0" applyAlignment="1">
      <alignment wrapText="1"/>
    </xf>
    <xf numFmtId="0" fontId="0" fillId="2" borderId="0" xfId="0" applyFill="1" applyBorder="1"/>
    <xf numFmtId="0" fontId="27" fillId="5" borderId="21" xfId="0" applyFont="1" applyFill="1" applyBorder="1" applyAlignment="1">
      <alignment horizontal="left" vertical="center"/>
    </xf>
    <xf numFmtId="0" fontId="67" fillId="2" borderId="0" xfId="0" applyFont="1" applyFill="1" applyAlignment="1">
      <alignment vertical="center" wrapText="1"/>
    </xf>
    <xf numFmtId="0" fontId="27" fillId="2" borderId="0" xfId="0" applyFont="1" applyFill="1" applyBorder="1" applyAlignment="1">
      <alignment horizontal="left" vertical="center"/>
    </xf>
    <xf numFmtId="0" fontId="30" fillId="2" borderId="0" xfId="0" applyFont="1" applyFill="1" applyBorder="1" applyAlignment="1">
      <alignment horizontal="left" vertical="center"/>
    </xf>
    <xf numFmtId="0" fontId="0" fillId="2" borderId="0" xfId="0" applyFill="1" applyAlignment="1">
      <alignment vertical="center"/>
    </xf>
    <xf numFmtId="0" fontId="42" fillId="11" borderId="0" xfId="0" applyFont="1" applyFill="1" applyAlignment="1">
      <alignment vertical="center"/>
    </xf>
    <xf numFmtId="0" fontId="43" fillId="11" borderId="0" xfId="0" applyFont="1" applyFill="1" applyAlignment="1">
      <alignment vertical="center"/>
    </xf>
    <xf numFmtId="0" fontId="43" fillId="2" borderId="0" xfId="0" applyFont="1" applyFill="1" applyAlignment="1">
      <alignment vertical="center"/>
    </xf>
    <xf numFmtId="0" fontId="17" fillId="8" borderId="106" xfId="0" applyFont="1" applyFill="1" applyBorder="1" applyAlignment="1">
      <alignment vertical="center"/>
    </xf>
    <xf numFmtId="0" fontId="0" fillId="2" borderId="0" xfId="0" applyNumberFormat="1" applyFill="1" applyAlignment="1">
      <alignment vertical="center"/>
    </xf>
    <xf numFmtId="0" fontId="68" fillId="2" borderId="116" xfId="0" applyFont="1" applyFill="1" applyBorder="1" applyAlignment="1">
      <alignment horizontal="center" vertical="center"/>
    </xf>
    <xf numFmtId="0" fontId="0" fillId="2" borderId="117" xfId="0" applyFill="1" applyBorder="1" applyAlignment="1">
      <alignment vertical="center"/>
    </xf>
    <xf numFmtId="9" fontId="0" fillId="2" borderId="118" xfId="0" applyNumberFormat="1" applyFill="1" applyBorder="1" applyAlignment="1">
      <alignment vertical="center"/>
    </xf>
    <xf numFmtId="9" fontId="68" fillId="2" borderId="119" xfId="0" applyNumberFormat="1" applyFont="1" applyFill="1" applyBorder="1" applyAlignment="1">
      <alignment vertical="center"/>
    </xf>
    <xf numFmtId="0" fontId="0" fillId="2" borderId="120" xfId="0" applyFill="1" applyBorder="1" applyAlignment="1">
      <alignment vertical="center"/>
    </xf>
    <xf numFmtId="9" fontId="0" fillId="2" borderId="121" xfId="0" applyNumberFormat="1" applyFill="1" applyBorder="1" applyAlignment="1">
      <alignment vertical="center"/>
    </xf>
    <xf numFmtId="9" fontId="68" fillId="2" borderId="122" xfId="0" applyNumberFormat="1" applyFont="1" applyFill="1" applyBorder="1" applyAlignment="1">
      <alignment vertical="center"/>
    </xf>
    <xf numFmtId="0" fontId="0" fillId="2" borderId="123" xfId="0" applyFill="1" applyBorder="1" applyAlignment="1">
      <alignment vertical="center"/>
    </xf>
    <xf numFmtId="9" fontId="0" fillId="2" borderId="124" xfId="0" applyNumberFormat="1" applyFill="1" applyBorder="1" applyAlignment="1">
      <alignment vertical="center"/>
    </xf>
    <xf numFmtId="9" fontId="68" fillId="2" borderId="125" xfId="0" applyNumberFormat="1" applyFont="1" applyFill="1" applyBorder="1" applyAlignment="1">
      <alignment vertical="center"/>
    </xf>
    <xf numFmtId="165" fontId="0" fillId="5" borderId="88" xfId="4" applyFont="1" applyFill="1" applyBorder="1" applyAlignment="1">
      <alignment vertical="center"/>
    </xf>
    <xf numFmtId="3" fontId="16" fillId="5" borderId="89" xfId="4" applyNumberFormat="1" applyFill="1" applyBorder="1" applyAlignment="1">
      <alignment horizontal="center" vertical="center"/>
    </xf>
    <xf numFmtId="3" fontId="45" fillId="5" borderId="89" xfId="4" applyNumberFormat="1" applyFont="1" applyFill="1" applyBorder="1" applyAlignment="1">
      <alignment horizontal="center" vertical="center"/>
    </xf>
    <xf numFmtId="9" fontId="16" fillId="5" borderId="89" xfId="4" applyNumberFormat="1" applyFill="1" applyBorder="1" applyAlignment="1">
      <alignment horizontal="center" vertical="center"/>
    </xf>
    <xf numFmtId="9" fontId="16" fillId="5" borderId="90" xfId="4" applyNumberFormat="1" applyFill="1" applyBorder="1" applyAlignment="1">
      <alignment horizontal="left" vertical="center" wrapText="1"/>
    </xf>
    <xf numFmtId="9" fontId="0" fillId="2" borderId="117" xfId="0" applyNumberFormat="1" applyFill="1" applyBorder="1" applyAlignment="1">
      <alignment vertical="center"/>
    </xf>
    <xf numFmtId="9" fontId="0" fillId="2" borderId="120" xfId="0" applyNumberFormat="1" applyFill="1" applyBorder="1" applyAlignment="1">
      <alignment vertical="center"/>
    </xf>
    <xf numFmtId="9" fontId="0" fillId="2" borderId="123" xfId="0" applyNumberFormat="1" applyFill="1" applyBorder="1" applyAlignment="1">
      <alignment vertical="center"/>
    </xf>
    <xf numFmtId="165" fontId="65" fillId="2" borderId="0" xfId="4" applyFont="1" applyFill="1" applyAlignment="1">
      <alignment horizontal="center" vertical="center"/>
    </xf>
    <xf numFmtId="165" fontId="65" fillId="2" borderId="127" xfId="4" applyFont="1" applyFill="1" applyBorder="1" applyAlignment="1">
      <alignment horizontal="center" vertical="center"/>
    </xf>
    <xf numFmtId="165" fontId="65" fillId="2" borderId="128" xfId="4" applyFont="1" applyFill="1" applyBorder="1" applyAlignment="1">
      <alignment horizontal="center" vertical="center"/>
    </xf>
    <xf numFmtId="3" fontId="65" fillId="2" borderId="129" xfId="4" applyNumberFormat="1" applyFont="1" applyFill="1" applyBorder="1" applyAlignment="1">
      <alignment horizontal="center" vertical="center"/>
    </xf>
    <xf numFmtId="165" fontId="65" fillId="2" borderId="126" xfId="4" applyFont="1" applyFill="1" applyBorder="1" applyAlignment="1">
      <alignment horizontal="center" vertical="center"/>
    </xf>
    <xf numFmtId="9" fontId="53" fillId="12" borderId="58" xfId="21" applyNumberFormat="1" applyFont="1" applyFill="1" applyBorder="1" applyAlignment="1" applyProtection="1">
      <alignment horizontal="center" vertical="center" wrapText="1"/>
      <protection locked="0"/>
    </xf>
    <xf numFmtId="9" fontId="53" fillId="12" borderId="60" xfId="21" applyNumberFormat="1" applyFont="1" applyFill="1" applyBorder="1" applyAlignment="1" applyProtection="1">
      <alignment horizontal="center" vertical="center" wrapText="1"/>
      <protection locked="0"/>
    </xf>
    <xf numFmtId="0" fontId="53" fillId="2" borderId="67" xfId="21" applyFont="1" applyFill="1" applyBorder="1" applyAlignment="1" applyProtection="1">
      <alignment horizontal="center" vertical="center" wrapText="1"/>
      <protection locked="0"/>
    </xf>
    <xf numFmtId="9" fontId="53" fillId="2" borderId="63" xfId="21" applyNumberFormat="1" applyFont="1" applyFill="1" applyBorder="1" applyAlignment="1" applyProtection="1">
      <alignment horizontal="center" vertical="center" wrapText="1"/>
      <protection locked="0"/>
    </xf>
    <xf numFmtId="0" fontId="0" fillId="0" borderId="0" xfId="0" applyAlignment="1">
      <alignment horizontal="left" indent="1"/>
    </xf>
    <xf numFmtId="0" fontId="0" fillId="0" borderId="0" xfId="0" applyAlignment="1">
      <alignment horizontal="left" indent="2"/>
    </xf>
    <xf numFmtId="169" fontId="56" fillId="2" borderId="0" xfId="21" applyNumberFormat="1" applyFont="1" applyFill="1" applyProtection="1">
      <protection locked="0"/>
    </xf>
    <xf numFmtId="169" fontId="53" fillId="2" borderId="0" xfId="21" applyNumberFormat="1" applyFont="1" applyFill="1" applyProtection="1">
      <protection locked="0"/>
    </xf>
    <xf numFmtId="0" fontId="17" fillId="0" borderId="0" xfId="0" pivotButton="1" applyFont="1" applyAlignment="1">
      <alignment horizontal="center" vertical="center" wrapText="1"/>
    </xf>
    <xf numFmtId="0" fontId="17" fillId="2" borderId="0" xfId="0" applyFont="1" applyFill="1" applyAlignment="1">
      <alignment horizontal="center" vertical="center" wrapText="1"/>
    </xf>
    <xf numFmtId="0" fontId="69" fillId="0" borderId="0" xfId="0" applyFont="1" applyAlignment="1">
      <alignment horizontal="center" vertical="center" wrapText="1"/>
    </xf>
    <xf numFmtId="0" fontId="21" fillId="2" borderId="0" xfId="0" applyFont="1" applyFill="1" applyBorder="1" applyAlignment="1" applyProtection="1">
      <alignment horizontal="center" vertical="center"/>
      <protection locked="0"/>
    </xf>
    <xf numFmtId="164" fontId="20" fillId="2" borderId="0" xfId="1" applyNumberFormat="1" applyFont="1" applyFill="1" applyBorder="1" applyAlignment="1" applyProtection="1">
      <alignment horizontal="center" vertical="center"/>
      <protection locked="0"/>
    </xf>
    <xf numFmtId="0" fontId="0" fillId="2" borderId="0" xfId="0" applyFill="1" applyAlignment="1">
      <alignment horizontal="left"/>
    </xf>
    <xf numFmtId="0" fontId="70" fillId="2" borderId="0" xfId="0" applyFont="1" applyFill="1" applyBorder="1" applyAlignment="1" applyProtection="1">
      <alignment horizontal="left"/>
      <protection locked="0"/>
    </xf>
    <xf numFmtId="164" fontId="72" fillId="5" borderId="30" xfId="1" applyNumberFormat="1" applyFont="1" applyFill="1" applyBorder="1" applyAlignment="1" applyProtection="1">
      <alignment horizontal="center" vertical="center"/>
      <protection locked="0"/>
    </xf>
    <xf numFmtId="164" fontId="72" fillId="5" borderId="26" xfId="1" applyNumberFormat="1" applyFont="1" applyFill="1" applyBorder="1" applyAlignment="1" applyProtection="1">
      <alignment horizontal="center" vertical="center"/>
      <protection locked="0"/>
    </xf>
    <xf numFmtId="0" fontId="18" fillId="2" borderId="0" xfId="0" applyFont="1" applyFill="1" applyBorder="1" applyAlignment="1" applyProtection="1">
      <alignment horizontal="center" vertical="center"/>
      <protection locked="0"/>
    </xf>
    <xf numFmtId="9" fontId="18" fillId="2" borderId="0" xfId="0" applyNumberFormat="1" applyFont="1" applyFill="1" applyBorder="1" applyAlignment="1" applyProtection="1">
      <alignment horizontal="center"/>
      <protection locked="0"/>
    </xf>
    <xf numFmtId="0" fontId="18" fillId="2" borderId="0" xfId="0" applyFont="1" applyFill="1" applyBorder="1" applyAlignment="1" applyProtection="1">
      <alignment horizontal="left" wrapText="1"/>
      <protection locked="0"/>
    </xf>
    <xf numFmtId="0" fontId="22" fillId="3" borderId="6" xfId="0" applyFont="1" applyFill="1" applyBorder="1" applyAlignment="1" applyProtection="1">
      <alignment vertical="center" wrapText="1"/>
      <protection locked="0"/>
    </xf>
    <xf numFmtId="0" fontId="18" fillId="2" borderId="0" xfId="0" applyFont="1" applyFill="1" applyBorder="1" applyAlignment="1" applyProtection="1">
      <alignment horizontal="center" wrapText="1"/>
      <protection locked="0"/>
    </xf>
    <xf numFmtId="0" fontId="19" fillId="6" borderId="107" xfId="0" applyFont="1" applyFill="1" applyBorder="1" applyAlignment="1" applyProtection="1">
      <alignment vertical="center" wrapText="1"/>
      <protection locked="0"/>
    </xf>
    <xf numFmtId="0" fontId="20" fillId="3" borderId="107" xfId="0" applyFont="1" applyFill="1" applyBorder="1" applyAlignment="1" applyProtection="1">
      <alignment vertical="center" wrapText="1"/>
    </xf>
    <xf numFmtId="0" fontId="20" fillId="7" borderId="48" xfId="0" applyFont="1" applyFill="1" applyBorder="1" applyAlignment="1" applyProtection="1">
      <alignment horizontal="center" vertical="center" wrapText="1"/>
    </xf>
    <xf numFmtId="0" fontId="36" fillId="7" borderId="48" xfId="0" applyFont="1" applyFill="1" applyBorder="1" applyAlignment="1" applyProtection="1">
      <alignment horizontal="center" vertical="center" wrapText="1"/>
    </xf>
    <xf numFmtId="0" fontId="20" fillId="13" borderId="48" xfId="0" applyFont="1" applyFill="1" applyBorder="1" applyAlignment="1" applyProtection="1">
      <alignment horizontal="center" vertical="center" wrapText="1"/>
    </xf>
    <xf numFmtId="0" fontId="28" fillId="4" borderId="48" xfId="0" applyFont="1" applyFill="1" applyBorder="1" applyAlignment="1" applyProtection="1">
      <alignment horizontal="center" vertical="center" wrapText="1"/>
    </xf>
    <xf numFmtId="0" fontId="20" fillId="4" borderId="48"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9" fontId="20" fillId="4" borderId="48" xfId="0" applyNumberFormat="1" applyFont="1" applyFill="1" applyBorder="1" applyAlignment="1" applyProtection="1">
      <alignment horizontal="center" vertical="center" wrapText="1"/>
    </xf>
    <xf numFmtId="0" fontId="36" fillId="13" borderId="48" xfId="0" applyFont="1" applyFill="1" applyBorder="1" applyAlignment="1" applyProtection="1">
      <alignment horizontal="center" vertical="center" wrapText="1"/>
    </xf>
    <xf numFmtId="9" fontId="28" fillId="4" borderId="48" xfId="0" applyNumberFormat="1" applyFont="1" applyFill="1" applyBorder="1" applyAlignment="1" applyProtection="1">
      <alignment horizontal="center" vertical="center" wrapText="1"/>
    </xf>
    <xf numFmtId="0" fontId="28" fillId="13" borderId="48" xfId="0" applyFont="1" applyFill="1" applyBorder="1" applyAlignment="1" applyProtection="1">
      <alignment horizontal="center" vertical="center" wrapText="1"/>
    </xf>
    <xf numFmtId="0" fontId="28" fillId="6" borderId="48" xfId="0" applyFont="1" applyFill="1" applyBorder="1" applyAlignment="1" applyProtection="1">
      <alignment horizontal="center" vertical="center" wrapText="1"/>
    </xf>
    <xf numFmtId="0" fontId="28" fillId="3" borderId="48" xfId="0" applyFont="1" applyFill="1" applyBorder="1" applyAlignment="1" applyProtection="1">
      <alignment horizontal="center" vertical="center" wrapText="1"/>
    </xf>
    <xf numFmtId="0" fontId="20" fillId="3" borderId="48" xfId="0" applyFont="1" applyFill="1" applyBorder="1" applyAlignment="1" applyProtection="1">
      <alignment horizontal="center" vertical="center" wrapText="1"/>
    </xf>
    <xf numFmtId="0" fontId="36" fillId="3" borderId="48" xfId="0" applyFont="1" applyFill="1" applyBorder="1" applyAlignment="1" applyProtection="1">
      <alignment horizontal="center" vertical="center" wrapText="1"/>
    </xf>
    <xf numFmtId="0" fontId="25" fillId="5" borderId="132" xfId="0" applyFont="1" applyFill="1" applyBorder="1" applyAlignment="1" applyProtection="1">
      <alignment horizontal="center" vertical="center" wrapText="1"/>
    </xf>
    <xf numFmtId="9" fontId="36" fillId="4" borderId="132" xfId="3" applyFont="1" applyFill="1" applyBorder="1" applyAlignment="1" applyProtection="1">
      <alignment horizontal="center" vertical="center" wrapText="1"/>
    </xf>
    <xf numFmtId="1" fontId="25" fillId="13" borderId="132" xfId="3" applyNumberFormat="1" applyFont="1" applyFill="1" applyBorder="1" applyAlignment="1" applyProtection="1">
      <alignment horizontal="center" vertical="center" wrapText="1"/>
    </xf>
    <xf numFmtId="9" fontId="36" fillId="4" borderId="132" xfId="0" applyNumberFormat="1" applyFont="1" applyFill="1" applyBorder="1" applyAlignment="1" applyProtection="1">
      <alignment horizontal="center" vertical="center" wrapText="1"/>
    </xf>
    <xf numFmtId="1" fontId="25" fillId="13" borderId="132" xfId="0" applyNumberFormat="1" applyFont="1" applyFill="1" applyBorder="1" applyAlignment="1" applyProtection="1">
      <alignment horizontal="center" vertical="center" wrapText="1"/>
    </xf>
    <xf numFmtId="0" fontId="36" fillId="4" borderId="132" xfId="0" applyFont="1" applyFill="1" applyBorder="1" applyAlignment="1" applyProtection="1">
      <alignment horizontal="center" vertical="center" wrapText="1"/>
    </xf>
    <xf numFmtId="1" fontId="36" fillId="13" borderId="132" xfId="3" applyNumberFormat="1" applyFont="1" applyFill="1" applyBorder="1" applyAlignment="1" applyProtection="1">
      <alignment horizontal="center" vertical="center" wrapText="1"/>
    </xf>
    <xf numFmtId="9" fontId="25" fillId="6" borderId="132" xfId="0" applyNumberFormat="1" applyFont="1" applyFill="1" applyBorder="1" applyAlignment="1" applyProtection="1">
      <alignment horizontal="center" vertical="center" wrapText="1"/>
    </xf>
    <xf numFmtId="1" fontId="25" fillId="13" borderId="132" xfId="0" applyNumberFormat="1" applyFont="1" applyFill="1" applyBorder="1" applyAlignment="1" applyProtection="1">
      <alignment horizontal="center" vertical="center" wrapText="1"/>
      <protection locked="0"/>
    </xf>
    <xf numFmtId="1" fontId="25" fillId="6" borderId="132" xfId="0" applyNumberFormat="1" applyFont="1" applyFill="1" applyBorder="1" applyAlignment="1" applyProtection="1">
      <alignment horizontal="center" vertical="center" wrapText="1"/>
    </xf>
    <xf numFmtId="169" fontId="25" fillId="3" borderId="132" xfId="0" applyNumberFormat="1" applyFont="1" applyFill="1" applyBorder="1" applyAlignment="1" applyProtection="1">
      <alignment horizontal="center" vertical="center" wrapText="1"/>
      <protection locked="0"/>
    </xf>
    <xf numFmtId="3" fontId="25" fillId="3" borderId="132" xfId="0" applyNumberFormat="1" applyFont="1" applyFill="1" applyBorder="1" applyAlignment="1" applyProtection="1">
      <alignment horizontal="center" vertical="center" wrapText="1"/>
    </xf>
    <xf numFmtId="9" fontId="25" fillId="3" borderId="132" xfId="0" applyNumberFormat="1" applyFont="1" applyFill="1" applyBorder="1" applyAlignment="1" applyProtection="1">
      <alignment horizontal="center" vertical="center" wrapText="1"/>
    </xf>
    <xf numFmtId="0" fontId="25" fillId="3" borderId="132" xfId="0" applyFont="1" applyFill="1" applyBorder="1" applyAlignment="1" applyProtection="1">
      <alignment horizontal="center" vertical="center" wrapText="1"/>
    </xf>
    <xf numFmtId="0" fontId="25" fillId="5" borderId="92" xfId="0" applyFont="1" applyFill="1" applyBorder="1" applyAlignment="1" applyProtection="1">
      <alignment horizontal="center" vertical="center" wrapText="1"/>
    </xf>
    <xf numFmtId="9" fontId="36" fillId="4" borderId="92" xfId="3" applyFont="1" applyFill="1" applyBorder="1" applyAlignment="1" applyProtection="1">
      <alignment horizontal="center" vertical="center" wrapText="1"/>
    </xf>
    <xf numFmtId="1" fontId="25" fillId="13" borderId="92" xfId="3" applyNumberFormat="1" applyFont="1" applyFill="1" applyBorder="1" applyAlignment="1" applyProtection="1">
      <alignment horizontal="center" vertical="center" wrapText="1"/>
    </xf>
    <xf numFmtId="9" fontId="36" fillId="4" borderId="92" xfId="0" applyNumberFormat="1" applyFont="1" applyFill="1" applyBorder="1" applyAlignment="1" applyProtection="1">
      <alignment horizontal="center" vertical="center" wrapText="1"/>
    </xf>
    <xf numFmtId="1" fontId="25" fillId="13" borderId="92" xfId="0" applyNumberFormat="1" applyFont="1" applyFill="1" applyBorder="1" applyAlignment="1" applyProtection="1">
      <alignment horizontal="center" vertical="center" wrapText="1"/>
    </xf>
    <xf numFmtId="0" fontId="36" fillId="4" borderId="92" xfId="0" applyFont="1" applyFill="1" applyBorder="1" applyAlignment="1" applyProtection="1">
      <alignment horizontal="center" vertical="center" wrapText="1"/>
    </xf>
    <xf numFmtId="1" fontId="36" fillId="13" borderId="92" xfId="3" applyNumberFormat="1" applyFont="1" applyFill="1" applyBorder="1" applyAlignment="1" applyProtection="1">
      <alignment horizontal="center" vertical="center" wrapText="1"/>
    </xf>
    <xf numFmtId="9" fontId="25" fillId="6" borderId="92" xfId="0" applyNumberFormat="1" applyFont="1" applyFill="1" applyBorder="1" applyAlignment="1" applyProtection="1">
      <alignment horizontal="center" vertical="center" wrapText="1"/>
    </xf>
    <xf numFmtId="1" fontId="25" fillId="13" borderId="92" xfId="0" applyNumberFormat="1" applyFont="1" applyFill="1" applyBorder="1" applyAlignment="1" applyProtection="1">
      <alignment horizontal="center" vertical="center" wrapText="1"/>
      <protection locked="0"/>
    </xf>
    <xf numFmtId="1" fontId="25" fillId="6" borderId="92" xfId="0" applyNumberFormat="1" applyFont="1" applyFill="1" applyBorder="1" applyAlignment="1" applyProtection="1">
      <alignment horizontal="center" vertical="center" wrapText="1"/>
    </xf>
    <xf numFmtId="169" fontId="25" fillId="3" borderId="92" xfId="0" applyNumberFormat="1" applyFont="1" applyFill="1" applyBorder="1" applyAlignment="1" applyProtection="1">
      <alignment horizontal="center" vertical="center" wrapText="1"/>
      <protection locked="0"/>
    </xf>
    <xf numFmtId="3" fontId="25" fillId="3" borderId="92" xfId="0" applyNumberFormat="1" applyFont="1" applyFill="1" applyBorder="1" applyAlignment="1" applyProtection="1">
      <alignment horizontal="center" vertical="center" wrapText="1"/>
    </xf>
    <xf numFmtId="9" fontId="25" fillId="3" borderId="92" xfId="0" applyNumberFormat="1" applyFont="1" applyFill="1" applyBorder="1" applyAlignment="1" applyProtection="1">
      <alignment horizontal="center" vertical="center" wrapText="1"/>
    </xf>
    <xf numFmtId="0" fontId="25" fillId="3" borderId="92" xfId="0" applyFont="1" applyFill="1" applyBorder="1" applyAlignment="1" applyProtection="1">
      <alignment horizontal="center" vertical="center" wrapText="1"/>
    </xf>
    <xf numFmtId="3" fontId="25" fillId="3" borderId="92" xfId="0" applyNumberFormat="1" applyFont="1" applyFill="1" applyBorder="1" applyAlignment="1" applyProtection="1">
      <alignment horizontal="center" vertical="center" wrapText="1"/>
      <protection locked="0"/>
    </xf>
    <xf numFmtId="9" fontId="25" fillId="3" borderId="92" xfId="0" applyNumberFormat="1" applyFont="1" applyFill="1" applyBorder="1" applyAlignment="1" applyProtection="1">
      <alignment horizontal="center" vertical="center" wrapText="1"/>
      <protection locked="0"/>
    </xf>
    <xf numFmtId="0" fontId="25" fillId="5" borderId="130" xfId="0" applyFont="1" applyFill="1" applyBorder="1" applyAlignment="1" applyProtection="1">
      <alignment horizontal="center" vertical="center" wrapText="1"/>
    </xf>
    <xf numFmtId="9" fontId="36" fillId="4" borderId="130" xfId="3" applyFont="1" applyFill="1" applyBorder="1" applyAlignment="1" applyProtection="1">
      <alignment horizontal="center" vertical="center" wrapText="1"/>
    </xf>
    <xf numFmtId="1" fontId="25" fillId="13" borderId="130" xfId="3" applyNumberFormat="1" applyFont="1" applyFill="1" applyBorder="1" applyAlignment="1" applyProtection="1">
      <alignment horizontal="center" vertical="center" wrapText="1"/>
    </xf>
    <xf numFmtId="9" fontId="36" fillId="4" borderId="130" xfId="0" applyNumberFormat="1" applyFont="1" applyFill="1" applyBorder="1" applyAlignment="1" applyProtection="1">
      <alignment horizontal="center" vertical="center" wrapText="1"/>
    </xf>
    <xf numFmtId="1" fontId="25" fillId="13" borderId="130" xfId="0" applyNumberFormat="1" applyFont="1" applyFill="1" applyBorder="1" applyAlignment="1" applyProtection="1">
      <alignment horizontal="center" vertical="center" wrapText="1"/>
    </xf>
    <xf numFmtId="0" fontId="36" fillId="4" borderId="130" xfId="0" applyFont="1" applyFill="1" applyBorder="1" applyAlignment="1" applyProtection="1">
      <alignment horizontal="center" vertical="center" wrapText="1"/>
    </xf>
    <xf numFmtId="9" fontId="25" fillId="6" borderId="130" xfId="0" applyNumberFormat="1" applyFont="1" applyFill="1" applyBorder="1" applyAlignment="1" applyProtection="1">
      <alignment horizontal="center" vertical="center" wrapText="1"/>
    </xf>
    <xf numFmtId="1" fontId="25" fillId="13" borderId="130" xfId="0" applyNumberFormat="1" applyFont="1" applyFill="1" applyBorder="1" applyAlignment="1" applyProtection="1">
      <alignment horizontal="center" vertical="center" wrapText="1"/>
      <protection locked="0"/>
    </xf>
    <xf numFmtId="1" fontId="25" fillId="6" borderId="130" xfId="0" applyNumberFormat="1" applyFont="1" applyFill="1" applyBorder="1" applyAlignment="1" applyProtection="1">
      <alignment horizontal="center" vertical="center" wrapText="1"/>
    </xf>
    <xf numFmtId="3" fontId="25" fillId="3" borderId="130" xfId="0" applyNumberFormat="1" applyFont="1" applyFill="1" applyBorder="1" applyAlignment="1" applyProtection="1">
      <alignment horizontal="center" vertical="center" wrapText="1"/>
      <protection locked="0"/>
    </xf>
    <xf numFmtId="9" fontId="25" fillId="3" borderId="130" xfId="0" applyNumberFormat="1" applyFont="1" applyFill="1" applyBorder="1" applyAlignment="1" applyProtection="1">
      <alignment horizontal="center" vertical="center" wrapText="1"/>
      <protection locked="0"/>
    </xf>
    <xf numFmtId="0" fontId="25" fillId="3" borderId="130" xfId="0" applyFont="1" applyFill="1" applyBorder="1" applyAlignment="1" applyProtection="1">
      <alignment horizontal="center" vertical="center" wrapText="1"/>
    </xf>
    <xf numFmtId="0" fontId="34" fillId="5" borderId="112" xfId="0" applyFont="1" applyFill="1" applyBorder="1" applyAlignment="1" applyProtection="1">
      <alignment horizontal="center" vertical="center"/>
      <protection locked="0"/>
    </xf>
    <xf numFmtId="0" fontId="20" fillId="13" borderId="110" xfId="0" applyFont="1" applyFill="1" applyBorder="1" applyAlignment="1" applyProtection="1">
      <alignment horizontal="center" vertical="center" wrapText="1"/>
    </xf>
    <xf numFmtId="15" fontId="25" fillId="13" borderId="138" xfId="0" applyNumberFormat="1" applyFont="1" applyFill="1" applyBorder="1" applyAlignment="1" applyProtection="1">
      <alignment horizontal="center" vertical="center" wrapText="1"/>
      <protection locked="0"/>
    </xf>
    <xf numFmtId="15" fontId="25" fillId="13" borderId="21" xfId="0" applyNumberFormat="1" applyFont="1" applyFill="1" applyBorder="1" applyAlignment="1" applyProtection="1">
      <alignment horizontal="center" vertical="center" wrapText="1"/>
      <protection locked="0"/>
    </xf>
    <xf numFmtId="15" fontId="25" fillId="13" borderId="139" xfId="0" applyNumberFormat="1" applyFont="1" applyFill="1" applyBorder="1" applyAlignment="1" applyProtection="1">
      <alignment horizontal="center" vertical="center" wrapText="1"/>
      <protection locked="0"/>
    </xf>
    <xf numFmtId="0" fontId="28" fillId="3" borderId="111" xfId="0" applyFont="1" applyFill="1" applyBorder="1" applyAlignment="1" applyProtection="1">
      <alignment horizontal="center" vertical="center" wrapText="1"/>
    </xf>
    <xf numFmtId="0" fontId="25" fillId="13" borderId="92" xfId="0" applyFont="1" applyFill="1" applyBorder="1" applyAlignment="1" applyProtection="1">
      <alignment horizontal="center" vertical="center" wrapText="1"/>
      <protection locked="0"/>
    </xf>
    <xf numFmtId="0" fontId="25" fillId="13" borderId="132" xfId="0" applyFont="1" applyFill="1" applyBorder="1" applyAlignment="1" applyProtection="1">
      <alignment horizontal="center" vertical="center" wrapText="1"/>
      <protection locked="0"/>
    </xf>
    <xf numFmtId="0" fontId="25" fillId="13" borderId="130" xfId="0" applyFont="1" applyFill="1" applyBorder="1" applyAlignment="1" applyProtection="1">
      <alignment horizontal="center" vertical="center" wrapText="1"/>
      <protection locked="0"/>
    </xf>
    <xf numFmtId="9" fontId="36" fillId="4" borderId="135" xfId="3" applyFont="1" applyFill="1" applyBorder="1" applyAlignment="1" applyProtection="1">
      <alignment horizontal="center" vertical="center" wrapText="1"/>
    </xf>
    <xf numFmtId="9" fontId="36" fillId="4" borderId="136" xfId="3" applyFont="1" applyFill="1" applyBorder="1" applyAlignment="1" applyProtection="1">
      <alignment horizontal="center" vertical="center" wrapText="1"/>
    </xf>
    <xf numFmtId="9" fontId="36" fillId="4" borderId="137" xfId="3" applyFont="1" applyFill="1" applyBorder="1" applyAlignment="1" applyProtection="1">
      <alignment horizontal="center" vertical="center" wrapText="1"/>
    </xf>
    <xf numFmtId="3" fontId="25" fillId="3" borderId="133" xfId="0" applyNumberFormat="1" applyFont="1" applyFill="1" applyBorder="1" applyAlignment="1" applyProtection="1">
      <alignment horizontal="center" vertical="center" wrapText="1"/>
    </xf>
    <xf numFmtId="3" fontId="25" fillId="3" borderId="131" xfId="0" applyNumberFormat="1" applyFont="1" applyFill="1" applyBorder="1" applyAlignment="1" applyProtection="1">
      <alignment horizontal="center" vertical="center" wrapText="1"/>
    </xf>
    <xf numFmtId="3" fontId="25" fillId="3" borderId="131" xfId="0" applyNumberFormat="1" applyFont="1" applyFill="1" applyBorder="1" applyAlignment="1" applyProtection="1">
      <alignment horizontal="center" vertical="center" wrapText="1"/>
      <protection locked="0"/>
    </xf>
    <xf numFmtId="169" fontId="25" fillId="3" borderId="130" xfId="0" applyNumberFormat="1" applyFont="1" applyFill="1" applyBorder="1" applyAlignment="1" applyProtection="1">
      <alignment horizontal="center" vertical="center" wrapText="1"/>
      <protection locked="0"/>
    </xf>
    <xf numFmtId="3" fontId="25" fillId="3" borderId="134" xfId="0" applyNumberFormat="1" applyFont="1" applyFill="1" applyBorder="1" applyAlignment="1" applyProtection="1">
      <alignment horizontal="center" vertical="center" wrapText="1"/>
      <protection locked="0"/>
    </xf>
    <xf numFmtId="3" fontId="25" fillId="13" borderId="138" xfId="0" applyNumberFormat="1" applyFont="1" applyFill="1" applyBorder="1" applyAlignment="1" applyProtection="1">
      <alignment horizontal="center" vertical="center" wrapText="1"/>
      <protection locked="0"/>
    </xf>
    <xf numFmtId="3" fontId="25" fillId="13" borderId="21" xfId="0" applyNumberFormat="1" applyFont="1" applyFill="1" applyBorder="1" applyAlignment="1" applyProtection="1">
      <alignment horizontal="center" vertical="center" wrapText="1"/>
      <protection locked="0"/>
    </xf>
    <xf numFmtId="3" fontId="25" fillId="13" borderId="139" xfId="0" applyNumberFormat="1" applyFont="1" applyFill="1" applyBorder="1" applyAlignment="1" applyProtection="1">
      <alignment horizontal="center" vertical="center" wrapText="1"/>
      <protection locked="0"/>
    </xf>
    <xf numFmtId="0" fontId="53" fillId="2" borderId="69" xfId="32" applyFont="1" applyFill="1" applyBorder="1" applyAlignment="1" applyProtection="1">
      <alignment horizontal="center" vertical="center" wrapText="1"/>
      <protection locked="0"/>
    </xf>
    <xf numFmtId="0" fontId="53" fillId="2" borderId="68" xfId="32" applyFont="1" applyFill="1" applyBorder="1" applyAlignment="1" applyProtection="1">
      <alignment horizontal="center" vertical="center" wrapText="1"/>
      <protection locked="0"/>
    </xf>
    <xf numFmtId="0" fontId="53" fillId="2" borderId="95" xfId="32" applyFont="1" applyFill="1" applyBorder="1" applyAlignment="1" applyProtection="1">
      <alignment horizontal="center" vertical="center" wrapText="1"/>
      <protection locked="0"/>
    </xf>
    <xf numFmtId="0" fontId="53" fillId="6" borderId="58" xfId="32" applyFont="1" applyFill="1" applyBorder="1" applyAlignment="1" applyProtection="1">
      <alignment horizontal="center" vertical="center" wrapText="1"/>
      <protection locked="0"/>
    </xf>
    <xf numFmtId="0" fontId="59" fillId="6" borderId="58" xfId="32" applyFont="1" applyFill="1" applyBorder="1" applyAlignment="1" applyProtection="1">
      <alignment horizontal="center" vertical="center" wrapText="1"/>
      <protection locked="0"/>
    </xf>
    <xf numFmtId="0" fontId="53" fillId="2" borderId="59" xfId="32" applyFont="1" applyFill="1" applyBorder="1" applyAlignment="1" applyProtection="1">
      <alignment horizontal="left" vertical="center" wrapText="1"/>
      <protection locked="0"/>
    </xf>
    <xf numFmtId="14" fontId="60" fillId="2" borderId="57" xfId="32" applyNumberFormat="1" applyFont="1" applyFill="1" applyBorder="1" applyAlignment="1" applyProtection="1">
      <alignment horizontal="center" vertical="center" wrapText="1"/>
      <protection locked="0"/>
    </xf>
    <xf numFmtId="14" fontId="60" fillId="2" borderId="58" xfId="32" applyNumberFormat="1" applyFont="1" applyFill="1" applyBorder="1" applyAlignment="1" applyProtection="1">
      <alignment horizontal="center" vertical="center" wrapText="1"/>
      <protection locked="0"/>
    </xf>
    <xf numFmtId="0" fontId="60" fillId="2" borderId="60" xfId="32" applyFont="1" applyFill="1" applyBorder="1" applyAlignment="1" applyProtection="1">
      <alignment horizontal="center" vertical="center" wrapText="1"/>
      <protection locked="0"/>
    </xf>
    <xf numFmtId="0" fontId="53" fillId="6" borderId="69" xfId="32" applyFont="1" applyFill="1" applyBorder="1" applyAlignment="1" applyProtection="1">
      <alignment horizontal="center" vertical="center" wrapText="1"/>
      <protection locked="0"/>
    </xf>
    <xf numFmtId="0" fontId="53" fillId="2" borderId="59" xfId="32" applyFont="1" applyFill="1" applyBorder="1" applyAlignment="1" applyProtection="1">
      <alignment horizontal="left" vertical="center" wrapText="1"/>
      <protection locked="0"/>
    </xf>
    <xf numFmtId="0" fontId="53" fillId="2" borderId="62" xfId="32" applyFont="1" applyFill="1" applyBorder="1" applyAlignment="1" applyProtection="1">
      <alignment horizontal="center" vertical="center" wrapText="1"/>
      <protection locked="0"/>
    </xf>
    <xf numFmtId="0" fontId="53" fillId="2" borderId="58" xfId="32" applyFont="1" applyFill="1" applyBorder="1" applyAlignment="1" applyProtection="1">
      <alignment horizontal="center" vertical="center" wrapText="1"/>
      <protection locked="0"/>
    </xf>
    <xf numFmtId="0" fontId="53" fillId="2" borderId="61" xfId="32" applyFont="1" applyFill="1" applyBorder="1" applyAlignment="1" applyProtection="1">
      <alignment horizontal="center" vertical="center" wrapText="1"/>
      <protection locked="0"/>
    </xf>
    <xf numFmtId="14" fontId="60" fillId="2" borderId="68" xfId="32" applyNumberFormat="1" applyFont="1" applyFill="1" applyBorder="1" applyAlignment="1" applyProtection="1">
      <alignment horizontal="center" vertical="center" wrapText="1"/>
      <protection locked="0"/>
    </xf>
    <xf numFmtId="14" fontId="60" fillId="2" borderId="69" xfId="32" applyNumberFormat="1" applyFont="1" applyFill="1" applyBorder="1" applyAlignment="1" applyProtection="1">
      <alignment horizontal="center" vertical="center" wrapText="1"/>
      <protection locked="0"/>
    </xf>
    <xf numFmtId="0" fontId="60" fillId="2" borderId="70" xfId="32" applyFont="1" applyFill="1" applyBorder="1" applyAlignment="1" applyProtection="1">
      <alignment horizontal="center" vertical="center" wrapText="1"/>
      <protection locked="0"/>
    </xf>
    <xf numFmtId="0" fontId="53" fillId="6" borderId="69" xfId="32" applyFont="1" applyFill="1" applyBorder="1" applyAlignment="1" applyProtection="1">
      <alignment horizontal="center" vertical="center" wrapText="1"/>
      <protection locked="0"/>
    </xf>
    <xf numFmtId="0" fontId="59" fillId="6" borderId="69" xfId="32" applyFont="1" applyFill="1" applyBorder="1" applyAlignment="1" applyProtection="1">
      <alignment horizontal="center" vertical="center" wrapText="1"/>
      <protection locked="0"/>
    </xf>
    <xf numFmtId="0" fontId="53" fillId="2" borderId="70" xfId="32" applyFont="1" applyFill="1" applyBorder="1" applyAlignment="1" applyProtection="1">
      <alignment horizontal="center" vertical="center" wrapText="1"/>
      <protection locked="0"/>
    </xf>
    <xf numFmtId="9" fontId="53" fillId="2" borderId="69" xfId="32" applyNumberFormat="1" applyFont="1" applyFill="1" applyBorder="1" applyAlignment="1" applyProtection="1">
      <alignment horizontal="center" vertical="center" wrapText="1"/>
      <protection locked="0"/>
    </xf>
    <xf numFmtId="9" fontId="53" fillId="2" borderId="93" xfId="32" applyNumberFormat="1" applyFont="1" applyFill="1" applyBorder="1" applyAlignment="1" applyProtection="1">
      <alignment horizontal="center" vertical="center" wrapText="1"/>
      <protection locked="0"/>
    </xf>
    <xf numFmtId="9" fontId="53" fillId="2" borderId="94" xfId="32" applyNumberFormat="1" applyFont="1" applyFill="1" applyBorder="1" applyAlignment="1" applyProtection="1">
      <alignment horizontal="center" vertical="center" wrapText="1"/>
      <protection locked="0"/>
    </xf>
    <xf numFmtId="9" fontId="53" fillId="2" borderId="70" xfId="32" applyNumberFormat="1" applyFont="1" applyFill="1" applyBorder="1" applyAlignment="1" applyProtection="1">
      <alignment horizontal="center" vertical="center" wrapText="1"/>
      <protection locked="0"/>
    </xf>
    <xf numFmtId="0" fontId="59" fillId="6" borderId="57" xfId="37" applyFont="1" applyFill="1" applyBorder="1" applyAlignment="1" applyProtection="1">
      <alignment horizontal="left" vertical="center" wrapText="1"/>
      <protection locked="0"/>
    </xf>
    <xf numFmtId="3" fontId="53" fillId="14" borderId="57" xfId="21" applyNumberFormat="1" applyFont="1" applyFill="1" applyBorder="1" applyAlignment="1" applyProtection="1">
      <alignment horizontal="center" vertical="center" wrapText="1"/>
      <protection locked="0"/>
    </xf>
    <xf numFmtId="0" fontId="53" fillId="2" borderId="57" xfId="37" applyFont="1" applyFill="1" applyBorder="1" applyAlignment="1" applyProtection="1">
      <alignment horizontal="center" vertical="center" wrapText="1"/>
      <protection locked="0"/>
    </xf>
    <xf numFmtId="9" fontId="53" fillId="2" borderId="62" xfId="37" applyNumberFormat="1" applyFont="1" applyFill="1" applyBorder="1" applyAlignment="1" applyProtection="1">
      <alignment horizontal="center" vertical="center" wrapText="1"/>
      <protection locked="0"/>
    </xf>
    <xf numFmtId="9" fontId="53" fillId="2" borderId="60" xfId="37" applyNumberFormat="1" applyFont="1" applyFill="1" applyBorder="1" applyAlignment="1" applyProtection="1">
      <alignment horizontal="center" vertical="center" wrapText="1"/>
      <protection locked="0"/>
    </xf>
    <xf numFmtId="0" fontId="53" fillId="2" borderId="62" xfId="37" applyFont="1" applyFill="1" applyBorder="1" applyAlignment="1" applyProtection="1">
      <alignment horizontal="center" vertical="center" wrapText="1"/>
      <protection locked="0"/>
    </xf>
    <xf numFmtId="0" fontId="53" fillId="2" borderId="58" xfId="37" applyFont="1" applyFill="1" applyBorder="1" applyAlignment="1" applyProtection="1">
      <alignment horizontal="center" vertical="center" wrapText="1"/>
      <protection locked="0"/>
    </xf>
    <xf numFmtId="0" fontId="53" fillId="2" borderId="61" xfId="37" applyFont="1" applyFill="1" applyBorder="1" applyAlignment="1" applyProtection="1">
      <alignment horizontal="center" vertical="center" wrapText="1"/>
      <protection locked="0"/>
    </xf>
    <xf numFmtId="9" fontId="53" fillId="2" borderId="58" xfId="37" applyNumberFormat="1" applyFont="1" applyFill="1" applyBorder="1" applyAlignment="1" applyProtection="1">
      <alignment horizontal="center" vertical="center" wrapText="1"/>
      <protection locked="0"/>
    </xf>
    <xf numFmtId="9" fontId="53" fillId="2" borderId="61" xfId="37" applyNumberFormat="1" applyFont="1" applyFill="1" applyBorder="1" applyAlignment="1" applyProtection="1">
      <alignment horizontal="center" vertical="center" wrapText="1"/>
      <protection locked="0"/>
    </xf>
    <xf numFmtId="0" fontId="53" fillId="2" borderId="68" xfId="37" applyFont="1" applyFill="1" applyBorder="1" applyAlignment="1" applyProtection="1">
      <alignment horizontal="center" vertical="center" wrapText="1"/>
      <protection locked="0"/>
    </xf>
    <xf numFmtId="0" fontId="53" fillId="2" borderId="95" xfId="37" applyFont="1" applyFill="1" applyBorder="1" applyAlignment="1" applyProtection="1">
      <alignment horizontal="center" vertical="center" wrapText="1"/>
      <protection locked="0"/>
    </xf>
    <xf numFmtId="0" fontId="53" fillId="2" borderId="69" xfId="37" applyFont="1" applyFill="1" applyBorder="1" applyAlignment="1" applyProtection="1">
      <alignment horizontal="center" vertical="center" wrapText="1"/>
      <protection locked="0"/>
    </xf>
    <xf numFmtId="0" fontId="53" fillId="2" borderId="62" xfId="37" applyFont="1" applyFill="1" applyBorder="1" applyAlignment="1" applyProtection="1">
      <alignment horizontal="center" vertical="center" wrapText="1"/>
      <protection locked="0"/>
    </xf>
    <xf numFmtId="0" fontId="53" fillId="2" borderId="58" xfId="37" applyFont="1" applyFill="1" applyBorder="1" applyAlignment="1" applyProtection="1">
      <alignment horizontal="center" vertical="center" wrapText="1"/>
      <protection locked="0"/>
    </xf>
    <xf numFmtId="0" fontId="53" fillId="2" borderId="61" xfId="37" applyFont="1" applyFill="1" applyBorder="1" applyAlignment="1" applyProtection="1">
      <alignment horizontal="center" vertical="center" wrapText="1"/>
      <protection locked="0"/>
    </xf>
    <xf numFmtId="0" fontId="53" fillId="2" borderId="70" xfId="37" applyFont="1" applyFill="1" applyBorder="1" applyAlignment="1" applyProtection="1">
      <alignment horizontal="center" vertical="center" wrapText="1"/>
      <protection locked="0"/>
    </xf>
    <xf numFmtId="9" fontId="53" fillId="2" borderId="69" xfId="37" applyNumberFormat="1" applyFont="1" applyFill="1" applyBorder="1" applyAlignment="1" applyProtection="1">
      <alignment horizontal="center" vertical="center" wrapText="1"/>
      <protection locked="0"/>
    </xf>
    <xf numFmtId="9" fontId="53" fillId="2" borderId="93" xfId="37" applyNumberFormat="1" applyFont="1" applyFill="1" applyBorder="1" applyAlignment="1" applyProtection="1">
      <alignment horizontal="center" vertical="center" wrapText="1"/>
      <protection locked="0"/>
    </xf>
    <xf numFmtId="9" fontId="53" fillId="2" borderId="94" xfId="37" applyNumberFormat="1" applyFont="1" applyFill="1" applyBorder="1" applyAlignment="1" applyProtection="1">
      <alignment horizontal="center" vertical="center" wrapText="1"/>
      <protection locked="0"/>
    </xf>
    <xf numFmtId="9" fontId="53" fillId="2" borderId="70" xfId="37" applyNumberFormat="1" applyFont="1" applyFill="1" applyBorder="1" applyAlignment="1" applyProtection="1">
      <alignment horizontal="center" vertical="center" wrapText="1"/>
      <protection locked="0"/>
    </xf>
    <xf numFmtId="9" fontId="53" fillId="14" borderId="58" xfId="21" applyNumberFormat="1" applyFont="1" applyFill="1" applyBorder="1" applyAlignment="1" applyProtection="1">
      <alignment horizontal="center" vertical="center" wrapText="1"/>
      <protection locked="0"/>
    </xf>
    <xf numFmtId="9" fontId="53" fillId="14" borderId="61" xfId="21" applyNumberFormat="1" applyFont="1" applyFill="1" applyBorder="1" applyAlignment="1" applyProtection="1">
      <alignment horizontal="center" vertical="center" wrapText="1"/>
      <protection locked="0"/>
    </xf>
    <xf numFmtId="9" fontId="53" fillId="14" borderId="62" xfId="21" applyNumberFormat="1" applyFont="1" applyFill="1" applyBorder="1" applyAlignment="1" applyProtection="1">
      <alignment horizontal="center" vertical="center" wrapText="1"/>
      <protection locked="0"/>
    </xf>
    <xf numFmtId="9" fontId="53" fillId="14" borderId="60" xfId="21" applyNumberFormat="1" applyFont="1" applyFill="1" applyBorder="1" applyAlignment="1" applyProtection="1">
      <alignment horizontal="center" vertical="center" wrapText="1"/>
      <protection locked="0"/>
    </xf>
    <xf numFmtId="3" fontId="53" fillId="14" borderId="62" xfId="21" applyNumberFormat="1" applyFont="1" applyFill="1" applyBorder="1" applyAlignment="1" applyProtection="1">
      <alignment horizontal="center" vertical="center" wrapText="1"/>
      <protection locked="0"/>
    </xf>
    <xf numFmtId="3" fontId="53" fillId="14" borderId="58" xfId="21" applyNumberFormat="1" applyFont="1" applyFill="1" applyBorder="1" applyAlignment="1" applyProtection="1">
      <alignment horizontal="center" vertical="center" wrapText="1"/>
      <protection locked="0"/>
    </xf>
    <xf numFmtId="0" fontId="53" fillId="14" borderId="58" xfId="21" applyFont="1" applyFill="1" applyBorder="1" applyAlignment="1" applyProtection="1">
      <alignment horizontal="center" vertical="center" wrapText="1"/>
      <protection locked="0"/>
    </xf>
    <xf numFmtId="0" fontId="53" fillId="14" borderId="60" xfId="21" applyFont="1" applyFill="1" applyBorder="1" applyAlignment="1" applyProtection="1">
      <alignment horizontal="center" vertical="center" wrapText="1"/>
      <protection locked="0"/>
    </xf>
    <xf numFmtId="0" fontId="53" fillId="14" borderId="59" xfId="21" applyFont="1" applyFill="1" applyBorder="1" applyAlignment="1" applyProtection="1">
      <alignment horizontal="left" vertical="center" wrapText="1"/>
      <protection locked="0"/>
    </xf>
    <xf numFmtId="0" fontId="74" fillId="5" borderId="135" xfId="0" applyFont="1" applyFill="1" applyBorder="1" applyAlignment="1" applyProtection="1">
      <alignment horizontal="left" vertical="center" wrapText="1"/>
      <protection locked="0"/>
    </xf>
    <xf numFmtId="0" fontId="74" fillId="5" borderId="132" xfId="0" applyFont="1" applyFill="1" applyBorder="1" applyAlignment="1" applyProtection="1">
      <alignment horizontal="left" vertical="center" wrapText="1"/>
      <protection locked="0"/>
    </xf>
    <xf numFmtId="0" fontId="74" fillId="5" borderId="132" xfId="0" applyFont="1" applyFill="1" applyBorder="1" applyAlignment="1" applyProtection="1">
      <alignment horizontal="center" vertical="center" wrapText="1"/>
      <protection locked="0"/>
    </xf>
    <xf numFmtId="0" fontId="48" fillId="0" borderId="132" xfId="0" applyFont="1" applyFill="1" applyBorder="1" applyAlignment="1">
      <alignment horizontal="center" vertical="center"/>
    </xf>
    <xf numFmtId="0" fontId="48" fillId="5" borderId="133" xfId="0" applyFont="1" applyFill="1" applyBorder="1" applyAlignment="1">
      <alignment horizontal="center" vertical="center"/>
    </xf>
    <xf numFmtId="0" fontId="74" fillId="5" borderId="136" xfId="0" applyFont="1" applyFill="1" applyBorder="1" applyAlignment="1" applyProtection="1">
      <alignment horizontal="left" vertical="center" wrapText="1"/>
      <protection locked="0"/>
    </xf>
    <xf numFmtId="0" fontId="74" fillId="5" borderId="92" xfId="0" applyFont="1" applyFill="1" applyBorder="1" applyAlignment="1" applyProtection="1">
      <alignment horizontal="left" vertical="center" wrapText="1"/>
      <protection locked="0"/>
    </xf>
    <xf numFmtId="0" fontId="74" fillId="5" borderId="92" xfId="0" applyFont="1" applyFill="1" applyBorder="1" applyAlignment="1" applyProtection="1">
      <alignment horizontal="center" vertical="center" wrapText="1"/>
      <protection locked="0"/>
    </xf>
    <xf numFmtId="0" fontId="48" fillId="0" borderId="92" xfId="0" applyFont="1" applyFill="1" applyBorder="1" applyAlignment="1">
      <alignment horizontal="center" vertical="center"/>
    </xf>
    <xf numFmtId="0" fontId="48" fillId="5" borderId="131" xfId="0" applyFont="1" applyFill="1" applyBorder="1" applyAlignment="1">
      <alignment horizontal="center" vertical="center"/>
    </xf>
    <xf numFmtId="0" fontId="48" fillId="5" borderId="92" xfId="0" applyFont="1" applyFill="1" applyBorder="1" applyAlignment="1">
      <alignment horizontal="left" vertical="center"/>
    </xf>
    <xf numFmtId="0" fontId="74" fillId="0" borderId="92" xfId="0" applyFont="1" applyFill="1" applyBorder="1" applyAlignment="1" applyProtection="1">
      <alignment horizontal="center" vertical="center" wrapText="1"/>
      <protection locked="0"/>
    </xf>
    <xf numFmtId="0" fontId="74" fillId="5" borderId="131" xfId="0" applyFont="1" applyFill="1" applyBorder="1" applyAlignment="1" applyProtection="1">
      <alignment horizontal="center" vertical="center" wrapText="1"/>
      <protection locked="0"/>
    </xf>
    <xf numFmtId="0" fontId="74" fillId="0" borderId="92" xfId="0" applyFont="1" applyFill="1" applyBorder="1" applyAlignment="1">
      <alignment horizontal="center" vertical="center"/>
    </xf>
    <xf numFmtId="0" fontId="74" fillId="5" borderId="92" xfId="0" applyFont="1" applyFill="1" applyBorder="1" applyAlignment="1" applyProtection="1">
      <alignment horizontal="left" vertical="top" wrapText="1"/>
      <protection locked="0"/>
    </xf>
    <xf numFmtId="0" fontId="74" fillId="5" borderId="137" xfId="0" applyFont="1" applyFill="1" applyBorder="1" applyAlignment="1" applyProtection="1">
      <alignment horizontal="left" vertical="center" wrapText="1"/>
      <protection locked="0"/>
    </xf>
    <xf numFmtId="0" fontId="74" fillId="5" borderId="130" xfId="0" applyFont="1" applyFill="1" applyBorder="1" applyAlignment="1" applyProtection="1">
      <alignment horizontal="left" vertical="center" wrapText="1"/>
      <protection locked="0"/>
    </xf>
    <xf numFmtId="0" fontId="74" fillId="5" borderId="130" xfId="0" applyFont="1" applyFill="1" applyBorder="1" applyAlignment="1" applyProtection="1">
      <alignment horizontal="center" vertical="center" wrapText="1"/>
      <protection locked="0"/>
    </xf>
    <xf numFmtId="0" fontId="48" fillId="0" borderId="130" xfId="0" applyFont="1" applyFill="1" applyBorder="1" applyAlignment="1">
      <alignment horizontal="center" vertical="center"/>
    </xf>
    <xf numFmtId="0" fontId="48" fillId="5" borderId="134" xfId="0" applyFont="1" applyFill="1" applyBorder="1" applyAlignment="1">
      <alignment horizontal="center" vertical="center"/>
    </xf>
    <xf numFmtId="0" fontId="48" fillId="5" borderId="135" xfId="0" applyFont="1" applyFill="1" applyBorder="1" applyAlignment="1">
      <alignment horizontal="center" vertical="center"/>
    </xf>
    <xf numFmtId="169" fontId="48" fillId="5" borderId="132" xfId="0" applyNumberFormat="1" applyFont="1" applyFill="1" applyBorder="1" applyAlignment="1">
      <alignment horizontal="center" vertical="center"/>
    </xf>
    <xf numFmtId="0" fontId="48" fillId="5" borderId="132" xfId="0" applyFont="1" applyFill="1" applyBorder="1" applyAlignment="1">
      <alignment horizontal="center" vertical="center"/>
    </xf>
    <xf numFmtId="0" fontId="48" fillId="5" borderId="136" xfId="0" applyFont="1" applyFill="1" applyBorder="1" applyAlignment="1">
      <alignment horizontal="center" vertical="center"/>
    </xf>
    <xf numFmtId="169" fontId="48" fillId="5" borderId="92" xfId="0" applyNumberFormat="1" applyFont="1" applyFill="1" applyBorder="1" applyAlignment="1">
      <alignment horizontal="center" vertical="center"/>
    </xf>
    <xf numFmtId="0" fontId="48" fillId="5" borderId="92" xfId="0" applyFont="1" applyFill="1" applyBorder="1" applyAlignment="1">
      <alignment horizontal="center" vertical="center"/>
    </xf>
    <xf numFmtId="0" fontId="74" fillId="5" borderId="136" xfId="0" applyFont="1" applyFill="1" applyBorder="1" applyAlignment="1" applyProtection="1">
      <alignment horizontal="center" vertical="center" wrapText="1"/>
      <protection locked="0"/>
    </xf>
    <xf numFmtId="15" fontId="74" fillId="5" borderId="92" xfId="0" applyNumberFormat="1" applyFont="1" applyFill="1" applyBorder="1" applyAlignment="1" applyProtection="1">
      <alignment horizontal="center" vertical="center" wrapText="1"/>
      <protection locked="0"/>
    </xf>
    <xf numFmtId="168" fontId="74" fillId="5" borderId="92" xfId="0" applyNumberFormat="1" applyFont="1" applyFill="1" applyBorder="1" applyAlignment="1" applyProtection="1">
      <alignment horizontal="center" vertical="center" wrapText="1"/>
      <protection locked="0"/>
    </xf>
    <xf numFmtId="15" fontId="74" fillId="5" borderId="131" xfId="0" applyNumberFormat="1" applyFont="1" applyFill="1" applyBorder="1" applyAlignment="1" applyProtection="1">
      <alignment horizontal="center" vertical="center" wrapText="1"/>
      <protection locked="0"/>
    </xf>
    <xf numFmtId="0" fontId="48" fillId="5" borderId="137" xfId="0" applyFont="1" applyFill="1" applyBorder="1" applyAlignment="1">
      <alignment horizontal="center" vertical="center"/>
    </xf>
    <xf numFmtId="169" fontId="48" fillId="5" borderId="130" xfId="0" applyNumberFormat="1" applyFont="1" applyFill="1" applyBorder="1" applyAlignment="1">
      <alignment horizontal="center" vertical="center"/>
    </xf>
    <xf numFmtId="0" fontId="48" fillId="5" borderId="130" xfId="0" applyFont="1" applyFill="1" applyBorder="1" applyAlignment="1">
      <alignment horizontal="center" vertical="center"/>
    </xf>
    <xf numFmtId="0" fontId="48" fillId="0" borderId="135" xfId="0" applyFont="1" applyBorder="1" applyAlignment="1">
      <alignment horizontal="center" vertical="center"/>
    </xf>
    <xf numFmtId="0" fontId="48" fillId="0" borderId="133" xfId="0" applyFont="1" applyFill="1" applyBorder="1" applyAlignment="1">
      <alignment horizontal="center" vertical="center"/>
    </xf>
    <xf numFmtId="0" fontId="48" fillId="0" borderId="136" xfId="0" applyFont="1" applyBorder="1" applyAlignment="1">
      <alignment horizontal="center" vertical="center"/>
    </xf>
    <xf numFmtId="0" fontId="48" fillId="0" borderId="131" xfId="0" applyFont="1" applyFill="1" applyBorder="1" applyAlignment="1">
      <alignment horizontal="center" vertical="center"/>
    </xf>
    <xf numFmtId="0" fontId="74" fillId="0" borderId="136" xfId="0" applyFont="1" applyFill="1" applyBorder="1" applyAlignment="1" applyProtection="1">
      <alignment horizontal="center" vertical="center" wrapText="1"/>
      <protection locked="0"/>
    </xf>
    <xf numFmtId="0" fontId="74" fillId="0" borderId="131" xfId="0" applyFont="1" applyFill="1" applyBorder="1" applyAlignment="1" applyProtection="1">
      <alignment horizontal="center" vertical="center" wrapText="1"/>
      <protection locked="0"/>
    </xf>
    <xf numFmtId="0" fontId="48" fillId="0" borderId="137" xfId="0" applyFont="1" applyBorder="1" applyAlignment="1">
      <alignment horizontal="center" vertical="center"/>
    </xf>
    <xf numFmtId="0" fontId="48" fillId="0" borderId="134" xfId="0" applyFont="1" applyFill="1" applyBorder="1" applyAlignment="1">
      <alignment horizontal="center" vertical="center"/>
    </xf>
    <xf numFmtId="0" fontId="48" fillId="0" borderId="132" xfId="0" applyFont="1" applyBorder="1" applyAlignment="1">
      <alignment horizontal="center" vertical="center"/>
    </xf>
    <xf numFmtId="0" fontId="48" fillId="0" borderId="133" xfId="0" applyFont="1" applyBorder="1" applyAlignment="1">
      <alignment horizontal="center" vertical="center"/>
    </xf>
    <xf numFmtId="0" fontId="48" fillId="0" borderId="92" xfId="0" applyFont="1" applyBorder="1" applyAlignment="1">
      <alignment horizontal="center" vertical="center"/>
    </xf>
    <xf numFmtId="0" fontId="48" fillId="0" borderId="131" xfId="0" applyFont="1" applyBorder="1" applyAlignment="1">
      <alignment horizontal="center" vertical="center"/>
    </xf>
    <xf numFmtId="0" fontId="48" fillId="0" borderId="136" xfId="0" applyFont="1" applyFill="1" applyBorder="1" applyAlignment="1">
      <alignment horizontal="center" vertical="center"/>
    </xf>
    <xf numFmtId="0" fontId="48" fillId="0" borderId="137" xfId="0" applyFont="1" applyFill="1" applyBorder="1" applyAlignment="1">
      <alignment horizontal="center" vertical="center"/>
    </xf>
    <xf numFmtId="9" fontId="48" fillId="0" borderId="135" xfId="0" applyNumberFormat="1" applyFont="1" applyBorder="1" applyAlignment="1">
      <alignment horizontal="center" vertical="center"/>
    </xf>
    <xf numFmtId="9" fontId="48" fillId="0" borderId="133" xfId="0" applyNumberFormat="1" applyFont="1" applyBorder="1" applyAlignment="1">
      <alignment horizontal="center" vertical="center"/>
    </xf>
    <xf numFmtId="9" fontId="48" fillId="0" borderId="136" xfId="0" applyNumberFormat="1" applyFont="1" applyBorder="1" applyAlignment="1">
      <alignment horizontal="center" vertical="center"/>
    </xf>
    <xf numFmtId="9" fontId="48" fillId="0" borderId="131" xfId="0" applyNumberFormat="1" applyFont="1" applyBorder="1" applyAlignment="1">
      <alignment horizontal="center" vertical="center"/>
    </xf>
    <xf numFmtId="9" fontId="74" fillId="0" borderId="136" xfId="3" applyFont="1" applyFill="1" applyBorder="1" applyAlignment="1" applyProtection="1">
      <alignment horizontal="center" vertical="center" wrapText="1"/>
      <protection locked="0"/>
    </xf>
    <xf numFmtId="9" fontId="74" fillId="0" borderId="131" xfId="0" applyNumberFormat="1" applyFont="1" applyFill="1" applyBorder="1" applyAlignment="1" applyProtection="1">
      <alignment horizontal="center" vertical="center" wrapText="1"/>
      <protection locked="0"/>
    </xf>
    <xf numFmtId="9" fontId="48" fillId="0" borderId="136" xfId="0" applyNumberFormat="1" applyFont="1" applyFill="1" applyBorder="1" applyAlignment="1">
      <alignment horizontal="center" vertical="center"/>
    </xf>
    <xf numFmtId="9" fontId="48" fillId="0" borderId="131" xfId="0" applyNumberFormat="1" applyFont="1" applyFill="1" applyBorder="1" applyAlignment="1">
      <alignment horizontal="center" vertical="center"/>
    </xf>
    <xf numFmtId="9" fontId="48" fillId="0" borderId="137" xfId="0" applyNumberFormat="1" applyFont="1" applyFill="1" applyBorder="1" applyAlignment="1">
      <alignment horizontal="center" vertical="center"/>
    </xf>
    <xf numFmtId="9" fontId="48" fillId="0" borderId="134" xfId="0" applyNumberFormat="1" applyFont="1" applyFill="1" applyBorder="1" applyAlignment="1">
      <alignment horizontal="center" vertical="center"/>
    </xf>
    <xf numFmtId="9" fontId="48" fillId="0" borderId="132" xfId="0" applyNumberFormat="1" applyFont="1" applyBorder="1" applyAlignment="1">
      <alignment horizontal="center" vertical="center"/>
    </xf>
    <xf numFmtId="0" fontId="25" fillId="13" borderId="132" xfId="0" applyNumberFormat="1" applyFont="1" applyFill="1" applyBorder="1" applyAlignment="1" applyProtection="1">
      <alignment horizontal="center" vertical="center" wrapText="1"/>
    </xf>
    <xf numFmtId="9" fontId="48" fillId="0" borderId="92" xfId="0" applyNumberFormat="1" applyFont="1" applyBorder="1" applyAlignment="1">
      <alignment horizontal="center" vertical="center"/>
    </xf>
    <xf numFmtId="0" fontId="25" fillId="13" borderId="92" xfId="0" applyNumberFormat="1" applyFont="1" applyFill="1" applyBorder="1" applyAlignment="1" applyProtection="1">
      <alignment horizontal="center" vertical="center" wrapText="1"/>
    </xf>
    <xf numFmtId="0" fontId="48" fillId="0" borderId="131" xfId="0" applyFont="1" applyBorder="1" applyAlignment="1">
      <alignment horizontal="center" vertical="center" wrapText="1"/>
    </xf>
    <xf numFmtId="9" fontId="74" fillId="0" borderId="92" xfId="0" applyNumberFormat="1" applyFont="1" applyFill="1" applyBorder="1" applyAlignment="1" applyProtection="1">
      <alignment horizontal="center" vertical="center" wrapText="1"/>
      <protection locked="0"/>
    </xf>
    <xf numFmtId="0" fontId="48" fillId="0" borderId="131" xfId="0" applyFont="1" applyBorder="1" applyAlignment="1">
      <alignment horizontal="left" vertical="center" wrapText="1"/>
    </xf>
    <xf numFmtId="9" fontId="48" fillId="0" borderId="92" xfId="0" applyNumberFormat="1" applyFont="1" applyFill="1" applyBorder="1" applyAlignment="1">
      <alignment horizontal="center" vertical="center"/>
    </xf>
    <xf numFmtId="0" fontId="18" fillId="2" borderId="131" xfId="0" applyFont="1" applyFill="1" applyBorder="1" applyAlignment="1" applyProtection="1">
      <alignment horizontal="center"/>
      <protection locked="0"/>
    </xf>
    <xf numFmtId="0" fontId="18" fillId="2" borderId="130" xfId="0" applyFont="1" applyFill="1" applyBorder="1" applyAlignment="1" applyProtection="1">
      <alignment horizontal="center"/>
      <protection locked="0"/>
    </xf>
    <xf numFmtId="9" fontId="48" fillId="0" borderId="130" xfId="0" applyNumberFormat="1" applyFont="1" applyFill="1" applyBorder="1" applyAlignment="1">
      <alignment horizontal="center" vertical="center"/>
    </xf>
    <xf numFmtId="0" fontId="25" fillId="13" borderId="130" xfId="0" applyNumberFormat="1" applyFont="1" applyFill="1" applyBorder="1" applyAlignment="1" applyProtection="1">
      <alignment horizontal="center" vertical="center" wrapText="1"/>
    </xf>
    <xf numFmtId="0" fontId="48" fillId="0" borderId="134" xfId="0" applyFont="1" applyFill="1" applyBorder="1" applyAlignment="1">
      <alignment horizontal="center" vertical="center" wrapText="1"/>
    </xf>
    <xf numFmtId="0" fontId="48" fillId="0" borderId="135" xfId="0" applyFont="1" applyFill="1" applyBorder="1" applyAlignment="1">
      <alignment horizontal="center" vertical="center"/>
    </xf>
    <xf numFmtId="9" fontId="48" fillId="0" borderId="132" xfId="0" applyNumberFormat="1" applyFont="1" applyFill="1" applyBorder="1" applyAlignment="1">
      <alignment horizontal="center" vertical="center"/>
    </xf>
    <xf numFmtId="1" fontId="74" fillId="0" borderId="92" xfId="0" applyNumberFormat="1" applyFont="1" applyFill="1" applyBorder="1" applyAlignment="1" applyProtection="1">
      <alignment horizontal="center" vertical="center" wrapText="1"/>
      <protection locked="0"/>
    </xf>
    <xf numFmtId="9" fontId="74" fillId="0" borderId="92" xfId="3" applyFont="1" applyFill="1" applyBorder="1" applyAlignment="1" applyProtection="1">
      <alignment horizontal="center" vertical="center" wrapText="1"/>
      <protection locked="0"/>
    </xf>
    <xf numFmtId="9" fontId="74" fillId="2" borderId="131" xfId="3" applyFont="1" applyFill="1" applyBorder="1" applyAlignment="1" applyProtection="1">
      <alignment horizontal="center" vertical="center" wrapText="1"/>
    </xf>
    <xf numFmtId="1" fontId="74" fillId="2" borderId="92" xfId="0" applyNumberFormat="1" applyFont="1" applyFill="1" applyBorder="1" applyAlignment="1" applyProtection="1">
      <alignment horizontal="center" vertical="center" wrapText="1"/>
    </xf>
    <xf numFmtId="1" fontId="74" fillId="0" borderId="92" xfId="0" applyNumberFormat="1" applyFont="1" applyFill="1" applyBorder="1" applyAlignment="1" applyProtection="1">
      <alignment horizontal="center" vertical="center" wrapText="1"/>
    </xf>
    <xf numFmtId="9" fontId="74" fillId="2" borderId="92" xfId="3" applyFont="1" applyFill="1" applyBorder="1" applyAlignment="1" applyProtection="1">
      <alignment horizontal="center" vertical="center" wrapText="1"/>
    </xf>
    <xf numFmtId="0" fontId="48" fillId="0" borderId="130" xfId="0" applyFont="1" applyBorder="1" applyAlignment="1">
      <alignment horizontal="center" vertical="center"/>
    </xf>
    <xf numFmtId="9" fontId="48" fillId="0" borderId="130" xfId="0" applyNumberFormat="1" applyFont="1" applyBorder="1" applyAlignment="1">
      <alignment horizontal="center" vertical="center"/>
    </xf>
    <xf numFmtId="9" fontId="48" fillId="0" borderId="134" xfId="0" applyNumberFormat="1" applyFont="1" applyBorder="1" applyAlignment="1">
      <alignment horizontal="center" vertical="center"/>
    </xf>
    <xf numFmtId="0" fontId="48" fillId="0" borderId="140" xfId="0" applyFont="1" applyBorder="1" applyAlignment="1">
      <alignment horizontal="center" vertical="center" wrapText="1"/>
    </xf>
    <xf numFmtId="0" fontId="48" fillId="0" borderId="141" xfId="0" applyFont="1" applyBorder="1" applyAlignment="1">
      <alignment horizontal="center" vertical="center" wrapText="1"/>
    </xf>
    <xf numFmtId="9" fontId="74" fillId="0" borderId="141" xfId="0" applyNumberFormat="1" applyFont="1" applyFill="1" applyBorder="1" applyAlignment="1" applyProtection="1">
      <alignment horizontal="center" vertical="center" wrapText="1"/>
      <protection locked="0"/>
    </xf>
    <xf numFmtId="0" fontId="48" fillId="0" borderId="114" xfId="0" applyFont="1" applyBorder="1" applyAlignment="1">
      <alignment horizontal="center" vertical="center" wrapText="1"/>
    </xf>
    <xf numFmtId="169" fontId="48" fillId="0" borderId="135" xfId="0" applyNumberFormat="1" applyFont="1" applyBorder="1" applyAlignment="1">
      <alignment horizontal="center" vertical="center"/>
    </xf>
    <xf numFmtId="169" fontId="48" fillId="0" borderId="136" xfId="0" applyNumberFormat="1" applyFont="1" applyBorder="1" applyAlignment="1">
      <alignment horizontal="center" vertical="center"/>
    </xf>
    <xf numFmtId="169" fontId="48" fillId="0" borderId="136" xfId="0" applyNumberFormat="1" applyFont="1" applyFill="1" applyBorder="1" applyAlignment="1">
      <alignment horizontal="center" vertical="center"/>
    </xf>
    <xf numFmtId="169" fontId="74" fillId="0" borderId="136" xfId="0" applyNumberFormat="1" applyFont="1" applyFill="1" applyBorder="1" applyAlignment="1" applyProtection="1">
      <alignment horizontal="center" vertical="center" wrapText="1"/>
      <protection locked="0"/>
    </xf>
    <xf numFmtId="169" fontId="48" fillId="0" borderId="137" xfId="0" applyNumberFormat="1" applyFont="1" applyFill="1" applyBorder="1" applyAlignment="1">
      <alignment horizontal="center" vertical="center"/>
    </xf>
    <xf numFmtId="0" fontId="75" fillId="2" borderId="136" xfId="0" applyFont="1" applyFill="1" applyBorder="1" applyAlignment="1" applyProtection="1">
      <alignment horizontal="center"/>
      <protection locked="0"/>
    </xf>
    <xf numFmtId="1" fontId="74"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lignment horizontal="center" vertical="center" wrapText="1"/>
    </xf>
    <xf numFmtId="0" fontId="48" fillId="0" borderId="136" xfId="0" applyFont="1" applyBorder="1" applyAlignment="1">
      <alignment horizontal="center" vertical="center" wrapText="1"/>
    </xf>
    <xf numFmtId="0" fontId="48" fillId="0" borderId="142" xfId="0" applyFont="1" applyBorder="1" applyAlignment="1">
      <alignment horizontal="center" vertical="center" wrapText="1"/>
    </xf>
    <xf numFmtId="0" fontId="48" fillId="0" borderId="143" xfId="0" applyFont="1" applyBorder="1" applyAlignment="1">
      <alignment horizontal="center" vertical="center" wrapText="1"/>
    </xf>
    <xf numFmtId="0" fontId="76" fillId="2" borderId="143" xfId="0" applyFont="1" applyFill="1" applyBorder="1" applyAlignment="1" applyProtection="1">
      <alignment horizontal="left"/>
      <protection locked="0"/>
    </xf>
    <xf numFmtId="0" fontId="74" fillId="0" borderId="143" xfId="0" applyFont="1" applyFill="1" applyBorder="1" applyAlignment="1" applyProtection="1">
      <alignment horizontal="center" vertical="center" wrapText="1"/>
      <protection locked="0"/>
    </xf>
    <xf numFmtId="0" fontId="74" fillId="0" borderId="143" xfId="0" applyFont="1" applyFill="1" applyBorder="1" applyAlignment="1" applyProtection="1">
      <alignment horizontal="left" wrapText="1"/>
      <protection locked="0"/>
    </xf>
    <xf numFmtId="0" fontId="48" fillId="0" borderId="144" xfId="0" applyFont="1" applyBorder="1" applyAlignment="1">
      <alignment horizontal="center" vertical="center" wrapText="1"/>
    </xf>
    <xf numFmtId="1" fontId="74" fillId="0" borderId="131" xfId="0" applyNumberFormat="1" applyFont="1" applyFill="1" applyBorder="1" applyAlignment="1" applyProtection="1">
      <alignment horizontal="center" vertical="center" wrapText="1"/>
      <protection locked="0"/>
    </xf>
    <xf numFmtId="0" fontId="0" fillId="0" borderId="36" xfId="0" pivotButton="1" applyFont="1" applyBorder="1"/>
    <xf numFmtId="0" fontId="0" fillId="0" borderId="36" xfId="0" applyFont="1" applyBorder="1"/>
    <xf numFmtId="0" fontId="0" fillId="0" borderId="31" xfId="0" pivotButton="1" applyFont="1" applyBorder="1" applyAlignment="1">
      <alignment wrapText="1"/>
    </xf>
    <xf numFmtId="0" fontId="0" fillId="0" borderId="37" xfId="0" applyFont="1" applyBorder="1" applyAlignment="1">
      <alignment horizontal="center" vertical="center"/>
    </xf>
    <xf numFmtId="0" fontId="0" fillId="0" borderId="37" xfId="0" applyFont="1" applyBorder="1"/>
    <xf numFmtId="0" fontId="0" fillId="0" borderId="31" xfId="0" applyFont="1" applyBorder="1"/>
    <xf numFmtId="3" fontId="0" fillId="0" borderId="37" xfId="0" applyNumberFormat="1" applyFont="1" applyBorder="1" applyAlignment="1">
      <alignment horizontal="center" vertical="center"/>
    </xf>
    <xf numFmtId="0" fontId="0" fillId="0" borderId="35" xfId="0" applyFont="1" applyBorder="1"/>
    <xf numFmtId="3" fontId="0" fillId="0" borderId="38" xfId="0" applyNumberFormat="1" applyFont="1" applyBorder="1" applyAlignment="1">
      <alignment horizontal="center" vertical="center"/>
    </xf>
    <xf numFmtId="0" fontId="0" fillId="0" borderId="39" xfId="0" applyFont="1" applyBorder="1" applyAlignment="1">
      <alignment wrapText="1"/>
    </xf>
    <xf numFmtId="3" fontId="0" fillId="0" borderId="36" xfId="0" applyNumberFormat="1" applyFont="1" applyBorder="1" applyAlignment="1">
      <alignment horizontal="center" vertical="center"/>
    </xf>
    <xf numFmtId="0" fontId="0" fillId="0" borderId="31" xfId="0" applyFont="1" applyBorder="1" applyAlignment="1">
      <alignment wrapText="1"/>
    </xf>
    <xf numFmtId="0" fontId="0" fillId="0" borderId="32" xfId="0" applyFont="1" applyBorder="1" applyAlignment="1">
      <alignment horizontal="center" vertical="center"/>
    </xf>
    <xf numFmtId="0" fontId="0" fillId="0" borderId="33" xfId="0" applyFont="1" applyBorder="1" applyAlignment="1">
      <alignment horizontal="center" vertical="center"/>
    </xf>
    <xf numFmtId="0" fontId="0" fillId="0" borderId="31" xfId="0" pivotButton="1" applyFont="1" applyBorder="1"/>
    <xf numFmtId="0" fontId="0" fillId="0" borderId="34" xfId="0" applyFont="1" applyBorder="1"/>
    <xf numFmtId="3" fontId="0" fillId="0" borderId="31" xfId="0" applyNumberFormat="1" applyFont="1" applyBorder="1" applyAlignment="1">
      <alignment horizontal="center" vertical="center"/>
    </xf>
    <xf numFmtId="3" fontId="0" fillId="0" borderId="34" xfId="0" applyNumberFormat="1" applyFont="1" applyBorder="1" applyAlignment="1">
      <alignment horizontal="center" vertical="center"/>
    </xf>
    <xf numFmtId="3" fontId="0" fillId="0" borderId="35" xfId="0" applyNumberFormat="1" applyFont="1" applyBorder="1" applyAlignment="1">
      <alignment horizontal="center" vertical="center"/>
    </xf>
    <xf numFmtId="3" fontId="0" fillId="0" borderId="0" xfId="0" applyNumberFormat="1" applyFont="1" applyAlignment="1">
      <alignment horizontal="center" vertical="center"/>
    </xf>
    <xf numFmtId="0" fontId="0" fillId="0" borderId="42" xfId="0" applyFont="1" applyBorder="1"/>
    <xf numFmtId="3" fontId="0" fillId="0" borderId="42" xfId="0" applyNumberFormat="1" applyFont="1" applyBorder="1" applyAlignment="1">
      <alignment horizontal="center" vertical="center"/>
    </xf>
    <xf numFmtId="3" fontId="0" fillId="0" borderId="44" xfId="0" applyNumberFormat="1" applyFont="1" applyBorder="1" applyAlignment="1">
      <alignment horizontal="center" vertical="center"/>
    </xf>
    <xf numFmtId="3" fontId="0" fillId="0" borderId="43" xfId="0" applyNumberFormat="1" applyFont="1" applyBorder="1" applyAlignment="1">
      <alignment horizontal="center" vertical="center"/>
    </xf>
    <xf numFmtId="0" fontId="0" fillId="0" borderId="32" xfId="0" applyFont="1" applyBorder="1"/>
    <xf numFmtId="0" fontId="0" fillId="0" borderId="33" xfId="0" applyFont="1" applyBorder="1"/>
    <xf numFmtId="1" fontId="0" fillId="0" borderId="31" xfId="0" applyNumberFormat="1" applyFont="1" applyBorder="1" applyAlignment="1">
      <alignment horizontal="center" vertical="center"/>
    </xf>
    <xf numFmtId="1" fontId="0" fillId="0" borderId="34" xfId="0" applyNumberFormat="1" applyFont="1" applyBorder="1" applyAlignment="1">
      <alignment horizontal="center" vertical="center"/>
    </xf>
    <xf numFmtId="1" fontId="0" fillId="0" borderId="35" xfId="0" applyNumberFormat="1" applyFont="1" applyBorder="1" applyAlignment="1">
      <alignment horizontal="center" vertical="center"/>
    </xf>
    <xf numFmtId="1" fontId="0" fillId="0" borderId="0" xfId="0" applyNumberFormat="1" applyFont="1" applyAlignment="1">
      <alignment horizontal="center" vertical="center"/>
    </xf>
    <xf numFmtId="1" fontId="0" fillId="0" borderId="42" xfId="0" applyNumberFormat="1" applyFont="1" applyBorder="1" applyAlignment="1">
      <alignment horizontal="center" vertical="center"/>
    </xf>
    <xf numFmtId="1" fontId="0" fillId="0" borderId="44" xfId="0" applyNumberFormat="1" applyFont="1" applyBorder="1" applyAlignment="1">
      <alignment horizontal="center" vertical="center"/>
    </xf>
    <xf numFmtId="0" fontId="0" fillId="0" borderId="36" xfId="0" pivotButton="1" applyFont="1" applyBorder="1" applyAlignment="1">
      <alignment wrapText="1"/>
    </xf>
    <xf numFmtId="0" fontId="0" fillId="0" borderId="36" xfId="0" applyFont="1" applyBorder="1" applyAlignment="1">
      <alignment horizontal="center" vertical="center"/>
    </xf>
    <xf numFmtId="9" fontId="0" fillId="0" borderId="37" xfId="0" applyNumberFormat="1" applyFont="1" applyBorder="1" applyAlignment="1">
      <alignment horizontal="center" vertical="center"/>
    </xf>
    <xf numFmtId="0" fontId="0" fillId="0" borderId="35" xfId="0" applyFont="1" applyBorder="1" applyAlignment="1">
      <alignment wrapText="1"/>
    </xf>
    <xf numFmtId="9" fontId="0" fillId="0" borderId="38" xfId="0" applyNumberFormat="1" applyFont="1" applyBorder="1" applyAlignment="1">
      <alignment horizontal="center" vertical="center"/>
    </xf>
    <xf numFmtId="0" fontId="0" fillId="0" borderId="42" xfId="0" applyFont="1" applyBorder="1" applyAlignment="1">
      <alignment wrapText="1"/>
    </xf>
    <xf numFmtId="9" fontId="0" fillId="0" borderId="43" xfId="0" applyNumberFormat="1" applyFont="1" applyBorder="1" applyAlignment="1">
      <alignment horizontal="center" vertical="center"/>
    </xf>
    <xf numFmtId="1" fontId="0" fillId="0" borderId="37" xfId="0" applyNumberFormat="1" applyFont="1" applyBorder="1" applyAlignment="1">
      <alignment horizontal="center" vertical="center"/>
    </xf>
    <xf numFmtId="1" fontId="0" fillId="0" borderId="38" xfId="0" applyNumberFormat="1" applyFont="1" applyBorder="1" applyAlignment="1">
      <alignment horizontal="center" vertical="center"/>
    </xf>
    <xf numFmtId="1" fontId="0" fillId="0" borderId="43" xfId="0" applyNumberFormat="1" applyFont="1" applyBorder="1" applyAlignment="1">
      <alignment horizontal="center" vertical="center"/>
    </xf>
    <xf numFmtId="0" fontId="53" fillId="14" borderId="61" xfId="21" applyFont="1" applyFill="1" applyBorder="1" applyAlignment="1" applyProtection="1">
      <alignment horizontal="center" vertical="center" wrapText="1"/>
      <protection locked="0"/>
    </xf>
    <xf numFmtId="0" fontId="53" fillId="0" borderId="59" xfId="21" applyFont="1" applyFill="1" applyBorder="1" applyAlignment="1" applyProtection="1">
      <alignment horizontal="left" vertical="center" wrapText="1"/>
      <protection locked="0"/>
    </xf>
    <xf numFmtId="14" fontId="53" fillId="0" borderId="57" xfId="21" applyNumberFormat="1" applyFont="1" applyFill="1" applyBorder="1" applyAlignment="1">
      <alignment horizontal="center" vertical="center" wrapText="1"/>
    </xf>
    <xf numFmtId="14" fontId="53" fillId="0" borderId="58" xfId="21" applyNumberFormat="1" applyFont="1" applyFill="1" applyBorder="1" applyAlignment="1">
      <alignment horizontal="center" vertical="center" wrapText="1"/>
    </xf>
    <xf numFmtId="0" fontId="53" fillId="0" borderId="60" xfId="21" applyFont="1" applyFill="1" applyBorder="1" applyAlignment="1" applyProtection="1">
      <alignment horizontal="center" vertical="center" wrapText="1"/>
      <protection locked="0"/>
    </xf>
    <xf numFmtId="0" fontId="53" fillId="0" borderId="59" xfId="21" applyFont="1" applyFill="1" applyBorder="1" applyAlignment="1" applyProtection="1">
      <alignment horizontal="center" vertical="center" wrapText="1"/>
      <protection locked="0"/>
    </xf>
    <xf numFmtId="14" fontId="60" fillId="15" borderId="69" xfId="21" applyNumberFormat="1" applyFont="1" applyFill="1" applyBorder="1" applyAlignment="1" applyProtection="1">
      <alignment horizontal="center" vertical="center" wrapText="1"/>
      <protection locked="0"/>
    </xf>
    <xf numFmtId="0" fontId="60" fillId="15" borderId="70" xfId="21" applyFont="1" applyFill="1" applyBorder="1" applyAlignment="1" applyProtection="1">
      <alignment horizontal="center" vertical="center" wrapText="1"/>
      <protection locked="0"/>
    </xf>
    <xf numFmtId="14" fontId="53" fillId="15" borderId="58" xfId="21" applyNumberFormat="1" applyFont="1" applyFill="1" applyBorder="1" applyAlignment="1" applyProtection="1">
      <alignment horizontal="center" vertical="center" wrapText="1"/>
      <protection locked="0"/>
    </xf>
    <xf numFmtId="14" fontId="60" fillId="15" borderId="68" xfId="21" applyNumberFormat="1" applyFont="1" applyFill="1" applyBorder="1" applyAlignment="1" applyProtection="1">
      <alignment horizontal="center" vertical="center" wrapText="1"/>
      <protection locked="0"/>
    </xf>
    <xf numFmtId="3" fontId="53" fillId="6" borderId="77" xfId="21" applyNumberFormat="1" applyFont="1" applyFill="1" applyBorder="1" applyAlignment="1" applyProtection="1">
      <alignment horizontal="center" vertical="center" wrapText="1"/>
      <protection locked="0"/>
    </xf>
    <xf numFmtId="3" fontId="53" fillId="6" borderId="76" xfId="21" applyNumberFormat="1" applyFont="1" applyFill="1" applyBorder="1" applyAlignment="1" applyProtection="1">
      <alignment horizontal="center" vertical="center" wrapText="1"/>
      <protection locked="0"/>
    </xf>
    <xf numFmtId="14" fontId="53" fillId="14" borderId="98" xfId="21" applyNumberFormat="1" applyFont="1" applyFill="1" applyBorder="1" applyAlignment="1" applyProtection="1">
      <alignment horizontal="center" vertical="center" wrapText="1"/>
      <protection locked="0"/>
    </xf>
    <xf numFmtId="14" fontId="53" fillId="14" borderId="99" xfId="21" applyNumberFormat="1" applyFont="1" applyFill="1" applyBorder="1" applyAlignment="1" applyProtection="1">
      <alignment horizontal="center" vertical="center" wrapText="1"/>
      <protection locked="0"/>
    </xf>
    <xf numFmtId="0" fontId="53" fillId="14" borderId="101" xfId="21" applyFont="1" applyFill="1" applyBorder="1" applyAlignment="1" applyProtection="1">
      <alignment horizontal="center" vertical="center" wrapText="1"/>
      <protection locked="0"/>
    </xf>
    <xf numFmtId="0" fontId="53" fillId="14" borderId="100" xfId="21" applyFont="1" applyFill="1" applyBorder="1" applyAlignment="1" applyProtection="1">
      <alignment horizontal="center" vertical="center" wrapText="1"/>
      <protection locked="0"/>
    </xf>
    <xf numFmtId="0" fontId="53" fillId="14" borderId="98" xfId="21" applyFont="1" applyFill="1" applyBorder="1" applyAlignment="1" applyProtection="1">
      <alignment horizontal="center" vertical="center" wrapText="1"/>
      <protection locked="0"/>
    </xf>
    <xf numFmtId="9" fontId="53" fillId="14" borderId="99" xfId="21" applyNumberFormat="1" applyFont="1" applyFill="1" applyBorder="1" applyAlignment="1" applyProtection="1">
      <alignment horizontal="center" vertical="center" wrapText="1"/>
      <protection locked="0"/>
    </xf>
    <xf numFmtId="9" fontId="53" fillId="14" borderId="102" xfId="21" applyNumberFormat="1" applyFont="1" applyFill="1" applyBorder="1" applyAlignment="1" applyProtection="1">
      <alignment horizontal="center" vertical="center" wrapText="1"/>
      <protection locked="0"/>
    </xf>
    <xf numFmtId="9" fontId="53" fillId="14" borderId="103" xfId="21" applyNumberFormat="1" applyFont="1" applyFill="1" applyBorder="1" applyAlignment="1" applyProtection="1">
      <alignment horizontal="center" vertical="center" wrapText="1"/>
      <protection locked="0"/>
    </xf>
    <xf numFmtId="9" fontId="53" fillId="14" borderId="101" xfId="21" applyNumberFormat="1" applyFont="1" applyFill="1" applyBorder="1" applyAlignment="1" applyProtection="1">
      <alignment horizontal="center" vertical="center" wrapText="1"/>
      <protection locked="0"/>
    </xf>
    <xf numFmtId="0" fontId="53" fillId="14" borderId="104" xfId="21" applyFont="1" applyFill="1" applyBorder="1" applyAlignment="1" applyProtection="1">
      <alignment horizontal="center" vertical="center" wrapText="1"/>
      <protection locked="0"/>
    </xf>
    <xf numFmtId="0" fontId="53" fillId="14" borderId="99" xfId="21" applyFont="1" applyFill="1" applyBorder="1" applyAlignment="1" applyProtection="1">
      <alignment horizontal="center" vertical="center" wrapText="1"/>
      <protection locked="0"/>
    </xf>
    <xf numFmtId="3" fontId="53" fillId="14" borderId="54" xfId="21" applyNumberFormat="1" applyFont="1" applyFill="1" applyBorder="1" applyAlignment="1" applyProtection="1">
      <alignment horizontal="center" vertical="center" wrapText="1"/>
      <protection locked="0"/>
    </xf>
    <xf numFmtId="3" fontId="53" fillId="14" borderId="50" xfId="21" applyNumberFormat="1" applyFont="1" applyFill="1" applyBorder="1" applyAlignment="1" applyProtection="1">
      <alignment horizontal="center" vertical="center" wrapText="1"/>
      <protection locked="0"/>
    </xf>
    <xf numFmtId="3" fontId="53" fillId="14" borderId="53" xfId="21" applyNumberFormat="1" applyFont="1" applyFill="1" applyBorder="1" applyAlignment="1" applyProtection="1">
      <alignment horizontal="center" vertical="center" wrapText="1"/>
      <protection locked="0"/>
    </xf>
    <xf numFmtId="3" fontId="53" fillId="14" borderId="55" xfId="21" applyNumberFormat="1" applyFont="1" applyFill="1" applyBorder="1" applyAlignment="1" applyProtection="1">
      <alignment horizontal="center" vertical="center" wrapText="1"/>
      <protection locked="0"/>
    </xf>
    <xf numFmtId="3" fontId="53" fillId="14" borderId="52" xfId="21" applyNumberFormat="1" applyFont="1" applyFill="1" applyBorder="1" applyAlignment="1" applyProtection="1">
      <alignment horizontal="center" vertical="center" wrapText="1"/>
      <protection locked="0"/>
    </xf>
    <xf numFmtId="3" fontId="53" fillId="14" borderId="94" xfId="21" applyNumberFormat="1" applyFont="1" applyFill="1" applyBorder="1" applyAlignment="1" applyProtection="1">
      <alignment horizontal="center" vertical="center" wrapText="1"/>
      <protection locked="0"/>
    </xf>
    <xf numFmtId="3" fontId="53" fillId="14" borderId="69" xfId="21" applyNumberFormat="1" applyFont="1" applyFill="1" applyBorder="1" applyAlignment="1" applyProtection="1">
      <alignment horizontal="center" vertical="center" wrapText="1"/>
      <protection locked="0"/>
    </xf>
    <xf numFmtId="3" fontId="53" fillId="14" borderId="93" xfId="21" applyNumberFormat="1" applyFont="1" applyFill="1" applyBorder="1" applyAlignment="1" applyProtection="1">
      <alignment horizontal="center" vertical="center" wrapText="1"/>
      <protection locked="0"/>
    </xf>
    <xf numFmtId="3" fontId="53" fillId="14" borderId="63" xfId="21" applyNumberFormat="1" applyFont="1" applyFill="1" applyBorder="1" applyAlignment="1" applyProtection="1">
      <alignment horizontal="center" vertical="center" wrapText="1"/>
      <protection locked="0"/>
    </xf>
    <xf numFmtId="3" fontId="53" fillId="14" borderId="60" xfId="21" applyNumberFormat="1" applyFont="1" applyFill="1" applyBorder="1" applyAlignment="1" applyProtection="1">
      <alignment horizontal="center" vertical="center" wrapText="1"/>
      <protection locked="0"/>
    </xf>
    <xf numFmtId="0" fontId="53" fillId="14" borderId="63" xfId="21" applyFont="1" applyFill="1" applyBorder="1" applyAlignment="1" applyProtection="1">
      <alignment horizontal="center" vertical="center" wrapText="1"/>
      <protection locked="0"/>
    </xf>
    <xf numFmtId="0" fontId="53" fillId="14" borderId="57" xfId="21" applyFont="1" applyFill="1" applyBorder="1" applyAlignment="1" applyProtection="1">
      <alignment horizontal="center" vertical="center" wrapText="1"/>
      <protection locked="0"/>
    </xf>
    <xf numFmtId="0" fontId="53" fillId="14" borderId="45" xfId="21" applyFont="1" applyFill="1" applyBorder="1" applyAlignment="1" applyProtection="1">
      <alignment horizontal="center" vertical="center" wrapText="1"/>
      <protection locked="0"/>
    </xf>
    <xf numFmtId="0" fontId="53" fillId="14" borderId="46" xfId="21" applyFont="1" applyFill="1" applyBorder="1" applyAlignment="1" applyProtection="1">
      <alignment horizontal="center" vertical="center" wrapText="1"/>
      <protection locked="0"/>
    </xf>
    <xf numFmtId="0" fontId="53" fillId="14" borderId="47" xfId="21" applyFont="1" applyFill="1" applyBorder="1" applyAlignment="1" applyProtection="1">
      <alignment horizontal="center" vertical="center" wrapText="1"/>
      <protection locked="0"/>
    </xf>
    <xf numFmtId="0" fontId="53" fillId="14" borderId="82" xfId="21" applyFont="1" applyFill="1" applyBorder="1" applyAlignment="1" applyProtection="1">
      <alignment horizontal="center" vertical="center" wrapText="1"/>
      <protection locked="0"/>
    </xf>
    <xf numFmtId="0" fontId="53" fillId="14" borderId="77" xfId="21" applyFont="1" applyFill="1" applyBorder="1" applyAlignment="1" applyProtection="1">
      <alignment horizontal="center" vertical="center" wrapText="1"/>
      <protection locked="0"/>
    </xf>
    <xf numFmtId="0" fontId="53" fillId="14" borderId="79" xfId="21" applyFont="1" applyFill="1" applyBorder="1" applyAlignment="1" applyProtection="1">
      <alignment horizontal="center" vertical="center" wrapText="1"/>
      <protection locked="0"/>
    </xf>
    <xf numFmtId="9" fontId="53" fillId="14" borderId="46" xfId="21" applyNumberFormat="1" applyFont="1" applyFill="1" applyBorder="1" applyAlignment="1" applyProtection="1">
      <alignment horizontal="center" vertical="center" wrapText="1"/>
      <protection locked="0"/>
    </xf>
    <xf numFmtId="9" fontId="53" fillId="14" borderId="47" xfId="21" applyNumberFormat="1" applyFont="1" applyFill="1" applyBorder="1" applyAlignment="1" applyProtection="1">
      <alignment horizontal="center" vertical="center" wrapText="1"/>
      <protection locked="0"/>
    </xf>
    <xf numFmtId="9" fontId="53" fillId="14" borderId="77" xfId="21" applyNumberFormat="1" applyFont="1" applyFill="1" applyBorder="1" applyAlignment="1" applyProtection="1">
      <alignment horizontal="center" vertical="center" wrapText="1"/>
      <protection locked="0"/>
    </xf>
    <xf numFmtId="9" fontId="53" fillId="14" borderId="79" xfId="21" applyNumberFormat="1" applyFont="1" applyFill="1" applyBorder="1" applyAlignment="1" applyProtection="1">
      <alignment horizontal="center" vertical="center" wrapText="1"/>
      <protection locked="0"/>
    </xf>
    <xf numFmtId="0" fontId="53" fillId="14" borderId="100" xfId="21" applyFont="1" applyFill="1" applyBorder="1" applyAlignment="1" applyProtection="1">
      <alignment horizontal="left" vertical="center" wrapText="1"/>
      <protection locked="0"/>
    </xf>
    <xf numFmtId="0" fontId="53" fillId="14" borderId="73" xfId="21" applyFont="1" applyFill="1" applyBorder="1" applyAlignment="1" applyProtection="1">
      <alignment horizontal="left" vertical="center" wrapText="1"/>
      <protection locked="0"/>
    </xf>
    <xf numFmtId="0" fontId="53" fillId="14" borderId="78" xfId="21" applyFont="1" applyFill="1" applyBorder="1" applyAlignment="1" applyProtection="1">
      <alignment horizontal="left" vertical="center" wrapText="1"/>
      <protection locked="0"/>
    </xf>
    <xf numFmtId="0" fontId="53" fillId="2" borderId="60" xfId="46" applyFont="1" applyFill="1" applyBorder="1" applyAlignment="1" applyProtection="1">
      <alignment horizontal="center" vertical="center" wrapText="1"/>
      <protection locked="0"/>
    </xf>
    <xf numFmtId="9" fontId="53" fillId="2" borderId="62" xfId="46" applyNumberFormat="1" applyFont="1" applyFill="1" applyBorder="1" applyAlignment="1" applyProtection="1">
      <alignment horizontal="center" vertical="center" wrapText="1"/>
      <protection locked="0"/>
    </xf>
    <xf numFmtId="9" fontId="53" fillId="2" borderId="60" xfId="46" applyNumberFormat="1" applyFont="1" applyFill="1" applyBorder="1" applyAlignment="1" applyProtection="1">
      <alignment horizontal="center" vertical="center" wrapText="1"/>
      <protection locked="0"/>
    </xf>
    <xf numFmtId="3" fontId="53" fillId="6" borderId="57" xfId="46" applyNumberFormat="1" applyFont="1" applyFill="1" applyBorder="1" applyAlignment="1" applyProtection="1">
      <alignment horizontal="center" vertical="center" wrapText="1"/>
      <protection locked="0"/>
    </xf>
    <xf numFmtId="9" fontId="53" fillId="2" borderId="58" xfId="46" applyNumberFormat="1" applyFont="1" applyFill="1" applyBorder="1" applyAlignment="1" applyProtection="1">
      <alignment horizontal="center" vertical="center" wrapText="1"/>
      <protection locked="0"/>
    </xf>
    <xf numFmtId="9" fontId="53" fillId="2" borderId="61" xfId="46" applyNumberFormat="1" applyFont="1" applyFill="1" applyBorder="1" applyAlignment="1" applyProtection="1">
      <alignment horizontal="center" vertical="center" wrapText="1"/>
      <protection locked="0"/>
    </xf>
    <xf numFmtId="3" fontId="53" fillId="2" borderId="62" xfId="46" applyNumberFormat="1" applyFont="1" applyFill="1" applyBorder="1" applyAlignment="1" applyProtection="1">
      <alignment horizontal="center" vertical="center" wrapText="1"/>
      <protection locked="0"/>
    </xf>
    <xf numFmtId="3" fontId="53" fillId="2" borderId="58" xfId="46" applyNumberFormat="1" applyFont="1" applyFill="1" applyBorder="1" applyAlignment="1" applyProtection="1">
      <alignment horizontal="center" vertical="center" wrapText="1"/>
      <protection locked="0"/>
    </xf>
    <xf numFmtId="3" fontId="53" fillId="2" borderId="61" xfId="46" applyNumberFormat="1" applyFont="1" applyFill="1" applyBorder="1" applyAlignment="1" applyProtection="1">
      <alignment horizontal="center" vertical="center" wrapText="1"/>
      <protection locked="0"/>
    </xf>
    <xf numFmtId="1" fontId="53" fillId="2" borderId="63" xfId="46" applyNumberFormat="1" applyFont="1" applyFill="1" applyBorder="1" applyAlignment="1" applyProtection="1">
      <alignment horizontal="center" vertical="center" wrapText="1"/>
      <protection locked="0"/>
    </xf>
    <xf numFmtId="0" fontId="53" fillId="2" borderId="58" xfId="46" applyFont="1" applyFill="1" applyBorder="1" applyAlignment="1" applyProtection="1">
      <alignment horizontal="center" vertical="center" wrapText="1"/>
      <protection locked="0"/>
    </xf>
    <xf numFmtId="0" fontId="53" fillId="2" borderId="60" xfId="46" applyFont="1" applyFill="1" applyBorder="1" applyAlignment="1" applyProtection="1">
      <alignment horizontal="center" vertical="center" wrapText="1"/>
      <protection locked="0"/>
    </xf>
    <xf numFmtId="9" fontId="53" fillId="2" borderId="62" xfId="46" applyNumberFormat="1" applyFont="1" applyFill="1" applyBorder="1" applyAlignment="1" applyProtection="1">
      <alignment horizontal="center" vertical="center" wrapText="1"/>
      <protection locked="0"/>
    </xf>
    <xf numFmtId="9" fontId="53" fillId="2" borderId="60" xfId="46" applyNumberFormat="1" applyFont="1" applyFill="1" applyBorder="1" applyAlignment="1" applyProtection="1">
      <alignment horizontal="center" vertical="center" wrapText="1"/>
      <protection locked="0"/>
    </xf>
    <xf numFmtId="3" fontId="53" fillId="6" borderId="57" xfId="46" applyNumberFormat="1" applyFont="1" applyFill="1" applyBorder="1" applyAlignment="1" applyProtection="1">
      <alignment horizontal="center" vertical="center" wrapText="1"/>
      <protection locked="0"/>
    </xf>
    <xf numFmtId="9" fontId="53" fillId="2" borderId="58" xfId="46" applyNumberFormat="1" applyFont="1" applyFill="1" applyBorder="1" applyAlignment="1" applyProtection="1">
      <alignment horizontal="center" vertical="center" wrapText="1"/>
      <protection locked="0"/>
    </xf>
    <xf numFmtId="14" fontId="53" fillId="2" borderId="57" xfId="46" applyNumberFormat="1" applyFont="1" applyFill="1" applyBorder="1" applyAlignment="1" applyProtection="1">
      <alignment horizontal="center" vertical="center" wrapText="1"/>
      <protection locked="0"/>
    </xf>
    <xf numFmtId="14" fontId="53" fillId="2" borderId="58" xfId="46" applyNumberFormat="1" applyFont="1" applyFill="1" applyBorder="1" applyAlignment="1" applyProtection="1">
      <alignment horizontal="center" vertical="center" wrapText="1"/>
      <protection locked="0"/>
    </xf>
    <xf numFmtId="3" fontId="53" fillId="2" borderId="57" xfId="46" applyNumberFormat="1" applyFont="1" applyFill="1" applyBorder="1" applyAlignment="1" applyProtection="1">
      <alignment horizontal="center" vertical="center" wrapText="1"/>
      <protection locked="0"/>
    </xf>
    <xf numFmtId="9" fontId="53" fillId="2" borderId="61" xfId="46" applyNumberFormat="1" applyFont="1" applyFill="1" applyBorder="1" applyAlignment="1" applyProtection="1">
      <alignment horizontal="center" vertical="center" wrapText="1"/>
      <protection locked="0"/>
    </xf>
    <xf numFmtId="3" fontId="53" fillId="2" borderId="62" xfId="46" applyNumberFormat="1" applyFont="1" applyFill="1" applyBorder="1" applyAlignment="1" applyProtection="1">
      <alignment horizontal="center" vertical="center" wrapText="1"/>
      <protection locked="0"/>
    </xf>
    <xf numFmtId="3" fontId="53" fillId="2" borderId="58" xfId="46" applyNumberFormat="1" applyFont="1" applyFill="1" applyBorder="1" applyAlignment="1" applyProtection="1">
      <alignment horizontal="center" vertical="center" wrapText="1"/>
      <protection locked="0"/>
    </xf>
    <xf numFmtId="3" fontId="53" fillId="2" borderId="61" xfId="46" applyNumberFormat="1" applyFont="1" applyFill="1" applyBorder="1" applyAlignment="1" applyProtection="1">
      <alignment horizontal="center" vertical="center" wrapText="1"/>
      <protection locked="0"/>
    </xf>
    <xf numFmtId="1" fontId="53" fillId="2" borderId="63" xfId="46" applyNumberFormat="1" applyFont="1" applyFill="1" applyBorder="1" applyAlignment="1" applyProtection="1">
      <alignment horizontal="center" vertical="center" wrapText="1"/>
      <protection locked="0"/>
    </xf>
    <xf numFmtId="0" fontId="53" fillId="2" borderId="59" xfId="46" applyFont="1" applyFill="1" applyBorder="1" applyAlignment="1" applyProtection="1">
      <alignment horizontal="left" vertical="center" wrapText="1"/>
      <protection locked="0"/>
    </xf>
    <xf numFmtId="0" fontId="53" fillId="2" borderId="58" xfId="46" applyFont="1" applyFill="1" applyBorder="1" applyAlignment="1" applyProtection="1">
      <alignment horizontal="center" vertical="center" wrapText="1"/>
      <protection locked="0"/>
    </xf>
    <xf numFmtId="14" fontId="53" fillId="2" borderId="57" xfId="46" applyNumberFormat="1" applyFont="1" applyFill="1" applyBorder="1" applyAlignment="1" applyProtection="1">
      <alignment horizontal="center" vertical="center" wrapText="1"/>
      <protection locked="0"/>
    </xf>
    <xf numFmtId="0" fontId="53" fillId="2" borderId="60" xfId="46" applyFont="1" applyFill="1" applyBorder="1" applyAlignment="1" applyProtection="1">
      <alignment horizontal="center" vertical="center" wrapText="1"/>
      <protection locked="0"/>
    </xf>
    <xf numFmtId="9" fontId="53" fillId="2" borderId="62" xfId="46" applyNumberFormat="1" applyFont="1" applyFill="1" applyBorder="1" applyAlignment="1" applyProtection="1">
      <alignment horizontal="center" vertical="center" wrapText="1"/>
      <protection locked="0"/>
    </xf>
    <xf numFmtId="9" fontId="53" fillId="2" borderId="60" xfId="46" applyNumberFormat="1" applyFont="1" applyFill="1" applyBorder="1" applyAlignment="1" applyProtection="1">
      <alignment horizontal="center" vertical="center" wrapText="1"/>
      <protection locked="0"/>
    </xf>
    <xf numFmtId="9" fontId="53" fillId="2" borderId="58" xfId="46" applyNumberFormat="1" applyFont="1" applyFill="1" applyBorder="1" applyAlignment="1" applyProtection="1">
      <alignment horizontal="center" vertical="center" wrapText="1"/>
      <protection locked="0"/>
    </xf>
    <xf numFmtId="3" fontId="53" fillId="2" borderId="57" xfId="46" applyNumberFormat="1" applyFont="1" applyFill="1" applyBorder="1" applyAlignment="1" applyProtection="1">
      <alignment horizontal="center" vertical="center" wrapText="1"/>
      <protection locked="0"/>
    </xf>
    <xf numFmtId="9" fontId="53" fillId="2" borderId="61" xfId="46" applyNumberFormat="1" applyFont="1" applyFill="1" applyBorder="1" applyAlignment="1" applyProtection="1">
      <alignment horizontal="center" vertical="center" wrapText="1"/>
      <protection locked="0"/>
    </xf>
    <xf numFmtId="3" fontId="53" fillId="2" borderId="62" xfId="46" applyNumberFormat="1" applyFont="1" applyFill="1" applyBorder="1" applyAlignment="1" applyProtection="1">
      <alignment horizontal="center" vertical="center" wrapText="1"/>
      <protection locked="0"/>
    </xf>
    <xf numFmtId="3" fontId="53" fillId="2" borderId="58" xfId="46" applyNumberFormat="1" applyFont="1" applyFill="1" applyBorder="1" applyAlignment="1" applyProtection="1">
      <alignment horizontal="center" vertical="center" wrapText="1"/>
      <protection locked="0"/>
    </xf>
    <xf numFmtId="3" fontId="53" fillId="2" borderId="61" xfId="46" applyNumberFormat="1" applyFont="1" applyFill="1" applyBorder="1" applyAlignment="1" applyProtection="1">
      <alignment horizontal="center" vertical="center" wrapText="1"/>
      <protection locked="0"/>
    </xf>
    <xf numFmtId="1" fontId="53" fillId="2" borderId="63" xfId="46" applyNumberFormat="1" applyFont="1" applyFill="1" applyBorder="1" applyAlignment="1" applyProtection="1">
      <alignment horizontal="center" vertical="center" wrapText="1"/>
      <protection locked="0"/>
    </xf>
    <xf numFmtId="0" fontId="53" fillId="2" borderId="58" xfId="46" applyFont="1" applyFill="1" applyBorder="1" applyAlignment="1" applyProtection="1">
      <alignment horizontal="center" vertical="center" wrapText="1"/>
      <protection locked="0"/>
    </xf>
    <xf numFmtId="0" fontId="53" fillId="2" borderId="101" xfId="21" applyFont="1" applyFill="1" applyBorder="1" applyAlignment="1" applyProtection="1">
      <alignment horizontal="center" vertical="center" wrapText="1"/>
      <protection locked="0"/>
    </xf>
    <xf numFmtId="0" fontId="8" fillId="2" borderId="109" xfId="0" applyFont="1" applyFill="1" applyBorder="1" applyAlignment="1">
      <alignment vertical="center" wrapText="1"/>
    </xf>
    <xf numFmtId="0" fontId="26" fillId="6" borderId="18" xfId="0" applyFont="1" applyFill="1" applyBorder="1" applyAlignment="1">
      <alignment horizontal="center" vertical="center"/>
    </xf>
    <xf numFmtId="0" fontId="26" fillId="6" borderId="19" xfId="0" applyFont="1" applyFill="1" applyBorder="1" applyAlignment="1">
      <alignment horizontal="center" vertical="center"/>
    </xf>
    <xf numFmtId="0" fontId="26" fillId="6" borderId="20" xfId="0" applyFont="1" applyFill="1" applyBorder="1" applyAlignment="1">
      <alignment horizontal="center" vertical="center"/>
    </xf>
    <xf numFmtId="0" fontId="29" fillId="6" borderId="2"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9" fillId="6" borderId="1" xfId="0" applyFont="1" applyFill="1" applyBorder="1" applyAlignment="1">
      <alignment horizontal="center" vertical="center" wrapText="1"/>
    </xf>
    <xf numFmtId="0" fontId="30" fillId="5" borderId="28" xfId="0" applyFont="1" applyFill="1" applyBorder="1" applyAlignment="1">
      <alignment horizontal="left" vertical="center"/>
    </xf>
    <xf numFmtId="0" fontId="30" fillId="5" borderId="21" xfId="0" applyFont="1" applyFill="1" applyBorder="1" applyAlignment="1">
      <alignment horizontal="left" vertical="center"/>
    </xf>
    <xf numFmtId="0" fontId="30" fillId="5" borderId="22" xfId="0" applyFont="1" applyFill="1" applyBorder="1" applyAlignment="1">
      <alignment horizontal="left" vertical="center"/>
    </xf>
    <xf numFmtId="0" fontId="19" fillId="3" borderId="40" xfId="5" applyFont="1" applyFill="1" applyBorder="1" applyAlignment="1">
      <alignment horizontal="center" wrapText="1"/>
    </xf>
    <xf numFmtId="0" fontId="19" fillId="3" borderId="41" xfId="5" applyFont="1" applyFill="1" applyBorder="1" applyAlignment="1">
      <alignment horizontal="center" wrapText="1"/>
    </xf>
    <xf numFmtId="0" fontId="26" fillId="6" borderId="28" xfId="5" applyFont="1" applyFill="1" applyBorder="1" applyAlignment="1">
      <alignment horizontal="center" vertical="center"/>
    </xf>
    <xf numFmtId="0" fontId="26" fillId="6" borderId="21" xfId="5" applyFont="1" applyFill="1" applyBorder="1" applyAlignment="1">
      <alignment horizontal="center" vertical="center"/>
    </xf>
    <xf numFmtId="0" fontId="26" fillId="6" borderId="29" xfId="5" applyFont="1" applyFill="1" applyBorder="1" applyAlignment="1">
      <alignment horizontal="center" vertical="center"/>
    </xf>
    <xf numFmtId="0" fontId="50" fillId="2" borderId="0" xfId="5" applyFont="1" applyFill="1" applyAlignment="1">
      <alignment horizontal="left" vertical="center" wrapText="1"/>
    </xf>
    <xf numFmtId="0" fontId="19" fillId="3" borderId="40" xfId="20" applyFont="1" applyFill="1" applyBorder="1" applyAlignment="1">
      <alignment horizontal="center" wrapText="1"/>
    </xf>
    <xf numFmtId="0" fontId="19" fillId="3" borderId="41" xfId="20" applyFont="1" applyFill="1" applyBorder="1" applyAlignment="1">
      <alignment horizontal="center" wrapText="1"/>
    </xf>
    <xf numFmtId="165" fontId="41" fillId="10" borderId="0" xfId="4" applyFont="1" applyFill="1" applyAlignment="1">
      <alignment horizontal="center" vertical="center"/>
    </xf>
    <xf numFmtId="165" fontId="17" fillId="5" borderId="84" xfId="4" applyFont="1" applyFill="1" applyBorder="1" applyAlignment="1">
      <alignment horizontal="center" vertical="center"/>
    </xf>
    <xf numFmtId="165" fontId="17" fillId="5" borderId="85" xfId="4" applyFont="1" applyFill="1" applyBorder="1" applyAlignment="1">
      <alignment horizontal="center" vertical="center"/>
    </xf>
    <xf numFmtId="165" fontId="42" fillId="2" borderId="0" xfId="4" applyFont="1" applyFill="1" applyAlignment="1">
      <alignment horizontal="left" vertical="center"/>
    </xf>
    <xf numFmtId="165" fontId="43" fillId="2" borderId="0" xfId="4" applyFont="1" applyFill="1" applyAlignment="1">
      <alignment horizontal="left" vertical="center"/>
    </xf>
    <xf numFmtId="0" fontId="19" fillId="3" borderId="112" xfId="0" applyFont="1" applyFill="1" applyBorder="1" applyAlignment="1" applyProtection="1">
      <alignment horizontal="center" vertical="center" wrapText="1"/>
      <protection locked="0"/>
    </xf>
    <xf numFmtId="0" fontId="19" fillId="3" borderId="8"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9" fillId="3" borderId="24" xfId="0" applyFont="1" applyFill="1" applyBorder="1" applyAlignment="1" applyProtection="1">
      <alignment horizontal="center" vertical="center" wrapText="1"/>
      <protection locked="0"/>
    </xf>
    <xf numFmtId="2" fontId="27" fillId="6" borderId="23" xfId="0" applyNumberFormat="1" applyFont="1" applyFill="1" applyBorder="1" applyAlignment="1" applyProtection="1">
      <alignment horizontal="center" vertical="center"/>
      <protection locked="0"/>
    </xf>
    <xf numFmtId="2" fontId="27" fillId="6" borderId="10" xfId="0" applyNumberFormat="1" applyFont="1" applyFill="1" applyBorder="1" applyAlignment="1" applyProtection="1">
      <alignment horizontal="center" vertical="center"/>
      <protection locked="0"/>
    </xf>
    <xf numFmtId="2" fontId="71" fillId="6" borderId="10" xfId="0" applyNumberFormat="1" applyFont="1" applyFill="1" applyBorder="1" applyAlignment="1" applyProtection="1">
      <alignment horizontal="center" vertical="center"/>
      <protection locked="0"/>
    </xf>
    <xf numFmtId="2" fontId="71" fillId="6" borderId="11" xfId="0" applyNumberFormat="1" applyFont="1" applyFill="1" applyBorder="1" applyAlignment="1" applyProtection="1">
      <alignment horizontal="center" vertical="center"/>
      <protection locked="0"/>
    </xf>
    <xf numFmtId="0" fontId="23" fillId="5" borderId="4" xfId="0" applyFont="1" applyFill="1" applyBorder="1" applyAlignment="1" applyProtection="1">
      <alignment horizontal="center" vertical="center"/>
      <protection locked="0"/>
    </xf>
    <xf numFmtId="0" fontId="23" fillId="5" borderId="8" xfId="0" applyFont="1" applyFill="1" applyBorder="1" applyAlignment="1" applyProtection="1">
      <alignment horizontal="center" vertical="center"/>
      <protection locked="0"/>
    </xf>
    <xf numFmtId="0" fontId="23" fillId="5" borderId="3" xfId="0" applyFont="1" applyFill="1" applyBorder="1" applyAlignment="1" applyProtection="1">
      <alignment horizontal="center" vertical="center"/>
      <protection locked="0"/>
    </xf>
    <xf numFmtId="0" fontId="34" fillId="5" borderId="24" xfId="0" applyFont="1" applyFill="1" applyBorder="1" applyAlignment="1" applyProtection="1">
      <alignment horizontal="center" vertical="center"/>
      <protection locked="0"/>
    </xf>
    <xf numFmtId="0" fontId="34" fillId="5" borderId="8" xfId="0" applyFont="1" applyFill="1" applyBorder="1" applyAlignment="1" applyProtection="1">
      <alignment horizontal="center" vertical="center"/>
      <protection locked="0"/>
    </xf>
    <xf numFmtId="0" fontId="34" fillId="5" borderId="6" xfId="0" applyFont="1" applyFill="1" applyBorder="1" applyAlignment="1" applyProtection="1">
      <alignment horizontal="center" vertical="center"/>
      <protection locked="0"/>
    </xf>
    <xf numFmtId="0" fontId="19" fillId="4" borderId="24" xfId="0" applyFont="1" applyFill="1" applyBorder="1" applyAlignment="1" applyProtection="1">
      <alignment horizontal="center" vertical="center" wrapText="1"/>
      <protection locked="0"/>
    </xf>
    <xf numFmtId="0" fontId="19" fillId="4" borderId="112" xfId="0" applyFont="1" applyFill="1" applyBorder="1" applyAlignment="1" applyProtection="1">
      <alignment horizontal="center" vertical="center" wrapText="1"/>
      <protection locked="0"/>
    </xf>
    <xf numFmtId="0" fontId="19" fillId="4" borderId="6" xfId="0" applyFont="1" applyFill="1" applyBorder="1" applyAlignment="1" applyProtection="1">
      <alignment horizontal="center" vertical="center" wrapText="1"/>
      <protection locked="0"/>
    </xf>
    <xf numFmtId="9" fontId="19" fillId="4" borderId="24" xfId="0" applyNumberFormat="1" applyFont="1" applyFill="1" applyBorder="1" applyAlignment="1" applyProtection="1">
      <alignment horizontal="center" vertical="center" wrapText="1"/>
      <protection locked="0"/>
    </xf>
    <xf numFmtId="9" fontId="19" fillId="4" borderId="6" xfId="0" applyNumberFormat="1"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112" xfId="0" applyFont="1" applyFill="1" applyBorder="1" applyAlignment="1" applyProtection="1">
      <alignment horizontal="center" vertical="center" wrapText="1"/>
      <protection locked="0"/>
    </xf>
    <xf numFmtId="0" fontId="22" fillId="4" borderId="109" xfId="0" applyFont="1" applyFill="1" applyBorder="1" applyAlignment="1" applyProtection="1">
      <alignment horizontal="center" vertical="center"/>
      <protection locked="0"/>
    </xf>
    <xf numFmtId="0" fontId="22" fillId="4" borderId="110" xfId="0" applyFont="1" applyFill="1" applyBorder="1" applyAlignment="1" applyProtection="1">
      <alignment horizontal="center" vertical="center"/>
      <protection locked="0"/>
    </xf>
    <xf numFmtId="0" fontId="22" fillId="4" borderId="111" xfId="0" applyFont="1" applyFill="1" applyBorder="1" applyAlignment="1" applyProtection="1">
      <alignment horizontal="center" vertical="center"/>
      <protection locked="0"/>
    </xf>
    <xf numFmtId="0" fontId="22" fillId="6" borderId="109" xfId="0" applyFont="1" applyFill="1" applyBorder="1" applyAlignment="1" applyProtection="1">
      <alignment horizontal="center" vertical="center"/>
      <protection locked="0"/>
    </xf>
    <xf numFmtId="0" fontId="22" fillId="6" borderId="110" xfId="0" applyFont="1" applyFill="1" applyBorder="1" applyAlignment="1" applyProtection="1">
      <alignment horizontal="center" vertical="center"/>
      <protection locked="0"/>
    </xf>
    <xf numFmtId="0" fontId="22" fillId="6" borderId="111" xfId="0" applyFont="1" applyFill="1" applyBorder="1" applyAlignment="1" applyProtection="1">
      <alignment horizontal="center" vertical="center"/>
      <protection locked="0"/>
    </xf>
    <xf numFmtId="3" fontId="54" fillId="8" borderId="48" xfId="21" applyNumberFormat="1" applyFont="1" applyFill="1" applyBorder="1" applyAlignment="1" applyProtection="1">
      <alignment horizontal="center" vertical="center"/>
      <protection locked="0"/>
    </xf>
    <xf numFmtId="0" fontId="53" fillId="2" borderId="107" xfId="24" applyFont="1" applyFill="1" applyBorder="1" applyAlignment="1">
      <alignment horizontal="center" vertical="center" textRotation="90" wrapText="1"/>
    </xf>
    <xf numFmtId="0" fontId="53" fillId="2" borderId="75" xfId="24" applyFont="1" applyFill="1" applyBorder="1" applyAlignment="1">
      <alignment horizontal="center" vertical="center" textRotation="90" wrapText="1"/>
    </xf>
    <xf numFmtId="0" fontId="53" fillId="2" borderId="108" xfId="24" applyFont="1" applyFill="1" applyBorder="1" applyAlignment="1">
      <alignment horizontal="center" vertical="center" textRotation="90" wrapText="1"/>
    </xf>
    <xf numFmtId="0" fontId="56" fillId="3" borderId="109" xfId="21" applyFont="1" applyFill="1" applyBorder="1" applyAlignment="1" applyProtection="1">
      <alignment horizontal="center" vertical="center"/>
      <protection locked="0"/>
    </xf>
    <xf numFmtId="0" fontId="56" fillId="3" borderId="110" xfId="21" applyFont="1" applyFill="1" applyBorder="1" applyAlignment="1" applyProtection="1">
      <alignment horizontal="center" vertical="center"/>
      <protection locked="0"/>
    </xf>
    <xf numFmtId="0" fontId="56" fillId="3" borderId="111" xfId="21" applyFont="1" applyFill="1" applyBorder="1" applyAlignment="1" applyProtection="1">
      <alignment horizontal="center" vertical="center"/>
      <protection locked="0"/>
    </xf>
    <xf numFmtId="0" fontId="54" fillId="8" borderId="109" xfId="21" applyFont="1" applyFill="1" applyBorder="1" applyAlignment="1" applyProtection="1">
      <alignment horizontal="center" vertical="center"/>
      <protection locked="0"/>
    </xf>
    <xf numFmtId="0" fontId="54" fillId="8" borderId="110" xfId="21" applyFont="1" applyFill="1" applyBorder="1" applyAlignment="1" applyProtection="1">
      <alignment horizontal="center" vertical="center"/>
      <protection locked="0"/>
    </xf>
    <xf numFmtId="0" fontId="54" fillId="8" borderId="112" xfId="21" applyFont="1" applyFill="1" applyBorder="1" applyAlignment="1" applyProtection="1">
      <alignment horizontal="center" vertical="center"/>
      <protection locked="0"/>
    </xf>
    <xf numFmtId="0" fontId="54" fillId="8" borderId="111" xfId="21" applyFont="1" applyFill="1" applyBorder="1" applyAlignment="1" applyProtection="1">
      <alignment horizontal="center" vertical="center"/>
      <protection locked="0"/>
    </xf>
    <xf numFmtId="0" fontId="54" fillId="8" borderId="113" xfId="21" applyFont="1" applyFill="1" applyBorder="1" applyAlignment="1" applyProtection="1">
      <alignment horizontal="center" vertical="center"/>
      <protection locked="0"/>
    </xf>
    <xf numFmtId="0" fontId="54" fillId="8" borderId="114" xfId="21" applyFont="1" applyFill="1" applyBorder="1" applyAlignment="1" applyProtection="1">
      <alignment horizontal="center" vertical="center"/>
      <protection locked="0"/>
    </xf>
    <xf numFmtId="0" fontId="54" fillId="8" borderId="115" xfId="21" applyFont="1" applyFill="1" applyBorder="1" applyAlignment="1" applyProtection="1">
      <alignment horizontal="center" vertical="center"/>
      <protection locked="0"/>
    </xf>
    <xf numFmtId="0" fontId="54" fillId="8" borderId="110" xfId="21" applyFont="1" applyFill="1" applyBorder="1" applyAlignment="1" applyProtection="1">
      <alignment horizontal="center" vertical="center" wrapText="1"/>
      <protection locked="0"/>
    </xf>
    <xf numFmtId="0" fontId="54" fillId="8" borderId="111" xfId="21" applyFont="1" applyFill="1" applyBorder="1" applyAlignment="1" applyProtection="1">
      <alignment horizontal="center" vertical="center" wrapText="1"/>
      <protection locked="0"/>
    </xf>
  </cellXfs>
  <cellStyles count="48">
    <cellStyle name="Comma" xfId="1" builtinId="3"/>
    <cellStyle name="Comma 2" xfId="6"/>
    <cellStyle name="Comma 2 2" xfId="9"/>
    <cellStyle name="Comma 2 2 2" xfId="22"/>
    <cellStyle name="Comma 2 2 2 2" xfId="33"/>
    <cellStyle name="Comma 2 2 2 3" xfId="38"/>
    <cellStyle name="Comma 2 2 2 4" xfId="43"/>
    <cellStyle name="Comma 2 2 3" xfId="29"/>
    <cellStyle name="Comma 2 3" xfId="11"/>
    <cellStyle name="Comma 2 4" xfId="26"/>
    <cellStyle name="Comma 3" xfId="12"/>
    <cellStyle name="Comma 4" xfId="13"/>
    <cellStyle name="Comma 4 10" xfId="14"/>
    <cellStyle name="Normal" xfId="0" builtinId="0"/>
    <cellStyle name="Normal 2" xfId="2"/>
    <cellStyle name="Normal 2 2" xfId="16"/>
    <cellStyle name="Normal 2 3" xfId="15"/>
    <cellStyle name="Normal 3" xfId="4"/>
    <cellStyle name="Normal 3 2" xfId="20"/>
    <cellStyle name="Normal 3 2 2" xfId="24"/>
    <cellStyle name="Normal 3 2 2 2" xfId="35"/>
    <cellStyle name="Normal 3 2 2 3" xfId="40"/>
    <cellStyle name="Normal 3 2 2 4" xfId="47"/>
    <cellStyle name="Normal 3 2 3" xfId="31"/>
    <cellStyle name="Normal 4" xfId="5"/>
    <cellStyle name="Normal 4 2" xfId="8"/>
    <cellStyle name="Normal 4 2 2" xfId="21"/>
    <cellStyle name="Normal 4 2 2 2" xfId="32"/>
    <cellStyle name="Normal 4 2 2 2 2" xfId="46"/>
    <cellStyle name="Normal 4 2 2 3" xfId="37"/>
    <cellStyle name="Normal 4 2 2 3 2" xfId="45"/>
    <cellStyle name="Normal 4 2 2 4" xfId="42"/>
    <cellStyle name="Normal 4 2 3" xfId="28"/>
    <cellStyle name="Normal 4 3" xfId="17"/>
    <cellStyle name="Normal 4 4" xfId="25"/>
    <cellStyle name="Normal 5" xfId="18"/>
    <cellStyle name="Normal 6" xfId="19"/>
    <cellStyle name="Normal 7" xfId="36"/>
    <cellStyle name="Normal 8" xfId="41"/>
    <cellStyle name="Percent" xfId="3" builtinId="5"/>
    <cellStyle name="Percent 2" xfId="7"/>
    <cellStyle name="Percent 2 2" xfId="10"/>
    <cellStyle name="Percent 2 2 2" xfId="23"/>
    <cellStyle name="Percent 2 2 2 2" xfId="34"/>
    <cellStyle name="Percent 2 2 2 3" xfId="39"/>
    <cellStyle name="Percent 2 2 2 4" xfId="44"/>
    <cellStyle name="Percent 2 2 3" xfId="30"/>
    <cellStyle name="Percent 2 3" xfId="27"/>
  </cellStyles>
  <dxfs count="285">
    <dxf>
      <font>
        <color rgb="FF9C0006"/>
      </font>
      <fill>
        <patternFill>
          <bgColor rgb="FFFFC7CE"/>
        </patternFill>
      </fill>
    </dxf>
    <dxf>
      <fill>
        <patternFill>
          <bgColor rgb="FFFFFF00"/>
        </patternFill>
      </fill>
    </dxf>
    <dxf>
      <alignment horizontal="right"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numFmt numFmtId="1" formatCode="0"/>
    </dxf>
    <dxf>
      <alignment horizontal="center" vertical="center"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1" formatCode="0"/>
    </dxf>
    <dxf>
      <font>
        <name val="Calibri"/>
        <scheme val="minor"/>
      </font>
    </dxf>
    <dxf>
      <font>
        <name val="Calibri"/>
        <scheme val="minor"/>
      </font>
    </dxf>
    <dxf>
      <font>
        <name val="Calibri"/>
        <scheme val="minor"/>
      </font>
    </dxf>
    <dxf>
      <font>
        <name val="Calibri"/>
        <scheme val="minor"/>
      </font>
    </dxf>
    <dxf>
      <font>
        <name val="Calibri"/>
        <scheme val="minor"/>
      </font>
    </dxf>
    <dxf>
      <numFmt numFmtId="1" formatCode="0"/>
    </dxf>
    <dxf>
      <alignment horizontal="center" vertical="center" readingOrder="0"/>
    </dxf>
    <dxf>
      <alignment horizontal="center" vertical="center"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1"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wrapText="1"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wrapText="1"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wrapText="1" readingOrder="0"/>
    </dxf>
    <dxf>
      <alignment wrapText="1" readingOrder="0"/>
    </dxf>
    <dxf>
      <numFmt numFmtId="13" formatCode="0%"/>
    </dxf>
    <dxf>
      <alignment horizontal="center" readingOrder="0"/>
    </dxf>
    <dxf>
      <numFmt numFmtId="13" formatCode="0%"/>
    </dxf>
    <dxf>
      <alignment wrapText="1" readingOrder="0"/>
    </dxf>
    <dxf>
      <alignment wrapText="1" readingOrder="0"/>
    </dxf>
    <dxf>
      <alignment horizontal="center" readingOrder="0"/>
    </dxf>
    <dxf>
      <numFmt numFmtId="13" formatCode="0%"/>
    </dxf>
    <dxf>
      <numFmt numFmtId="1" formatCode="0"/>
    </dxf>
    <dxf>
      <alignment horizontal="center" readingOrder="0"/>
    </dxf>
    <dxf>
      <numFmt numFmtId="13" formatCode="0%"/>
    </dxf>
    <dxf>
      <alignment horizontal="center" readingOrder="0"/>
    </dxf>
    <dxf>
      <alignment horizontal="center" readingOrder="0"/>
    </dxf>
    <dxf>
      <alignment wrapText="1" readingOrder="0"/>
    </dxf>
    <dxf>
      <alignment wrapText="1" readingOrder="0"/>
    </dxf>
    <dxf>
      <numFmt numFmtId="13" formatCode="0%"/>
    </dxf>
    <dxf>
      <numFmt numFmtId="1" formatCode="0"/>
    </dxf>
    <dxf>
      <alignment horizontal="center" readingOrder="0"/>
    </dxf>
    <dxf>
      <numFmt numFmtId="13" formatCode="0%"/>
    </dxf>
    <dxf>
      <alignment horizontal="center" readingOrder="0"/>
    </dxf>
    <dxf>
      <alignment horizontal="center" readingOrder="0"/>
    </dxf>
    <dxf>
      <alignment wrapText="1" readingOrder="0"/>
    </dxf>
    <dxf>
      <alignment wrapText="1" readingOrder="0"/>
    </dxf>
    <dxf>
      <numFmt numFmtId="13" formatCode="0%"/>
    </dxf>
    <dxf>
      <numFmt numFmtId="13" formatCode="0%"/>
    </dxf>
    <dxf>
      <alignment horizontal="center" readingOrder="0"/>
    </dxf>
    <dxf>
      <alignment horizontal="center" readingOrder="0"/>
    </dxf>
    <dxf>
      <alignment wrapText="1" readingOrder="0"/>
    </dxf>
    <dxf>
      <alignment wrapText="1" readingOrder="0"/>
    </dxf>
    <dxf>
      <numFmt numFmtId="13" formatCode="0%"/>
    </dxf>
    <dxf>
      <alignment horizontal="center" readingOrder="0"/>
    </dxf>
    <dxf>
      <alignment horizontal="center" readingOrder="0"/>
    </dxf>
    <dxf>
      <alignment wrapText="1" readingOrder="0"/>
    </dxf>
    <dxf>
      <alignment wrapText="1" readingOrder="0"/>
    </dxf>
    <dxf>
      <numFmt numFmtId="1" formatCode="0"/>
    </dxf>
    <dxf>
      <numFmt numFmtId="13" formatCode="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numFmt numFmtId="13" formatCode="0%"/>
    </dxf>
    <dxf>
      <alignment horizontal="center" readingOrder="0"/>
    </dxf>
    <dxf>
      <alignment horizontal="center" readingOrder="0"/>
    </dxf>
    <dxf>
      <alignment wrapText="1" readingOrder="0"/>
    </dxf>
    <dxf>
      <alignment wrapText="1" readingOrder="0"/>
    </dxf>
    <dxf>
      <numFmt numFmtId="13" formatCode="0%"/>
    </dxf>
    <dxf>
      <numFmt numFmtId="1" formatCode="0"/>
    </dxf>
    <dxf>
      <alignment horizontal="center" readingOrder="0"/>
    </dxf>
    <dxf>
      <numFmt numFmtId="13" formatCode="0%"/>
    </dxf>
    <dxf>
      <numFmt numFmtId="1" formatCode="0"/>
    </dxf>
    <dxf>
      <alignment horizontal="center" readingOrder="0"/>
    </dxf>
    <dxf>
      <numFmt numFmtId="13" formatCode="0%"/>
    </dxf>
    <dxf>
      <alignment vertical="center" readingOrder="0"/>
    </dxf>
    <dxf>
      <alignment horizontal="center" readingOrder="0"/>
    </dxf>
    <dxf>
      <alignment horizontal="center" readingOrder="0"/>
    </dxf>
    <dxf>
      <alignment wrapText="1" readingOrder="0"/>
    </dxf>
    <dxf>
      <alignment wrapText="1" readingOrder="0"/>
    </dxf>
    <dxf>
      <numFmt numFmtId="13" formatCode="0%"/>
    </dxf>
    <dxf>
      <alignment wrapText="1" readingOrder="0"/>
    </dxf>
    <dxf>
      <alignment wrapText="1" readingOrder="0"/>
    </dxf>
    <dxf>
      <numFmt numFmtId="3" formatCode="#,##0"/>
    </dxf>
    <dxf>
      <alignment horizontal="center" readingOrder="0"/>
    </dxf>
    <dxf>
      <numFmt numFmtId="13" formatCode="0%"/>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horizontal="center" readingOrder="0"/>
    </dxf>
    <dxf>
      <alignment horizontal="center" readingOrder="0"/>
    </dxf>
    <dxf>
      <alignment horizontal="center" readingOrder="0"/>
    </dxf>
    <dxf>
      <alignment wrapText="1" readingOrder="0"/>
    </dxf>
    <dxf>
      <alignment wrapText="1" readingOrder="0"/>
    </dxf>
    <dxf>
      <numFmt numFmtId="13" formatCode="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numFmt numFmtId="13" formatCode="0%"/>
    </dxf>
    <dxf>
      <alignment horizontal="center" readingOrder="0"/>
    </dxf>
    <dxf>
      <numFmt numFmtId="3" formatCode="#,##0"/>
    </dxf>
    <dxf>
      <alignment horizontal="right" readingOrder="0"/>
    </dxf>
    <dxf>
      <numFmt numFmtId="3" formatCode="#,##0"/>
    </dxf>
    <dxf>
      <alignment horizontal="center" readingOrder="0"/>
    </dxf>
    <dxf>
      <numFmt numFmtId="13" formatCode="0%"/>
    </dxf>
    <dxf>
      <numFmt numFmtId="1" formatCode="0"/>
    </dxf>
    <dxf>
      <alignment horizontal="center" readingOrder="0"/>
    </dxf>
    <dxf>
      <numFmt numFmtId="13" formatCode="0%"/>
    </dxf>
    <dxf>
      <alignment horizontal="center" readingOrder="0"/>
    </dxf>
    <dxf>
      <numFmt numFmtId="13" formatCode="0%"/>
    </dxf>
    <dxf>
      <numFmt numFmtId="1" formatCode="0"/>
    </dxf>
    <dxf>
      <alignment horizontal="center" readingOrder="0"/>
    </dxf>
    <dxf>
      <numFmt numFmtId="13" formatCode="0%"/>
    </dxf>
    <dxf>
      <alignment horizontal="center" readingOrder="0"/>
    </dxf>
    <dxf>
      <numFmt numFmtId="13" formatCode="0%"/>
    </dxf>
    <dxf>
      <numFmt numFmtId="1" formatCode="0"/>
    </dxf>
    <dxf>
      <alignment horizontal="center" readingOrder="0"/>
    </dxf>
    <dxf>
      <numFmt numFmtId="13" formatCode="0%"/>
    </dxf>
    <dxf>
      <alignment horizontal="center" vertical="center" readingOrder="0"/>
    </dxf>
    <dxf>
      <alignment horizontal="center" vertical="center" readingOrder="0"/>
    </dxf>
    <dxf>
      <alignment wrapText="1" readingOrder="0"/>
    </dxf>
    <dxf>
      <alignment wrapText="1" readingOrder="0"/>
    </dxf>
    <dxf>
      <numFmt numFmtId="13" formatCode="0%"/>
    </dxf>
    <dxf>
      <alignment horizontal="center" readingOrder="0"/>
    </dxf>
    <dxf>
      <alignment horizontal="center" readingOrder="0"/>
    </dxf>
    <dxf>
      <alignment horizontal="center" readingOrder="0"/>
    </dxf>
    <dxf>
      <numFmt numFmtId="1" formatCode="0"/>
    </dxf>
    <dxf>
      <font>
        <sz val="12"/>
      </font>
    </dxf>
    <dxf>
      <font>
        <i/>
      </font>
    </dxf>
    <dxf>
      <font>
        <b/>
      </font>
    </dxf>
    <dxf>
      <alignment horizontal="center" vertical="center" readingOrder="0"/>
    </dxf>
    <dxf>
      <numFmt numFmtId="13" formatCode="0%"/>
    </dxf>
    <dxf>
      <font>
        <b/>
      </font>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3" formatCode="0%"/>
    </dxf>
    <dxf>
      <numFmt numFmtId="13" formatCode="0%"/>
    </dxf>
    <dxf>
      <alignment horizontal="center" readingOrder="0"/>
    </dxf>
    <dxf>
      <alignment horizontal="center" readingOrder="0"/>
    </dxf>
    <dxf>
      <numFmt numFmtId="13" formatCode="0%"/>
    </dxf>
    <dxf>
      <numFmt numFmtId="1" formatCode="0"/>
    </dxf>
    <dxf>
      <alignment horizontal="center" readingOrder="0"/>
    </dxf>
    <dxf>
      <numFmt numFmtId="13" formatCode="0%"/>
    </dxf>
    <dxf>
      <alignment horizontal="center" readingOrder="0"/>
    </dxf>
    <dxf>
      <alignment horizontal="center" readingOrder="0"/>
    </dxf>
    <dxf>
      <alignment horizontal="center" readingOrder="0"/>
    </dxf>
    <dxf>
      <numFmt numFmtId="1" formatCode="0"/>
    </dxf>
    <dxf>
      <numFmt numFmtId="1" formatCode="0"/>
    </dxf>
    <dxf>
      <alignment horizontal="center" vertical="center" readingOrder="0"/>
    </dxf>
    <dxf>
      <alignment wrapText="1" readingOrder="0"/>
    </dxf>
    <dxf>
      <numFmt numFmtId="13" formatCode="0%"/>
    </dxf>
    <dxf>
      <alignment horizontal="center" vertical="center" readingOrder="0"/>
    </dxf>
    <dxf>
      <alignment horizontal="center" vertical="center" readingOrder="0"/>
    </dxf>
    <dxf>
      <alignment wrapText="1" readingOrder="0"/>
    </dxf>
    <dxf>
      <alignment wrapText="1" readingOrder="0"/>
    </dxf>
    <dxf>
      <numFmt numFmtId="13" formatCode="0%"/>
    </dxf>
  </dxfs>
  <tableStyles count="0" defaultTableStyle="TableStyleMedium2" defaultPivotStyle="PivotStyleLight16"/>
  <colors>
    <mruColors>
      <color rgb="FFFFFFCC"/>
      <color rgb="FFCCFFCC"/>
      <color rgb="FFCC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2015.xlsx]SituationAnalysis!PivotTable26</c:name>
    <c:fmtId val="35"/>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Community management organisation in camps</a:t>
            </a:r>
          </a:p>
        </c:rich>
      </c:tx>
      <c:layout>
        <c:manualLayout>
          <c:xMode val="edge"/>
          <c:yMode val="edge"/>
          <c:x val="0.1560757998033751"/>
          <c:y val="5.8393994456986585E-2"/>
        </c:manualLayout>
      </c:layout>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marker>
          <c:symbol val="none"/>
        </c:marker>
        <c:dLbl>
          <c:idx val="0"/>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pivotFmt>
      <c:pivotFmt>
        <c:idx val="13"/>
        <c:spPr>
          <a:solidFill>
            <a:schemeClr val="accent2"/>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3"/>
          </a:solidFill>
          <a:ln w="25400">
            <a:solidFill>
              <a:schemeClr val="lt1"/>
            </a:solidFill>
          </a:ln>
          <a:effectLst/>
          <a:sp3d contourW="25400">
            <a:contourClr>
              <a:schemeClr val="lt1"/>
            </a:contourClr>
          </a:sp3d>
        </c:spPr>
      </c:pivotFmt>
      <c:pivotFmt>
        <c:idx val="16"/>
        <c:spPr>
          <a:solidFill>
            <a:schemeClr val="accent5"/>
          </a:solidFill>
          <a:ln w="25400">
            <a:solidFill>
              <a:schemeClr val="lt1"/>
            </a:solidFill>
          </a:ln>
          <a:effectLst/>
          <a:sp3d contourW="25400">
            <a:contourClr>
              <a:schemeClr val="lt1"/>
            </a:contourClr>
          </a:sp3d>
        </c:spPr>
      </c:pivotFmt>
      <c:pivotFmt>
        <c:idx val="17"/>
        <c:spPr>
          <a:solidFill>
            <a:schemeClr val="accent6"/>
          </a:solidFill>
          <a:ln w="25400">
            <a:solidFill>
              <a:schemeClr val="lt1"/>
            </a:solidFill>
          </a:ln>
          <a:effectLst/>
          <a:sp3d contourW="25400">
            <a:contourClr>
              <a:schemeClr val="lt1"/>
            </a:contourClr>
          </a:sp3d>
        </c:spPr>
        <c:dLbl>
          <c:idx val="0"/>
          <c:layout>
            <c:manualLayout>
              <c:x val="-9.8666072161112922E-2"/>
              <c:y val="-1.3863632009502462E-2"/>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4"/>
          </a:solidFill>
          <a:ln w="25400">
            <a:solidFill>
              <a:schemeClr val="lt1"/>
            </a:solidFill>
          </a:ln>
          <a:effectLst/>
          <a:sp3d contourW="25400">
            <a:contourClr>
              <a:schemeClr val="lt1"/>
            </a:contourClr>
          </a:sp3d>
        </c:spPr>
        <c:dLbl>
          <c:idx val="0"/>
          <c:layout>
            <c:manualLayout>
              <c:x val="-9.8666072161112922E-2"/>
              <c:y val="-1.3863632009502462E-2"/>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pivotFmt>
      <c:pivotFmt>
        <c:idx val="20"/>
        <c:spPr>
          <a:solidFill>
            <a:schemeClr val="accent1">
              <a:lumMod val="60000"/>
            </a:schemeClr>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381686825229324E-2"/>
          <c:y val="0.26382541343171262"/>
          <c:w val="0.57909426270169839"/>
          <c:h val="0.63799056586458158"/>
        </c:manualLayout>
      </c:layout>
      <c:pie3DChart>
        <c:varyColors val="1"/>
        <c:ser>
          <c:idx val="0"/>
          <c:order val="0"/>
          <c:tx>
            <c:strRef>
              <c:f>SituationAnalysis!$C$445</c:f>
              <c:strCache>
                <c:ptCount val="1"/>
                <c:pt idx="0">
                  <c:v>Total</c:v>
                </c:pt>
              </c:strCache>
            </c:strRef>
          </c:tx>
          <c:explosion val="6"/>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Pt>
            <c:idx val="6"/>
            <c:bubble3D val="0"/>
            <c:spPr>
              <a:solidFill>
                <a:schemeClr val="accent1">
                  <a:lumMod val="60000"/>
                </a:schemeClr>
              </a:solidFill>
              <a:ln w="25400">
                <a:solidFill>
                  <a:schemeClr val="lt1"/>
                </a:solidFill>
              </a:ln>
              <a:effectLst/>
              <a:sp3d contourW="25400">
                <a:contourClr>
                  <a:schemeClr val="lt1"/>
                </a:contourClr>
              </a:sp3d>
            </c:spPr>
          </c:dPt>
          <c:dLbls>
            <c:dLbl>
              <c:idx val="3"/>
              <c:layout>
                <c:manualLayout>
                  <c:x val="-9.8666072161112922E-2"/>
                  <c:y val="-1.3863632009502462E-2"/>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5"/>
              <c:layout>
                <c:manualLayout>
                  <c:x val="-9.8666072161112922E-2"/>
                  <c:y val="-1.3863632009502462E-2"/>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SituationAnalysis!$B$446:$B$453</c:f>
              <c:strCache>
                <c:ptCount val="7"/>
                <c:pt idx="0">
                  <c:v>already set up</c:v>
                </c:pt>
                <c:pt idx="1">
                  <c:v>Functional and efficient</c:v>
                </c:pt>
                <c:pt idx="2">
                  <c:v>NA</c:v>
                </c:pt>
                <c:pt idx="3">
                  <c:v>Not yet planned</c:v>
                </c:pt>
                <c:pt idx="4">
                  <c:v>Not yet set up</c:v>
                </c:pt>
                <c:pt idx="5">
                  <c:v>Set up but low results </c:v>
                </c:pt>
                <c:pt idx="6">
                  <c:v>Functional and efficient. The number of people actually leaving in the camp is 93 HH (so around 500 people) </c:v>
                </c:pt>
              </c:strCache>
            </c:strRef>
          </c:cat>
          <c:val>
            <c:numRef>
              <c:f>SituationAnalysis!$C$446:$C$453</c:f>
              <c:numCache>
                <c:formatCode>#,##0</c:formatCode>
                <c:ptCount val="7"/>
                <c:pt idx="0">
                  <c:v>2</c:v>
                </c:pt>
                <c:pt idx="1">
                  <c:v>79</c:v>
                </c:pt>
                <c:pt idx="2">
                  <c:v>1</c:v>
                </c:pt>
                <c:pt idx="3">
                  <c:v>2</c:v>
                </c:pt>
                <c:pt idx="4">
                  <c:v>12</c:v>
                </c:pt>
                <c:pt idx="5">
                  <c:v>57</c:v>
                </c:pt>
                <c:pt idx="6">
                  <c:v>1</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2015.xlsx]SituationAnalysis!PivotTable18</c:name>
    <c:fmtId val="19"/>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Type of latrine coverage</a:t>
            </a:r>
          </a:p>
        </c:rich>
      </c:tx>
      <c:layout>
        <c:manualLayout>
          <c:xMode val="edge"/>
          <c:yMode val="edge"/>
          <c:x val="0.30447836877533163"/>
          <c:y val="0"/>
        </c:manualLayout>
      </c:layout>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9.2868391451068621E-2"/>
          <c:y val="0.10326176853792557"/>
          <c:w val="0.88712553787919368"/>
          <c:h val="0.5121856530523613"/>
        </c:manualLayout>
      </c:layout>
      <c:bar3DChart>
        <c:barDir val="col"/>
        <c:grouping val="stacked"/>
        <c:varyColors val="0"/>
        <c:ser>
          <c:idx val="0"/>
          <c:order val="0"/>
          <c:tx>
            <c:strRef>
              <c:f>SituationAnalysis!$C$252</c:f>
              <c:strCache>
                <c:ptCount val="1"/>
                <c:pt idx="0">
                  <c:v>% Coverage Permanent Latrine</c:v>
                </c:pt>
              </c:strCache>
            </c:strRef>
          </c:tx>
          <c:spPr>
            <a:solidFill>
              <a:schemeClr val="accent1"/>
            </a:solidFill>
            <a:ln>
              <a:noFill/>
            </a:ln>
            <a:effectLst/>
            <a:sp3d/>
          </c:spPr>
          <c:invertIfNegative val="0"/>
          <c:cat>
            <c:strRef>
              <c:f>SituationAnalysis!$B$253:$B$272</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SituationAnalysis!$C$253:$C$272</c:f>
              <c:numCache>
                <c:formatCode>0%</c:formatCode>
                <c:ptCount val="19"/>
                <c:pt idx="0">
                  <c:v>0.49401568303755677</c:v>
                </c:pt>
                <c:pt idx="1">
                  <c:v>0.37360890302066774</c:v>
                </c:pt>
                <c:pt idx="2">
                  <c:v>0.73387978142076504</c:v>
                </c:pt>
                <c:pt idx="3">
                  <c:v>0</c:v>
                </c:pt>
                <c:pt idx="4">
                  <c:v>0.17314487632508835</c:v>
                </c:pt>
                <c:pt idx="5">
                  <c:v>0</c:v>
                </c:pt>
                <c:pt idx="6">
                  <c:v>0.51328480436760693</c:v>
                </c:pt>
                <c:pt idx="7">
                  <c:v>0.34682080924855491</c:v>
                </c:pt>
                <c:pt idx="8">
                  <c:v>1</c:v>
                </c:pt>
                <c:pt idx="9">
                  <c:v>1</c:v>
                </c:pt>
                <c:pt idx="10">
                  <c:v>0.85648954703832758</c:v>
                </c:pt>
                <c:pt idx="11">
                  <c:v>0.11857707509881422</c:v>
                </c:pt>
                <c:pt idx="12">
                  <c:v>0.84652002626395273</c:v>
                </c:pt>
                <c:pt idx="13">
                  <c:v>0.45067133683596028</c:v>
                </c:pt>
                <c:pt idx="14">
                  <c:v>0.85106382978723405</c:v>
                </c:pt>
                <c:pt idx="15">
                  <c:v>0</c:v>
                </c:pt>
                <c:pt idx="16">
                  <c:v>0.87196467991169979</c:v>
                </c:pt>
                <c:pt idx="17">
                  <c:v>0.38314821047907549</c:v>
                </c:pt>
                <c:pt idx="18">
                  <c:v>0.13029315960912052</c:v>
                </c:pt>
              </c:numCache>
            </c:numRef>
          </c:val>
        </c:ser>
        <c:ser>
          <c:idx val="1"/>
          <c:order val="1"/>
          <c:tx>
            <c:strRef>
              <c:f>SituationAnalysis!$D$252</c:f>
              <c:strCache>
                <c:ptCount val="1"/>
                <c:pt idx="0">
                  <c:v>% Coverage Emergency latrine</c:v>
                </c:pt>
              </c:strCache>
            </c:strRef>
          </c:tx>
          <c:spPr>
            <a:solidFill>
              <a:schemeClr val="accent2"/>
            </a:solidFill>
            <a:ln>
              <a:noFill/>
            </a:ln>
            <a:effectLst/>
            <a:sp3d/>
          </c:spPr>
          <c:invertIfNegative val="0"/>
          <c:cat>
            <c:strRef>
              <c:f>SituationAnalysis!$B$253:$B$272</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SituationAnalysis!$D$253:$D$272</c:f>
              <c:numCache>
                <c:formatCode>0%</c:formatCode>
                <c:ptCount val="19"/>
                <c:pt idx="0">
                  <c:v>0.27211445866006329</c:v>
                </c:pt>
                <c:pt idx="1">
                  <c:v>0.47416534181240061</c:v>
                </c:pt>
                <c:pt idx="2">
                  <c:v>6.2295081967213117E-2</c:v>
                </c:pt>
                <c:pt idx="3">
                  <c:v>0</c:v>
                </c:pt>
                <c:pt idx="4">
                  <c:v>0.76466431095406362</c:v>
                </c:pt>
                <c:pt idx="5">
                  <c:v>0.5714285714285714</c:v>
                </c:pt>
                <c:pt idx="6">
                  <c:v>0.35941765241128298</c:v>
                </c:pt>
                <c:pt idx="7">
                  <c:v>0.65317919075144504</c:v>
                </c:pt>
                <c:pt idx="8">
                  <c:v>0</c:v>
                </c:pt>
                <c:pt idx="9">
                  <c:v>0</c:v>
                </c:pt>
                <c:pt idx="10">
                  <c:v>9.6145470383275256E-2</c:v>
                </c:pt>
                <c:pt idx="11">
                  <c:v>0.88142292490118579</c:v>
                </c:pt>
                <c:pt idx="12">
                  <c:v>4.2186474064346682E-2</c:v>
                </c:pt>
                <c:pt idx="13">
                  <c:v>0.4319906596614127</c:v>
                </c:pt>
                <c:pt idx="14">
                  <c:v>0.14893617021276595</c:v>
                </c:pt>
                <c:pt idx="15">
                  <c:v>0.72189349112426038</c:v>
                </c:pt>
                <c:pt idx="16">
                  <c:v>0.12803532008830024</c:v>
                </c:pt>
                <c:pt idx="17">
                  <c:v>0.57298328284528222</c:v>
                </c:pt>
                <c:pt idx="18">
                  <c:v>0.13029315960912052</c:v>
                </c:pt>
              </c:numCache>
            </c:numRef>
          </c:val>
        </c:ser>
        <c:dLbls>
          <c:showLegendKey val="0"/>
          <c:showVal val="0"/>
          <c:showCatName val="0"/>
          <c:showSerName val="0"/>
          <c:showPercent val="0"/>
          <c:showBubbleSize val="0"/>
        </c:dLbls>
        <c:gapWidth val="150"/>
        <c:shape val="box"/>
        <c:axId val="86477440"/>
        <c:axId val="86495616"/>
        <c:axId val="0"/>
      </c:bar3DChart>
      <c:catAx>
        <c:axId val="86477440"/>
        <c:scaling>
          <c:orientation val="minMax"/>
        </c:scaling>
        <c:delete val="0"/>
        <c:axPos val="b"/>
        <c:numFmt formatCode="General" sourceLinked="1"/>
        <c:majorTickMark val="none"/>
        <c:minorTickMark val="none"/>
        <c:tickLblPos val="nextTo"/>
        <c:spPr>
          <a:noFill/>
          <a:ln>
            <a:noFill/>
          </a:ln>
          <a:effectLst/>
        </c:spPr>
        <c:txPr>
          <a:bodyPr rot="-3480000" spcFirstLastPara="1" vertOverflow="ellipsis"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86495616"/>
        <c:crosses val="autoZero"/>
        <c:auto val="1"/>
        <c:lblAlgn val="ctr"/>
        <c:lblOffset val="100"/>
        <c:noMultiLvlLbl val="0"/>
      </c:catAx>
      <c:valAx>
        <c:axId val="86495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86477440"/>
        <c:crosses val="autoZero"/>
        <c:crossBetween val="between"/>
      </c:valAx>
      <c:spPr>
        <a:noFill/>
        <a:ln>
          <a:noFill/>
        </a:ln>
        <a:effectLst/>
      </c:spPr>
    </c:plotArea>
    <c:legend>
      <c:legendPos val="b"/>
      <c:layout>
        <c:manualLayout>
          <c:xMode val="edge"/>
          <c:yMode val="edge"/>
          <c:x val="5.7601728355384151E-2"/>
          <c:y val="0.88247738816820565"/>
          <c:w val="0.88479618619101186"/>
          <c:h val="0.11752261183179438"/>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2015.xlsx]SituationAnalysis!PivotTable23</c:name>
    <c:fmtId val="27"/>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Full HK coverage</a:t>
            </a:r>
          </a:p>
        </c:rich>
      </c:tx>
      <c:layout>
        <c:manualLayout>
          <c:xMode val="edge"/>
          <c:yMode val="edge"/>
          <c:x val="0.3571200028567858"/>
          <c:y val="1.9464735111010295E-2"/>
        </c:manualLayout>
      </c:layout>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0.10193868623564911"/>
          <c:y val="0.10476931989908991"/>
          <c:w val="0.86711518203081761"/>
          <c:h val="0.5967726856123422"/>
        </c:manualLayout>
      </c:layout>
      <c:bar3DChart>
        <c:barDir val="col"/>
        <c:grouping val="clustered"/>
        <c:varyColors val="0"/>
        <c:ser>
          <c:idx val="0"/>
          <c:order val="0"/>
          <c:tx>
            <c:strRef>
              <c:f>SituationAnalysis!$C$374</c:f>
              <c:strCache>
                <c:ptCount val="1"/>
                <c:pt idx="0">
                  <c:v>Total</c:v>
                </c:pt>
              </c:strCache>
            </c:strRef>
          </c:tx>
          <c:spPr>
            <a:solidFill>
              <a:schemeClr val="accent1"/>
            </a:solidFill>
            <a:ln>
              <a:noFill/>
            </a:ln>
            <a:effectLst/>
            <a:sp3d/>
          </c:spPr>
          <c:invertIfNegative val="0"/>
          <c:cat>
            <c:strRef>
              <c:f>SituationAnalysis!$B$375:$B$394</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SituationAnalysis!$C$375:$C$394</c:f>
              <c:numCache>
                <c:formatCode>0%</c:formatCode>
                <c:ptCount val="19"/>
                <c:pt idx="0">
                  <c:v>7.2499656073737789E-2</c:v>
                </c:pt>
                <c:pt idx="1">
                  <c:v>0.79551847198906023</c:v>
                </c:pt>
                <c:pt idx="2">
                  <c:v>0.20683060109289617</c:v>
                </c:pt>
                <c:pt idx="3">
                  <c:v>0</c:v>
                </c:pt>
                <c:pt idx="4">
                  <c:v>0.70647602988469771</c:v>
                </c:pt>
                <c:pt idx="5">
                  <c:v>1</c:v>
                </c:pt>
                <c:pt idx="6">
                  <c:v>0.87069558221907184</c:v>
                </c:pt>
                <c:pt idx="7">
                  <c:v>0.47398843930635837</c:v>
                </c:pt>
                <c:pt idx="8">
                  <c:v>1</c:v>
                </c:pt>
                <c:pt idx="9">
                  <c:v>1</c:v>
                </c:pt>
                <c:pt idx="10">
                  <c:v>0.34224878272134368</c:v>
                </c:pt>
                <c:pt idx="11">
                  <c:v>0.74103441627301647</c:v>
                </c:pt>
                <c:pt idx="12">
                  <c:v>0.82342181784072777</c:v>
                </c:pt>
                <c:pt idx="13">
                  <c:v>0.99549965504431348</c:v>
                </c:pt>
                <c:pt idx="14">
                  <c:v>1</c:v>
                </c:pt>
                <c:pt idx="15">
                  <c:v>1</c:v>
                </c:pt>
                <c:pt idx="16">
                  <c:v>0</c:v>
                </c:pt>
                <c:pt idx="17">
                  <c:v>0.8088746774374509</c:v>
                </c:pt>
                <c:pt idx="18">
                  <c:v>0.21884107663295047</c:v>
                </c:pt>
              </c:numCache>
            </c:numRef>
          </c:val>
        </c:ser>
        <c:dLbls>
          <c:showLegendKey val="0"/>
          <c:showVal val="0"/>
          <c:showCatName val="0"/>
          <c:showSerName val="0"/>
          <c:showPercent val="0"/>
          <c:showBubbleSize val="0"/>
        </c:dLbls>
        <c:gapWidth val="150"/>
        <c:shape val="box"/>
        <c:axId val="86198144"/>
        <c:axId val="86199680"/>
        <c:axId val="0"/>
      </c:bar3DChart>
      <c:catAx>
        <c:axId val="86198144"/>
        <c:scaling>
          <c:orientation val="minMax"/>
        </c:scaling>
        <c:delete val="0"/>
        <c:axPos val="b"/>
        <c:numFmt formatCode="General" sourceLinked="1"/>
        <c:majorTickMark val="none"/>
        <c:minorTickMark val="none"/>
        <c:tickLblPos val="nextTo"/>
        <c:spPr>
          <a:noFill/>
          <a:ln>
            <a:noFill/>
          </a:ln>
          <a:effectLst/>
        </c:spPr>
        <c:txPr>
          <a:bodyPr rot="-2880000" spcFirstLastPara="1" vertOverflow="ellipsis"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86199680"/>
        <c:crosses val="autoZero"/>
        <c:auto val="1"/>
        <c:lblAlgn val="ctr"/>
        <c:lblOffset val="100"/>
        <c:noMultiLvlLbl val="0"/>
      </c:catAx>
      <c:valAx>
        <c:axId val="86199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86198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2015.xlsx]SituationAnalysis!PivotTable27</c:name>
    <c:fmtId val="35"/>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Gender consideration for latrines</a:t>
            </a:r>
          </a:p>
        </c:rich>
      </c:tx>
      <c:layout>
        <c:manualLayout>
          <c:xMode val="edge"/>
          <c:yMode val="edge"/>
          <c:x val="0.21927264228957677"/>
          <c:y val="3.2552017954277451E-2"/>
        </c:manualLayout>
      </c:layout>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
      </c:pivotFmt>
      <c:pivotFmt>
        <c:idx val="7"/>
      </c:pivotFmt>
      <c:pivotFmt>
        <c:idx val="8"/>
      </c:pivotFmt>
      <c:pivotFmt>
        <c:idx val="9"/>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1"/>
          </a:solidFill>
          <a:ln w="25400">
            <a:solidFill>
              <a:schemeClr val="lt1"/>
            </a:solidFill>
          </a:ln>
          <a:effectLst/>
          <a:sp3d contourW="25400">
            <a:contourClr>
              <a:schemeClr val="lt1"/>
            </a:contourClr>
          </a:sp3d>
        </c:spPr>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
        <c:idx val="28"/>
        <c:spPr>
          <a:solidFill>
            <a:schemeClr val="accent1"/>
          </a:solidFill>
          <a:ln w="25400">
            <a:solidFill>
              <a:schemeClr val="lt1"/>
            </a:solidFill>
          </a:ln>
          <a:effectLst/>
          <a:sp3d contourW="25400">
            <a:contourClr>
              <a:schemeClr val="lt1"/>
            </a:contourClr>
          </a:sp3d>
        </c:spPr>
      </c:pivotFmt>
      <c:pivotFmt>
        <c:idx val="29"/>
        <c:spPr>
          <a:solidFill>
            <a:schemeClr val="accent1"/>
          </a:solidFill>
          <a:ln w="25400">
            <a:solidFill>
              <a:schemeClr val="lt1"/>
            </a:solidFill>
          </a:ln>
          <a:effectLst/>
          <a:sp3d contourW="25400">
            <a:contourClr>
              <a:schemeClr val="lt1"/>
            </a:contourClr>
          </a:sp3d>
        </c:spPr>
      </c:pivotFmt>
      <c:pivotFmt>
        <c:idx val="30"/>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1"/>
        <c:spPr>
          <a:solidFill>
            <a:schemeClr val="accent1"/>
          </a:solidFill>
          <a:ln w="25400">
            <a:solidFill>
              <a:schemeClr val="lt1"/>
            </a:solidFill>
          </a:ln>
          <a:effectLst/>
          <a:sp3d contourW="25400">
            <a:contourClr>
              <a:schemeClr val="lt1"/>
            </a:contourClr>
          </a:sp3d>
        </c:spPr>
      </c:pivotFmt>
      <c:pivotFmt>
        <c:idx val="32"/>
        <c:spPr>
          <a:solidFill>
            <a:schemeClr val="accent2"/>
          </a:solidFill>
          <a:ln w="25400">
            <a:solidFill>
              <a:schemeClr val="lt1"/>
            </a:solidFill>
          </a:ln>
          <a:effectLst/>
          <a:sp3d contourW="25400">
            <a:contourClr>
              <a:schemeClr val="lt1"/>
            </a:contourClr>
          </a:sp3d>
        </c:spPr>
      </c:pivotFmt>
      <c:pivotFmt>
        <c:idx val="33"/>
        <c:spPr>
          <a:solidFill>
            <a:schemeClr val="accent3"/>
          </a:solidFill>
          <a:ln w="25400">
            <a:solidFill>
              <a:schemeClr val="lt1"/>
            </a:solidFill>
          </a:ln>
          <a:effectLst/>
          <a:sp3d contourW="25400">
            <a:contourClr>
              <a:schemeClr val="lt1"/>
            </a:contourClr>
          </a:sp3d>
        </c:spPr>
      </c:pivotFmt>
      <c:pivotFmt>
        <c:idx val="34"/>
        <c:spPr>
          <a:solidFill>
            <a:schemeClr val="accent4"/>
          </a:solidFill>
          <a:ln w="25400">
            <a:solidFill>
              <a:schemeClr val="lt1"/>
            </a:solidFill>
          </a:ln>
          <a:effectLst/>
          <a:sp3d contourW="25400">
            <a:contourClr>
              <a:schemeClr val="lt1"/>
            </a:contourClr>
          </a:sp3d>
        </c:spPr>
      </c:pivotFmt>
      <c:pivotFmt>
        <c:idx val="35"/>
        <c:spPr>
          <a:solidFill>
            <a:schemeClr val="accent5"/>
          </a:solidFill>
          <a:ln w="25400">
            <a:solidFill>
              <a:schemeClr val="lt1"/>
            </a:solidFill>
          </a:ln>
          <a:effectLst/>
          <a:sp3d contourW="25400">
            <a:contourClr>
              <a:schemeClr val="lt1"/>
            </a:contourClr>
          </a:sp3d>
        </c:spPr>
        <c:dLbl>
          <c:idx val="0"/>
          <c:layout>
            <c:manualLayout>
              <c:x val="-0.12113436162945383"/>
              <c:y val="2.5318574308646202E-3"/>
            </c:manualLayout>
          </c:layout>
          <c:dLblPos val="bestFit"/>
          <c:showLegendKey val="0"/>
          <c:showVal val="0"/>
          <c:showCatName val="0"/>
          <c:showSerName val="0"/>
          <c:showPercent val="1"/>
          <c:showBubbleSize val="0"/>
          <c:extLst>
            <c:ext xmlns:c15="http://schemas.microsoft.com/office/drawing/2012/chart" uri="{CE6537A1-D6FC-4f65-9D91-7224C49458BB}">
              <c15:layout>
                <c:manualLayout>
                  <c:w val="6.5433789954337906E-2"/>
                  <c:h val="0.12874434173989122"/>
                </c:manualLayout>
              </c15:layout>
            </c:ext>
          </c:extLst>
        </c:dLbl>
      </c:pivotFmt>
      <c:pivotFmt>
        <c:idx val="36"/>
        <c:spPr>
          <a:solidFill>
            <a:schemeClr val="accent6"/>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625930320353791E-2"/>
          <c:y val="0.22364106660580471"/>
          <c:w val="0.54192535864523783"/>
          <c:h val="0.61832173152268999"/>
        </c:manualLayout>
      </c:layout>
      <c:pie3DChart>
        <c:varyColors val="1"/>
        <c:ser>
          <c:idx val="0"/>
          <c:order val="0"/>
          <c:tx>
            <c:strRef>
              <c:f>SituationAnalysis!$C$464</c:f>
              <c:strCache>
                <c:ptCount val="1"/>
                <c:pt idx="0">
                  <c:v>Total</c:v>
                </c:pt>
              </c:strCache>
            </c:strRef>
          </c:tx>
          <c:explosion val="6"/>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Lbls>
            <c:dLbl>
              <c:idx val="4"/>
              <c:layout>
                <c:manualLayout>
                  <c:x val="-0.12113436162945383"/>
                  <c:y val="2.5318574308646202E-3"/>
                </c:manualLayout>
              </c:layout>
              <c:dLblPos val="bestFit"/>
              <c:showLegendKey val="0"/>
              <c:showVal val="0"/>
              <c:showCatName val="0"/>
              <c:showSerName val="0"/>
              <c:showPercent val="1"/>
              <c:showBubbleSize val="0"/>
              <c:extLst>
                <c:ext xmlns:c15="http://schemas.microsoft.com/office/drawing/2012/chart" uri="{CE6537A1-D6FC-4f65-9D91-7224C49458BB}">
                  <c15:layout>
                    <c:manualLayout>
                      <c:w val="6.5433789954337906E-2"/>
                      <c:h val="0.12874434173989122"/>
                    </c:manualLayout>
                  </c15:layout>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SituationAnalysis!$B$465:$B$471</c:f>
              <c:strCache>
                <c:ptCount val="6"/>
                <c:pt idx="0">
                  <c:v>Latrine shared by families , not separated</c:v>
                </c:pt>
                <c:pt idx="1">
                  <c:v>Not separated yet</c:v>
                </c:pt>
                <c:pt idx="2">
                  <c:v>Separate, but not clearly perceived</c:v>
                </c:pt>
                <c:pt idx="3">
                  <c:v>Separate, clearly perceived</c:v>
                </c:pt>
                <c:pt idx="4">
                  <c:v>separated</c:v>
                </c:pt>
                <c:pt idx="5">
                  <c:v>Separated, clearly perceived</c:v>
                </c:pt>
              </c:strCache>
            </c:strRef>
          </c:cat>
          <c:val>
            <c:numRef>
              <c:f>SituationAnalysis!$C$465:$C$471</c:f>
              <c:numCache>
                <c:formatCode>0</c:formatCode>
                <c:ptCount val="6"/>
                <c:pt idx="0">
                  <c:v>75</c:v>
                </c:pt>
                <c:pt idx="1">
                  <c:v>39</c:v>
                </c:pt>
                <c:pt idx="2">
                  <c:v>7</c:v>
                </c:pt>
                <c:pt idx="3">
                  <c:v>31</c:v>
                </c:pt>
                <c:pt idx="4">
                  <c:v>1</c:v>
                </c:pt>
                <c:pt idx="5">
                  <c:v>1</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Ending date water funds/project coverage </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dLbl>
          <c:idx val="0"/>
          <c:showLegendKey val="0"/>
          <c:showVal val="1"/>
          <c:showCatName val="0"/>
          <c:showSerName val="0"/>
          <c:showPercent val="0"/>
          <c:showBubbleSize val="0"/>
          <c:extLst>
            <c:ext xmlns:c15="http://schemas.microsoft.com/office/drawing/2012/chart" uri="{CE6537A1-D6FC-4f65-9D91-7224C49458BB}"/>
          </c:extLst>
        </c:dLbl>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howLegendKey val="0"/>
          <c:showVal val="1"/>
          <c:showCatName val="0"/>
          <c:showSerName val="0"/>
          <c:showPercent val="0"/>
          <c:showBubbleSize val="0"/>
          <c:extLst>
            <c:ext xmlns:c15="http://schemas.microsoft.com/office/drawing/2012/chart" uri="{CE6537A1-D6FC-4f65-9D91-7224C49458BB}"/>
          </c:extLst>
        </c:dLbl>
      </c:pivotFmt>
      <c:pivotFmt>
        <c:idx val="7"/>
        <c:dLbl>
          <c:idx val="0"/>
          <c:showLegendKey val="0"/>
          <c:showVal val="1"/>
          <c:showCatName val="0"/>
          <c:showSerName val="0"/>
          <c:showPercent val="0"/>
          <c:showBubbleSize val="0"/>
          <c:extLst>
            <c:ext xmlns:c15="http://schemas.microsoft.com/office/drawing/2012/chart" uri="{CE6537A1-D6FC-4f65-9D91-7224C49458BB}"/>
          </c:extLst>
        </c:dLbl>
      </c:pivotFmt>
      <c:pivotFmt>
        <c:idx val="8"/>
        <c:dLbl>
          <c:idx val="0"/>
          <c:showLegendKey val="0"/>
          <c:showVal val="1"/>
          <c:showCatName val="0"/>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dLbl>
          <c:idx val="0"/>
          <c:showLegendKey val="0"/>
          <c:showVal val="1"/>
          <c:showCatName val="0"/>
          <c:showSerName val="0"/>
          <c:showPercent val="0"/>
          <c:showBubbleSize val="0"/>
          <c:extLst>
            <c:ext xmlns:c15="http://schemas.microsoft.com/office/drawing/2012/chart" uri="{CE6537A1-D6FC-4f65-9D91-7224C49458BB}"/>
          </c:extLst>
        </c:dLbl>
      </c:pivotFmt>
      <c:pivotFmt>
        <c:idx val="11"/>
        <c:dLbl>
          <c:idx val="0"/>
          <c:showLegendKey val="0"/>
          <c:showVal val="1"/>
          <c:showCatName val="0"/>
          <c:showSerName val="0"/>
          <c:showPercent val="0"/>
          <c:showBubbleSize val="0"/>
          <c:extLst>
            <c:ext xmlns:c15="http://schemas.microsoft.com/office/drawing/2012/chart" uri="{CE6537A1-D6FC-4f65-9D91-7224C49458BB}"/>
          </c:extLst>
        </c:dLbl>
      </c:pivotFmt>
      <c:pivotFmt>
        <c:idx val="12"/>
        <c:dLbl>
          <c:idx val="0"/>
          <c:showLegendKey val="0"/>
          <c:showVal val="1"/>
          <c:showCatName val="0"/>
          <c:showSerName val="0"/>
          <c:showPercent val="0"/>
          <c:showBubbleSize val="0"/>
          <c:extLst>
            <c:ext xmlns:c15="http://schemas.microsoft.com/office/drawing/2012/chart" uri="{CE6537A1-D6FC-4f65-9D91-7224C49458BB}"/>
          </c:extLst>
        </c:dLbl>
      </c:pivotFmt>
      <c:pivotFmt>
        <c:idx val="13"/>
        <c:dLbl>
          <c:idx val="0"/>
          <c:showLegendKey val="0"/>
          <c:showVal val="1"/>
          <c:showCatName val="0"/>
          <c:showSerName val="0"/>
          <c:showPercent val="0"/>
          <c:showBubbleSize val="0"/>
          <c:extLst>
            <c:ext xmlns:c15="http://schemas.microsoft.com/office/drawing/2012/chart" uri="{CE6537A1-D6FC-4f65-9D91-7224C49458BB}"/>
          </c:extLst>
        </c:dLbl>
      </c:pivotFmt>
      <c:pivotFmt>
        <c:idx val="14"/>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showLegendKey val="0"/>
          <c:showVal val="1"/>
          <c:showCatName val="0"/>
          <c:showSerName val="0"/>
          <c:showPercent val="0"/>
          <c:showBubbleSize val="0"/>
          <c:extLst>
            <c:ext xmlns:c15="http://schemas.microsoft.com/office/drawing/2012/chart" uri="{CE6537A1-D6FC-4f65-9D91-7224C49458BB}"/>
          </c:extLst>
        </c:dLbl>
      </c:pivotFmt>
      <c:pivotFmt>
        <c:idx val="16"/>
        <c:dLbl>
          <c:idx val="0"/>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1"/>
          <c:showCatName val="0"/>
          <c:showSerName val="0"/>
          <c:showPercent val="0"/>
          <c:showBubbleSize val="0"/>
          <c:extLst>
            <c:ext xmlns:c15="http://schemas.microsoft.com/office/drawing/2012/chart" uri="{CE6537A1-D6FC-4f65-9D91-7224C49458BB}"/>
          </c:extLst>
        </c:dLbl>
      </c:pivotFmt>
      <c:pivotFmt>
        <c:idx val="18"/>
        <c:dLbl>
          <c:idx val="0"/>
          <c:showLegendKey val="0"/>
          <c:showVal val="1"/>
          <c:showCatName val="0"/>
          <c:showSerName val="0"/>
          <c:showPercent val="0"/>
          <c:showBubbleSize val="0"/>
          <c:extLst>
            <c:ext xmlns:c15="http://schemas.microsoft.com/office/drawing/2012/chart" uri="{CE6537A1-D6FC-4f65-9D91-7224C49458BB}"/>
          </c:extLst>
        </c:dLbl>
      </c:pivotFmt>
      <c:pivotFmt>
        <c:idx val="19"/>
        <c:dLbl>
          <c:idx val="0"/>
          <c:showLegendKey val="0"/>
          <c:showVal val="1"/>
          <c:showCatName val="0"/>
          <c:showSerName val="0"/>
          <c:showPercent val="0"/>
          <c:showBubbleSize val="0"/>
          <c:extLst>
            <c:ext xmlns:c15="http://schemas.microsoft.com/office/drawing/2012/chart" uri="{CE6537A1-D6FC-4f65-9D91-7224C49458BB}"/>
          </c:extLst>
        </c:dLbl>
      </c:pivotFmt>
      <c:pivotFmt>
        <c:idx val="20"/>
        <c:dLbl>
          <c:idx val="0"/>
          <c:showLegendKey val="0"/>
          <c:showVal val="1"/>
          <c:showCatName val="0"/>
          <c:showSerName val="0"/>
          <c:showPercent val="0"/>
          <c:showBubbleSize val="0"/>
          <c:extLst>
            <c:ext xmlns:c15="http://schemas.microsoft.com/office/drawing/2012/chart" uri="{CE6537A1-D6FC-4f65-9D91-7224C49458BB}"/>
          </c:extLst>
        </c:dLbl>
      </c:pivotFmt>
      <c:pivotFmt>
        <c:idx val="21"/>
        <c:dLbl>
          <c:idx val="0"/>
          <c:showLegendKey val="0"/>
          <c:showVal val="1"/>
          <c:showCatName val="0"/>
          <c:showSerName val="0"/>
          <c:showPercent val="0"/>
          <c:showBubbleSize val="0"/>
          <c:extLst>
            <c:ext xmlns:c15="http://schemas.microsoft.com/office/drawing/2012/chart" uri="{CE6537A1-D6FC-4f65-9D91-7224C49458BB}"/>
          </c:extLst>
        </c:dLbl>
      </c:pivotFmt>
      <c:pivotFmt>
        <c:idx val="22"/>
        <c:dLbl>
          <c:idx val="0"/>
          <c:showLegendKey val="0"/>
          <c:showVal val="1"/>
          <c:showCatName val="0"/>
          <c:showSerName val="0"/>
          <c:showPercent val="0"/>
          <c:showBubbleSize val="0"/>
          <c:extLst>
            <c:ext xmlns:c15="http://schemas.microsoft.com/office/drawing/2012/chart" uri="{CE6537A1-D6FC-4f65-9D91-7224C49458BB}"/>
          </c:extLst>
        </c:dLbl>
      </c:pivotFmt>
      <c:pivotFmt>
        <c:idx val="23"/>
        <c:dLbl>
          <c:idx val="0"/>
          <c:showLegendKey val="0"/>
          <c:showVal val="1"/>
          <c:showCatName val="0"/>
          <c:showSerName val="0"/>
          <c:showPercent val="0"/>
          <c:showBubbleSize val="0"/>
          <c:extLst>
            <c:ext xmlns:c15="http://schemas.microsoft.com/office/drawing/2012/chart" uri="{CE6537A1-D6FC-4f65-9D91-7224C49458BB}"/>
          </c:extLst>
        </c:dLbl>
      </c:pivotFmt>
      <c:pivotFmt>
        <c:idx val="24"/>
        <c:dLbl>
          <c:idx val="0"/>
          <c:showLegendKey val="0"/>
          <c:showVal val="1"/>
          <c:showCatName val="0"/>
          <c:showSerName val="0"/>
          <c:showPercent val="0"/>
          <c:showBubbleSize val="0"/>
          <c:extLst>
            <c:ext xmlns:c15="http://schemas.microsoft.com/office/drawing/2012/chart" uri="{CE6537A1-D6FC-4f65-9D91-7224C49458BB}"/>
          </c:extLst>
        </c:dLbl>
      </c:pivotFmt>
      <c:pivotFmt>
        <c:idx val="25"/>
        <c:dLbl>
          <c:idx val="0"/>
          <c:showLegendKey val="0"/>
          <c:showVal val="1"/>
          <c:showCatName val="0"/>
          <c:showSerName val="0"/>
          <c:showPercent val="0"/>
          <c:showBubbleSize val="0"/>
          <c:extLst>
            <c:ext xmlns:c15="http://schemas.microsoft.com/office/drawing/2012/chart" uri="{CE6537A1-D6FC-4f65-9D91-7224C49458BB}"/>
          </c:extLst>
        </c:dLbl>
      </c:pivotFmt>
      <c:pivotFmt>
        <c:idx val="26"/>
        <c:dLbl>
          <c:idx val="0"/>
          <c:showLegendKey val="0"/>
          <c:showVal val="1"/>
          <c:showCatName val="0"/>
          <c:showSerName val="0"/>
          <c:showPercent val="0"/>
          <c:showBubbleSize val="0"/>
          <c:extLst>
            <c:ext xmlns:c15="http://schemas.microsoft.com/office/drawing/2012/chart" uri="{CE6537A1-D6FC-4f65-9D91-7224C49458BB}"/>
          </c:extLst>
        </c:dLbl>
      </c:pivotFmt>
      <c:pivotFmt>
        <c:idx val="27"/>
        <c:dLbl>
          <c:idx val="0"/>
          <c:showLegendKey val="0"/>
          <c:showVal val="1"/>
          <c:showCatName val="0"/>
          <c:showSerName val="0"/>
          <c:showPercent val="0"/>
          <c:showBubbleSize val="0"/>
          <c:extLst>
            <c:ext xmlns:c15="http://schemas.microsoft.com/office/drawing/2012/chart" uri="{CE6537A1-D6FC-4f65-9D91-7224C49458BB}"/>
          </c:extLst>
        </c:dLbl>
      </c:pivotFmt>
      <c:pivotFmt>
        <c:idx val="28"/>
        <c:dLbl>
          <c:idx val="0"/>
          <c:showLegendKey val="0"/>
          <c:showVal val="1"/>
          <c:showCatName val="0"/>
          <c:showSerName val="0"/>
          <c:showPercent val="0"/>
          <c:showBubbleSize val="0"/>
          <c:extLst>
            <c:ext xmlns:c15="http://schemas.microsoft.com/office/drawing/2012/chart" uri="{CE6537A1-D6FC-4f65-9D91-7224C49458BB}"/>
          </c:extLst>
        </c:dLbl>
      </c:pivotFmt>
      <c:pivotFmt>
        <c:idx val="29"/>
        <c:dLbl>
          <c:idx val="0"/>
          <c:showLegendKey val="0"/>
          <c:showVal val="1"/>
          <c:showCatName val="0"/>
          <c:showSerName val="0"/>
          <c:showPercent val="0"/>
          <c:showBubbleSize val="0"/>
          <c:extLst>
            <c:ext xmlns:c15="http://schemas.microsoft.com/office/drawing/2012/chart" uri="{CE6537A1-D6FC-4f65-9D91-7224C49458BB}"/>
          </c:extLst>
        </c:dLbl>
      </c:pivotFmt>
      <c:pivotFmt>
        <c:idx val="30"/>
        <c:dLbl>
          <c:idx val="0"/>
          <c:showLegendKey val="0"/>
          <c:showVal val="1"/>
          <c:showCatName val="0"/>
          <c:showSerName val="0"/>
          <c:showPercent val="0"/>
          <c:showBubbleSize val="0"/>
          <c:extLst>
            <c:ext xmlns:c15="http://schemas.microsoft.com/office/drawing/2012/chart" uri="{CE6537A1-D6FC-4f65-9D91-7224C49458BB}"/>
          </c:extLst>
        </c:dLbl>
      </c:pivotFmt>
      <c:pivotFmt>
        <c:idx val="31"/>
        <c:dLbl>
          <c:idx val="0"/>
          <c:showLegendKey val="0"/>
          <c:showVal val="1"/>
          <c:showCatName val="0"/>
          <c:showSerName val="0"/>
          <c:showPercent val="0"/>
          <c:showBubbleSize val="0"/>
          <c:extLst>
            <c:ext xmlns:c15="http://schemas.microsoft.com/office/drawing/2012/chart" uri="{CE6537A1-D6FC-4f65-9D91-7224C49458BB}"/>
          </c:extLst>
        </c:dLbl>
      </c:pivotFmt>
      <c:pivotFmt>
        <c:idx val="32"/>
        <c:dLbl>
          <c:idx val="0"/>
          <c:showLegendKey val="0"/>
          <c:showVal val="1"/>
          <c:showCatName val="0"/>
          <c:showSerName val="0"/>
          <c:showPercent val="0"/>
          <c:showBubbleSize val="0"/>
          <c:extLst>
            <c:ext xmlns:c15="http://schemas.microsoft.com/office/drawing/2012/chart" uri="{CE6537A1-D6FC-4f65-9D91-7224C49458BB}"/>
          </c:extLst>
        </c:dLbl>
      </c:pivotFmt>
      <c:pivotFmt>
        <c:idx val="33"/>
        <c:dLbl>
          <c:idx val="0"/>
          <c:showLegendKey val="0"/>
          <c:showVal val="1"/>
          <c:showCatName val="0"/>
          <c:showSerName val="0"/>
          <c:showPercent val="0"/>
          <c:showBubbleSize val="0"/>
          <c:extLst>
            <c:ext xmlns:c15="http://schemas.microsoft.com/office/drawing/2012/chart" uri="{CE6537A1-D6FC-4f65-9D91-7224C49458BB}"/>
          </c:extLst>
        </c:dLbl>
      </c:pivotFmt>
      <c:pivotFmt>
        <c:idx val="34"/>
        <c:dLbl>
          <c:idx val="0"/>
          <c:showLegendKey val="0"/>
          <c:showVal val="1"/>
          <c:showCatName val="0"/>
          <c:showSerName val="0"/>
          <c:showPercent val="0"/>
          <c:showBubbleSize val="0"/>
          <c:extLst>
            <c:ext xmlns:c15="http://schemas.microsoft.com/office/drawing/2012/chart" uri="{CE6537A1-D6FC-4f65-9D91-7224C49458BB}"/>
          </c:extLst>
        </c:dLbl>
      </c:pivotFmt>
      <c:pivotFmt>
        <c:idx val="35"/>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showLegendKey val="0"/>
          <c:showVal val="1"/>
          <c:showCatName val="0"/>
          <c:showSerName val="0"/>
          <c:showPercent val="0"/>
          <c:showBubbleSize val="0"/>
          <c:extLst>
            <c:ext xmlns:c15="http://schemas.microsoft.com/office/drawing/2012/chart" uri="{CE6537A1-D6FC-4f65-9D91-7224C49458BB}"/>
          </c:extLst>
        </c:dLbl>
      </c:pivotFmt>
      <c:pivotFmt>
        <c:idx val="37"/>
        <c:dLbl>
          <c:idx val="0"/>
          <c:showLegendKey val="0"/>
          <c:showVal val="1"/>
          <c:showCatName val="0"/>
          <c:showSerName val="0"/>
          <c:showPercent val="0"/>
          <c:showBubbleSize val="0"/>
          <c:extLst>
            <c:ext xmlns:c15="http://schemas.microsoft.com/office/drawing/2012/chart" uri="{CE6537A1-D6FC-4f65-9D91-7224C49458BB}"/>
          </c:extLst>
        </c:dLbl>
      </c:pivotFmt>
      <c:pivotFmt>
        <c:idx val="38"/>
        <c:dLbl>
          <c:idx val="0"/>
          <c:showLegendKey val="0"/>
          <c:showVal val="1"/>
          <c:showCatName val="0"/>
          <c:showSerName val="0"/>
          <c:showPercent val="0"/>
          <c:showBubbleSize val="0"/>
          <c:extLst>
            <c:ext xmlns:c15="http://schemas.microsoft.com/office/drawing/2012/chart" uri="{CE6537A1-D6FC-4f65-9D91-7224C49458BB}"/>
          </c:extLst>
        </c:dLbl>
      </c:pivotFmt>
      <c:pivotFmt>
        <c:idx val="39"/>
        <c:dLbl>
          <c:idx val="0"/>
          <c:showLegendKey val="0"/>
          <c:showVal val="1"/>
          <c:showCatName val="0"/>
          <c:showSerName val="0"/>
          <c:showPercent val="0"/>
          <c:showBubbleSize val="0"/>
          <c:extLst>
            <c:ext xmlns:c15="http://schemas.microsoft.com/office/drawing/2012/chart" uri="{CE6537A1-D6FC-4f65-9D91-7224C49458BB}"/>
          </c:extLst>
        </c:dLbl>
      </c:pivotFmt>
      <c:pivotFmt>
        <c:idx val="40"/>
        <c:dLbl>
          <c:idx val="0"/>
          <c:showLegendKey val="0"/>
          <c:showVal val="1"/>
          <c:showCatName val="0"/>
          <c:showSerName val="0"/>
          <c:showPercent val="0"/>
          <c:showBubbleSize val="0"/>
          <c:extLst>
            <c:ext xmlns:c15="http://schemas.microsoft.com/office/drawing/2012/chart" uri="{CE6537A1-D6FC-4f65-9D91-7224C49458BB}"/>
          </c:extLst>
        </c:dLbl>
      </c:pivotFmt>
      <c:pivotFmt>
        <c:idx val="41"/>
        <c:dLbl>
          <c:idx val="0"/>
          <c:showLegendKey val="0"/>
          <c:showVal val="1"/>
          <c:showCatName val="0"/>
          <c:showSerName val="0"/>
          <c:showPercent val="0"/>
          <c:showBubbleSize val="0"/>
          <c:extLst>
            <c:ext xmlns:c15="http://schemas.microsoft.com/office/drawing/2012/chart" uri="{CE6537A1-D6FC-4f65-9D91-7224C49458BB}"/>
          </c:extLst>
        </c:dLbl>
      </c:pivotFmt>
      <c:pivotFmt>
        <c:idx val="42"/>
        <c:dLbl>
          <c:idx val="0"/>
          <c:showLegendKey val="0"/>
          <c:showVal val="1"/>
          <c:showCatName val="0"/>
          <c:showSerName val="0"/>
          <c:showPercent val="0"/>
          <c:showBubbleSize val="0"/>
          <c:extLst>
            <c:ext xmlns:c15="http://schemas.microsoft.com/office/drawing/2012/chart" uri="{CE6537A1-D6FC-4f65-9D91-7224C49458BB}"/>
          </c:extLst>
        </c:dLbl>
      </c:pivotFmt>
      <c:pivotFmt>
        <c:idx val="43"/>
        <c:dLbl>
          <c:idx val="0"/>
          <c:showLegendKey val="0"/>
          <c:showVal val="1"/>
          <c:showCatName val="0"/>
          <c:showSerName val="0"/>
          <c:showPercent val="0"/>
          <c:showBubbleSize val="0"/>
          <c:extLst>
            <c:ext xmlns:c15="http://schemas.microsoft.com/office/drawing/2012/chart" uri="{CE6537A1-D6FC-4f65-9D91-7224C49458BB}"/>
          </c:extLst>
        </c:dLbl>
      </c:pivotFmt>
      <c:pivotFmt>
        <c:idx val="44"/>
        <c:dLbl>
          <c:idx val="0"/>
          <c:showLegendKey val="0"/>
          <c:showVal val="1"/>
          <c:showCatName val="0"/>
          <c:showSerName val="0"/>
          <c:showPercent val="0"/>
          <c:showBubbleSize val="0"/>
          <c:extLst>
            <c:ext xmlns:c15="http://schemas.microsoft.com/office/drawing/2012/chart" uri="{CE6537A1-D6FC-4f65-9D91-7224C49458BB}"/>
          </c:extLst>
        </c:dLbl>
      </c:pivotFmt>
      <c:pivotFmt>
        <c:idx val="45"/>
        <c:dLbl>
          <c:idx val="0"/>
          <c:showLegendKey val="0"/>
          <c:showVal val="1"/>
          <c:showCatName val="0"/>
          <c:showSerName val="0"/>
          <c:showPercent val="0"/>
          <c:showBubbleSize val="0"/>
          <c:extLst>
            <c:ext xmlns:c15="http://schemas.microsoft.com/office/drawing/2012/chart" uri="{CE6537A1-D6FC-4f65-9D91-7224C49458BB}"/>
          </c:extLst>
        </c:dLbl>
      </c:pivotFmt>
      <c:pivotFmt>
        <c:idx val="46"/>
        <c:dLbl>
          <c:idx val="0"/>
          <c:showLegendKey val="0"/>
          <c:showVal val="1"/>
          <c:showCatName val="0"/>
          <c:showSerName val="0"/>
          <c:showPercent val="0"/>
          <c:showBubbleSize val="0"/>
          <c:extLst>
            <c:ext xmlns:c15="http://schemas.microsoft.com/office/drawing/2012/chart" uri="{CE6537A1-D6FC-4f65-9D91-7224C49458BB}"/>
          </c:extLst>
        </c:dLbl>
      </c:pivotFmt>
      <c:pivotFmt>
        <c:idx val="47"/>
        <c:dLbl>
          <c:idx val="0"/>
          <c:showLegendKey val="0"/>
          <c:showVal val="1"/>
          <c:showCatName val="0"/>
          <c:showSerName val="0"/>
          <c:showPercent val="0"/>
          <c:showBubbleSize val="0"/>
          <c:extLst>
            <c:ext xmlns:c15="http://schemas.microsoft.com/office/drawing/2012/chart" uri="{CE6537A1-D6FC-4f65-9D91-7224C49458BB}"/>
          </c:extLst>
        </c:dLbl>
      </c:pivotFmt>
      <c:pivotFmt>
        <c:idx val="48"/>
        <c:dLbl>
          <c:idx val="0"/>
          <c:showLegendKey val="0"/>
          <c:showVal val="1"/>
          <c:showCatName val="0"/>
          <c:showSerName val="0"/>
          <c:showPercent val="0"/>
          <c:showBubbleSize val="0"/>
          <c:extLst>
            <c:ext xmlns:c15="http://schemas.microsoft.com/office/drawing/2012/chart" uri="{CE6537A1-D6FC-4f65-9D91-7224C49458BB}"/>
          </c:extLst>
        </c:dLbl>
      </c:pivotFmt>
      <c:pivotFmt>
        <c:idx val="49"/>
        <c:dLbl>
          <c:idx val="0"/>
          <c:showLegendKey val="0"/>
          <c:showVal val="1"/>
          <c:showCatName val="0"/>
          <c:showSerName val="0"/>
          <c:showPercent val="0"/>
          <c:showBubbleSize val="0"/>
          <c:extLst>
            <c:ext xmlns:c15="http://schemas.microsoft.com/office/drawing/2012/chart" uri="{CE6537A1-D6FC-4f65-9D91-7224C49458BB}"/>
          </c:extLst>
        </c:dLbl>
      </c:pivotFmt>
      <c:pivotFmt>
        <c:idx val="50"/>
        <c:dLbl>
          <c:idx val="0"/>
          <c:showLegendKey val="0"/>
          <c:showVal val="1"/>
          <c:showCatName val="0"/>
          <c:showSerName val="0"/>
          <c:showPercent val="0"/>
          <c:showBubbleSize val="0"/>
          <c:extLst>
            <c:ext xmlns:c15="http://schemas.microsoft.com/office/drawing/2012/chart" uri="{CE6537A1-D6FC-4f65-9D91-7224C49458BB}"/>
          </c:extLst>
        </c:dLbl>
      </c:pivotFmt>
      <c:pivotFmt>
        <c:idx val="51"/>
        <c:dLbl>
          <c:idx val="0"/>
          <c:showLegendKey val="0"/>
          <c:showVal val="1"/>
          <c:showCatName val="0"/>
          <c:showSerName val="0"/>
          <c:showPercent val="0"/>
          <c:showBubbleSize val="0"/>
          <c:extLst>
            <c:ext xmlns:c15="http://schemas.microsoft.com/office/drawing/2012/chart" uri="{CE6537A1-D6FC-4f65-9D91-7224C49458BB}"/>
          </c:extLst>
        </c:dLbl>
      </c:pivotFmt>
      <c:pivotFmt>
        <c:idx val="52"/>
        <c:dLbl>
          <c:idx val="0"/>
          <c:showLegendKey val="0"/>
          <c:showVal val="1"/>
          <c:showCatName val="0"/>
          <c:showSerName val="0"/>
          <c:showPercent val="0"/>
          <c:showBubbleSize val="0"/>
          <c:extLst>
            <c:ext xmlns:c15="http://schemas.microsoft.com/office/drawing/2012/chart" uri="{CE6537A1-D6FC-4f65-9D91-7224C49458BB}"/>
          </c:extLst>
        </c:dLbl>
      </c:pivotFmt>
      <c:pivotFmt>
        <c:idx val="53"/>
        <c:dLbl>
          <c:idx val="0"/>
          <c:showLegendKey val="0"/>
          <c:showVal val="1"/>
          <c:showCatName val="0"/>
          <c:showSerName val="0"/>
          <c:showPercent val="0"/>
          <c:showBubbleSize val="0"/>
          <c:extLst>
            <c:ext xmlns:c15="http://schemas.microsoft.com/office/drawing/2012/chart" uri="{CE6537A1-D6FC-4f65-9D91-7224C49458BB}"/>
          </c:extLst>
        </c:dLbl>
      </c:pivotFmt>
      <c:pivotFmt>
        <c:idx val="54"/>
        <c:dLbl>
          <c:idx val="0"/>
          <c:showLegendKey val="0"/>
          <c:showVal val="1"/>
          <c:showCatName val="0"/>
          <c:showSerName val="0"/>
          <c:showPercent val="0"/>
          <c:showBubbleSize val="0"/>
          <c:extLst>
            <c:ext xmlns:c15="http://schemas.microsoft.com/office/drawing/2012/chart" uri="{CE6537A1-D6FC-4f65-9D91-7224C49458BB}"/>
          </c:extLst>
        </c:dLbl>
      </c:pivotFmt>
      <c:pivotFmt>
        <c:idx val="55"/>
        <c:dLbl>
          <c:idx val="0"/>
          <c:showLegendKey val="0"/>
          <c:showVal val="1"/>
          <c:showCatName val="0"/>
          <c:showSerName val="0"/>
          <c:showPercent val="0"/>
          <c:showBubbleSize val="0"/>
          <c:extLst>
            <c:ext xmlns:c15="http://schemas.microsoft.com/office/drawing/2012/chart" uri="{CE6537A1-D6FC-4f65-9D91-7224C49458BB}"/>
          </c:extLst>
        </c:dLbl>
      </c:pivotFmt>
      <c:pivotFmt>
        <c:idx val="56"/>
        <c:dLbl>
          <c:idx val="0"/>
          <c:showLegendKey val="0"/>
          <c:showVal val="1"/>
          <c:showCatName val="0"/>
          <c:showSerName val="0"/>
          <c:showPercent val="0"/>
          <c:showBubbleSize val="0"/>
          <c:extLst>
            <c:ext xmlns:c15="http://schemas.microsoft.com/office/drawing/2012/chart" uri="{CE6537A1-D6FC-4f65-9D91-7224C49458BB}"/>
          </c:extLst>
        </c:dLbl>
      </c:pivotFmt>
      <c:pivotFmt>
        <c:idx val="57"/>
        <c:dLbl>
          <c:idx val="0"/>
          <c:showLegendKey val="0"/>
          <c:showVal val="1"/>
          <c:showCatName val="0"/>
          <c:showSerName val="0"/>
          <c:showPercent val="0"/>
          <c:showBubbleSize val="0"/>
          <c:extLst>
            <c:ext xmlns:c15="http://schemas.microsoft.com/office/drawing/2012/chart" uri="{CE6537A1-D6FC-4f65-9D91-7224C49458BB}"/>
          </c:extLst>
        </c:dLbl>
      </c:pivotFmt>
      <c:pivotFmt>
        <c:idx val="58"/>
        <c:dLbl>
          <c:idx val="0"/>
          <c:showLegendKey val="0"/>
          <c:showVal val="1"/>
          <c:showCatName val="0"/>
          <c:showSerName val="0"/>
          <c:showPercent val="0"/>
          <c:showBubbleSize val="0"/>
          <c:extLst>
            <c:ext xmlns:c15="http://schemas.microsoft.com/office/drawing/2012/chart" uri="{CE6537A1-D6FC-4f65-9D91-7224C49458BB}"/>
          </c:extLst>
        </c:dLbl>
      </c:pivotFmt>
      <c:pivotFmt>
        <c:idx val="59"/>
        <c:dLbl>
          <c:idx val="0"/>
          <c:showLegendKey val="0"/>
          <c:showVal val="1"/>
          <c:showCatName val="0"/>
          <c:showSerName val="0"/>
          <c:showPercent val="0"/>
          <c:showBubbleSize val="0"/>
          <c:extLst>
            <c:ext xmlns:c15="http://schemas.microsoft.com/office/drawing/2012/chart" uri="{CE6537A1-D6FC-4f65-9D91-7224C49458BB}"/>
          </c:extLst>
        </c:dLbl>
      </c:pivotFmt>
      <c:pivotFmt>
        <c:idx val="60"/>
        <c:dLbl>
          <c:idx val="0"/>
          <c:showLegendKey val="0"/>
          <c:showVal val="1"/>
          <c:showCatName val="0"/>
          <c:showSerName val="0"/>
          <c:showPercent val="0"/>
          <c:showBubbleSize val="0"/>
          <c:extLst>
            <c:ext xmlns:c15="http://schemas.microsoft.com/office/drawing/2012/chart" uri="{CE6537A1-D6FC-4f65-9D91-7224C49458BB}"/>
          </c:extLst>
        </c:dLbl>
      </c:pivotFmt>
      <c:pivotFmt>
        <c:idx val="61"/>
        <c:dLbl>
          <c:idx val="0"/>
          <c:showLegendKey val="0"/>
          <c:showVal val="1"/>
          <c:showCatName val="0"/>
          <c:showSerName val="0"/>
          <c:showPercent val="0"/>
          <c:showBubbleSize val="0"/>
          <c:extLst>
            <c:ext xmlns:c15="http://schemas.microsoft.com/office/drawing/2012/chart" uri="{CE6537A1-D6FC-4f65-9D91-7224C49458BB}"/>
          </c:extLst>
        </c:dLbl>
      </c:pivotFmt>
      <c:pivotFmt>
        <c:idx val="62"/>
        <c:dLbl>
          <c:idx val="0"/>
          <c:showLegendKey val="0"/>
          <c:showVal val="1"/>
          <c:showCatName val="0"/>
          <c:showSerName val="0"/>
          <c:showPercent val="0"/>
          <c:showBubbleSize val="0"/>
          <c:extLst>
            <c:ext xmlns:c15="http://schemas.microsoft.com/office/drawing/2012/chart" uri="{CE6537A1-D6FC-4f65-9D91-7224C49458BB}"/>
          </c:extLst>
        </c:dLbl>
      </c:pivotFmt>
      <c:pivotFmt>
        <c:idx val="63"/>
        <c:dLbl>
          <c:idx val="0"/>
          <c:showLegendKey val="0"/>
          <c:showVal val="1"/>
          <c:showCatName val="0"/>
          <c:showSerName val="0"/>
          <c:showPercent val="0"/>
          <c:showBubbleSize val="0"/>
          <c:extLst>
            <c:ext xmlns:c15="http://schemas.microsoft.com/office/drawing/2012/chart" uri="{CE6537A1-D6FC-4f65-9D91-7224C49458BB}"/>
          </c:extLst>
        </c:dLbl>
      </c:pivotFmt>
      <c:pivotFmt>
        <c:idx val="64"/>
        <c:dLbl>
          <c:idx val="0"/>
          <c:showLegendKey val="0"/>
          <c:showVal val="1"/>
          <c:showCatName val="0"/>
          <c:showSerName val="0"/>
          <c:showPercent val="0"/>
          <c:showBubbleSize val="0"/>
          <c:extLst>
            <c:ext xmlns:c15="http://schemas.microsoft.com/office/drawing/2012/chart" uri="{CE6537A1-D6FC-4f65-9D91-7224C49458BB}"/>
          </c:extLst>
        </c:dLbl>
      </c:pivotFmt>
      <c:pivotFmt>
        <c:idx val="65"/>
        <c:dLbl>
          <c:idx val="0"/>
          <c:showLegendKey val="0"/>
          <c:showVal val="1"/>
          <c:showCatName val="0"/>
          <c:showSerName val="0"/>
          <c:showPercent val="0"/>
          <c:showBubbleSize val="0"/>
          <c:extLst>
            <c:ext xmlns:c15="http://schemas.microsoft.com/office/drawing/2012/chart" uri="{CE6537A1-D6FC-4f65-9D91-7224C49458BB}"/>
          </c:extLst>
        </c:dLbl>
      </c:pivotFmt>
      <c:pivotFmt>
        <c:idx val="66"/>
        <c:dLbl>
          <c:idx val="0"/>
          <c:showLegendKey val="0"/>
          <c:showVal val="1"/>
          <c:showCatName val="0"/>
          <c:showSerName val="0"/>
          <c:showPercent val="0"/>
          <c:showBubbleSize val="0"/>
          <c:extLst>
            <c:ext xmlns:c15="http://schemas.microsoft.com/office/drawing/2012/chart" uri="{CE6537A1-D6FC-4f65-9D91-7224C49458BB}"/>
          </c:extLst>
        </c:dLbl>
      </c:pivotFmt>
      <c:pivotFmt>
        <c:idx val="67"/>
        <c:dLbl>
          <c:idx val="0"/>
          <c:showLegendKey val="0"/>
          <c:showVal val="1"/>
          <c:showCatName val="0"/>
          <c:showSerName val="0"/>
          <c:showPercent val="0"/>
          <c:showBubbleSize val="0"/>
          <c:extLst>
            <c:ext xmlns:c15="http://schemas.microsoft.com/office/drawing/2012/chart" uri="{CE6537A1-D6FC-4f65-9D91-7224C49458BB}"/>
          </c:extLst>
        </c:dLbl>
      </c:pivotFmt>
      <c:pivotFmt>
        <c:idx val="68"/>
        <c:dLbl>
          <c:idx val="0"/>
          <c:showLegendKey val="0"/>
          <c:showVal val="1"/>
          <c:showCatName val="0"/>
          <c:showSerName val="0"/>
          <c:showPercent val="0"/>
          <c:showBubbleSize val="0"/>
          <c:extLst>
            <c:ext xmlns:c15="http://schemas.microsoft.com/office/drawing/2012/chart" uri="{CE6537A1-D6FC-4f65-9D91-7224C49458BB}"/>
          </c:extLst>
        </c:dLbl>
      </c:pivotFmt>
      <c:pivotFmt>
        <c:idx val="69"/>
        <c:dLbl>
          <c:idx val="0"/>
          <c:showLegendKey val="0"/>
          <c:showVal val="1"/>
          <c:showCatName val="0"/>
          <c:showSerName val="0"/>
          <c:showPercent val="0"/>
          <c:showBubbleSize val="0"/>
          <c:extLst>
            <c:ext xmlns:c15="http://schemas.microsoft.com/office/drawing/2012/chart" uri="{CE6537A1-D6FC-4f65-9D91-7224C49458BB}"/>
          </c:extLst>
        </c:dLbl>
      </c:pivotFmt>
      <c:pivotFmt>
        <c:idx val="70"/>
        <c:dLbl>
          <c:idx val="0"/>
          <c:showLegendKey val="0"/>
          <c:showVal val="1"/>
          <c:showCatName val="0"/>
          <c:showSerName val="0"/>
          <c:showPercent val="0"/>
          <c:showBubbleSize val="0"/>
          <c:extLst>
            <c:ext xmlns:c15="http://schemas.microsoft.com/office/drawing/2012/chart" uri="{CE6537A1-D6FC-4f65-9D91-7224C49458BB}"/>
          </c:extLst>
        </c:dLbl>
      </c:pivotFmt>
      <c:pivotFmt>
        <c:idx val="71"/>
        <c:dLbl>
          <c:idx val="0"/>
          <c:showLegendKey val="0"/>
          <c:showVal val="1"/>
          <c:showCatName val="0"/>
          <c:showSerName val="0"/>
          <c:showPercent val="0"/>
          <c:showBubbleSize val="0"/>
          <c:extLst>
            <c:ext xmlns:c15="http://schemas.microsoft.com/office/drawing/2012/chart" uri="{CE6537A1-D6FC-4f65-9D91-7224C49458BB}"/>
          </c:extLst>
        </c:dLbl>
      </c:pivotFmt>
      <c:pivotFmt>
        <c:idx val="72"/>
        <c:dLbl>
          <c:idx val="0"/>
          <c:showLegendKey val="0"/>
          <c:showVal val="1"/>
          <c:showCatName val="0"/>
          <c:showSerName val="0"/>
          <c:showPercent val="0"/>
          <c:showBubbleSize val="0"/>
          <c:extLst>
            <c:ext xmlns:c15="http://schemas.microsoft.com/office/drawing/2012/chart" uri="{CE6537A1-D6FC-4f65-9D91-7224C49458BB}"/>
          </c:extLst>
        </c:dLbl>
      </c:pivotFmt>
      <c:pivotFmt>
        <c:idx val="73"/>
        <c:dLbl>
          <c:idx val="0"/>
          <c:showLegendKey val="0"/>
          <c:showVal val="1"/>
          <c:showCatName val="0"/>
          <c:showSerName val="0"/>
          <c:showPercent val="0"/>
          <c:showBubbleSize val="0"/>
          <c:extLst>
            <c:ext xmlns:c15="http://schemas.microsoft.com/office/drawing/2012/chart" uri="{CE6537A1-D6FC-4f65-9D91-7224C49458BB}"/>
          </c:extLst>
        </c:dLbl>
      </c:pivotFmt>
      <c:pivotFmt>
        <c:idx val="74"/>
        <c:dLbl>
          <c:idx val="0"/>
          <c:showLegendKey val="0"/>
          <c:showVal val="1"/>
          <c:showCatName val="0"/>
          <c:showSerName val="0"/>
          <c:showPercent val="0"/>
          <c:showBubbleSize val="0"/>
          <c:extLst>
            <c:ext xmlns:c15="http://schemas.microsoft.com/office/drawing/2012/chart" uri="{CE6537A1-D6FC-4f65-9D91-7224C49458BB}"/>
          </c:extLst>
        </c:dLbl>
      </c:pivotFmt>
      <c:pivotFmt>
        <c:idx val="75"/>
        <c:dLbl>
          <c:idx val="0"/>
          <c:showLegendKey val="0"/>
          <c:showVal val="1"/>
          <c:showCatName val="0"/>
          <c:showSerName val="0"/>
          <c:showPercent val="0"/>
          <c:showBubbleSize val="0"/>
          <c:extLst>
            <c:ext xmlns:c15="http://schemas.microsoft.com/office/drawing/2012/chart" uri="{CE6537A1-D6FC-4f65-9D91-7224C49458BB}"/>
          </c:extLst>
        </c:dLbl>
      </c:pivotFmt>
      <c:pivotFmt>
        <c:idx val="76"/>
        <c:dLbl>
          <c:idx val="0"/>
          <c:showLegendKey val="0"/>
          <c:showVal val="1"/>
          <c:showCatName val="0"/>
          <c:showSerName val="0"/>
          <c:showPercent val="0"/>
          <c:showBubbleSize val="0"/>
          <c:extLst>
            <c:ext xmlns:c15="http://schemas.microsoft.com/office/drawing/2012/chart" uri="{CE6537A1-D6FC-4f65-9D91-7224C49458BB}"/>
          </c:extLst>
        </c:dLbl>
      </c:pivotFmt>
      <c:pivotFmt>
        <c:idx val="77"/>
        <c:dLbl>
          <c:idx val="0"/>
          <c:showLegendKey val="0"/>
          <c:showVal val="1"/>
          <c:showCatName val="0"/>
          <c:showSerName val="0"/>
          <c:showPercent val="0"/>
          <c:showBubbleSize val="0"/>
          <c:extLst>
            <c:ext xmlns:c15="http://schemas.microsoft.com/office/drawing/2012/chart" uri="{CE6537A1-D6FC-4f65-9D91-7224C49458BB}"/>
          </c:extLst>
        </c:dLbl>
      </c:pivotFmt>
      <c:pivotFmt>
        <c:idx val="78"/>
        <c:dLbl>
          <c:idx val="0"/>
          <c:showLegendKey val="0"/>
          <c:showVal val="1"/>
          <c:showCatName val="0"/>
          <c:showSerName val="0"/>
          <c:showPercent val="0"/>
          <c:showBubbleSize val="0"/>
          <c:extLst>
            <c:ext xmlns:c15="http://schemas.microsoft.com/office/drawing/2012/chart" uri="{CE6537A1-D6FC-4f65-9D91-7224C49458BB}"/>
          </c:extLst>
        </c:dLbl>
      </c:pivotFmt>
      <c:pivotFmt>
        <c:idx val="79"/>
        <c:dLbl>
          <c:idx val="0"/>
          <c:showLegendKey val="0"/>
          <c:showVal val="1"/>
          <c:showCatName val="0"/>
          <c:showSerName val="0"/>
          <c:showPercent val="0"/>
          <c:showBubbleSize val="0"/>
          <c:extLst>
            <c:ext xmlns:c15="http://schemas.microsoft.com/office/drawing/2012/chart" uri="{CE6537A1-D6FC-4f65-9D91-7224C49458BB}"/>
          </c:extLst>
        </c:dLbl>
      </c:pivotFmt>
      <c:pivotFmt>
        <c:idx val="80"/>
        <c:dLbl>
          <c:idx val="0"/>
          <c:showLegendKey val="0"/>
          <c:showVal val="1"/>
          <c:showCatName val="0"/>
          <c:showSerName val="0"/>
          <c:showPercent val="0"/>
          <c:showBubbleSize val="0"/>
          <c:extLst>
            <c:ext xmlns:c15="http://schemas.microsoft.com/office/drawing/2012/chart" uri="{CE6537A1-D6FC-4f65-9D91-7224C49458BB}"/>
          </c:extLst>
        </c:dLbl>
      </c:pivotFmt>
      <c:pivotFmt>
        <c:idx val="81"/>
        <c:dLbl>
          <c:idx val="0"/>
          <c:showLegendKey val="0"/>
          <c:showVal val="1"/>
          <c:showCatName val="0"/>
          <c:showSerName val="0"/>
          <c:showPercent val="0"/>
          <c:showBubbleSize val="0"/>
          <c:extLst>
            <c:ext xmlns:c15="http://schemas.microsoft.com/office/drawing/2012/chart" uri="{CE6537A1-D6FC-4f65-9D91-7224C49458BB}"/>
          </c:extLst>
        </c:dLbl>
      </c:pivotFmt>
      <c:pivotFmt>
        <c:idx val="82"/>
        <c:dLbl>
          <c:idx val="0"/>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pivotFmt>
    </c:pivotFmts>
    <c:view3D>
      <c:rotX val="15"/>
      <c:rotY val="20"/>
      <c:depthPercent val="100"/>
      <c:rAngAx val="1"/>
    </c:view3D>
    <c:floor>
      <c:thickness val="0"/>
    </c:floor>
    <c:sideWall>
      <c:thickness val="0"/>
    </c:sideWall>
    <c:backWall>
      <c:thickness val="0"/>
    </c:backWall>
    <c:plotArea>
      <c:layout/>
      <c:bar3DChart>
        <c:barDir val="bar"/>
        <c:grouping val="clustered"/>
        <c:varyColors val="0"/>
        <c:ser>
          <c:idx val="0"/>
          <c:order val="0"/>
          <c:tx>
            <c:v>Total</c:v>
          </c:tx>
          <c:invertIfNegative val="0"/>
          <c:cat>
            <c:strLit>
              <c:ptCount val="46"/>
              <c:pt idx="0">
                <c:v>(Nam Hoi) Host families</c:v>
              </c:pt>
              <c:pt idx="1">
                <c:v>5 Ward Baptist Church(lon Khin)</c:v>
              </c:pt>
              <c:pt idx="2">
                <c:v>AG Church, Hmaw Si Sa</c:v>
              </c:pt>
              <c:pt idx="3">
                <c:v>AG Church, Maw Wan</c:v>
              </c:pt>
              <c:pt idx="4">
                <c:v>Bang Lung</c:v>
              </c:pt>
              <c:pt idx="5">
                <c:v>Baptist Church, Hmaw Si Sar(Lon Khin)</c:v>
              </c:pt>
              <c:pt idx="6">
                <c:v>Baptist Church, Naung Hmee VT</c:v>
              </c:pt>
              <c:pt idx="7">
                <c:v>Bum Tsit Pa * (1)</c:v>
              </c:pt>
              <c:pt idx="8">
                <c:v>Bum Tsit Pa * (2)</c:v>
              </c:pt>
              <c:pt idx="9">
                <c:v>Chin Church, Seik Mu</c:v>
              </c:pt>
              <c:pt idx="10">
                <c:v>Cultural Compound</c:v>
              </c:pt>
              <c:pt idx="11">
                <c:v>Dhama Rakhita, Nyein Chan Tar Yar Ward(Lon Khin)</c:v>
              </c:pt>
              <c:pt idx="12">
                <c:v>Hmaw Wan, Anglican</c:v>
              </c:pt>
              <c:pt idx="13">
                <c:v>Hpakant Baptist Church, Nam Ma Hpit</c:v>
              </c:pt>
              <c:pt idx="14">
                <c:v>Jaw 2</c:v>
              </c:pt>
              <c:pt idx="15">
                <c:v>Kone Khem Camp</c:v>
              </c:pt>
              <c:pt idx="16">
                <c:v>Kutkai downtown (KBC Church)</c:v>
              </c:pt>
              <c:pt idx="17">
                <c:v>Kutkai downtown (RC Church)</c:v>
              </c:pt>
              <c:pt idx="18">
                <c:v>Lana Zup Ja *</c:v>
              </c:pt>
              <c:pt idx="19">
                <c:v>Lisu Baptist Church, Maw Shan Vil,. Seik Mu</c:v>
              </c:pt>
              <c:pt idx="20">
                <c:v>Lisu Baptist Church, Maw Wan Ward</c:v>
              </c:pt>
              <c:pt idx="21">
                <c:v>Mandung - Jinghpaw</c:v>
              </c:pt>
              <c:pt idx="22">
                <c:v>Mandung - RC</c:v>
              </c:pt>
              <c:pt idx="23">
                <c:v>Maw Wan, Mu-yin Baptist Church</c:v>
              </c:pt>
              <c:pt idx="24">
                <c:v>Mine Yu Lay village</c:v>
              </c:pt>
              <c:pt idx="25">
                <c:v>Mungji Pa Dabang (Baptist Church)         </c:v>
              </c:pt>
              <c:pt idx="26">
                <c:v>Mungji Pa Dabang (RC Church)         </c:v>
              </c:pt>
              <c:pt idx="27">
                <c:v>Muse KBC Church</c:v>
              </c:pt>
              <c:pt idx="28">
                <c:v>Nam Hkawng/Manaung kaung</c:v>
              </c:pt>
              <c:pt idx="29">
                <c:v>Nam Hpak Ka Mare </c:v>
              </c:pt>
              <c:pt idx="30">
                <c:v>Nam Ma Phyit, COC</c:v>
              </c:pt>
              <c:pt idx="31">
                <c:v>Namtu Baptist</c:v>
              </c:pt>
              <c:pt idx="32">
                <c:v>Narte</c:v>
              </c:pt>
              <c:pt idx="33">
                <c:v>Nhkawng Pa </c:v>
              </c:pt>
              <c:pt idx="34">
                <c:v>Pa Kahtawng 1 A</c:v>
              </c:pt>
              <c:pt idx="35">
                <c:v>Pa Kahtawng 1B</c:v>
              </c:pt>
              <c:pt idx="36">
                <c:v>Pa Kahtawng 2</c:v>
              </c:pt>
              <c:pt idx="37">
                <c:v>Pa Kahtawng Boarding High School </c:v>
              </c:pt>
              <c:pt idx="38">
                <c:v>Pa Kahtawng Boarding Middle School </c:v>
              </c:pt>
              <c:pt idx="39">
                <c:v>Pa Kahtawng Host Families</c:v>
              </c:pt>
              <c:pt idx="40">
                <c:v>Pa Kahtawng Primary school</c:v>
              </c:pt>
              <c:pt idx="41">
                <c:v>Rawan Baptist Church, Maw Shan Vil., Seik Mu</c:v>
              </c:pt>
              <c:pt idx="42">
                <c:v>Sai Nai Baptish Church, Maw Shan Vil., Seki Mu</c:v>
              </c:pt>
              <c:pt idx="43">
                <c:v>Ward 2 Sai Taung Baptist Church, Seik Mu </c:v>
              </c:pt>
              <c:pt idx="44">
                <c:v>Yumar Baptist Church</c:v>
              </c:pt>
              <c:pt idx="45">
                <c:v>Zup Aung Camp</c:v>
              </c:pt>
            </c:strLit>
          </c:cat>
          <c:val>
            <c:numLit>
              <c:formatCode>General</c:formatCode>
              <c:ptCount val="46"/>
              <c:pt idx="0">
                <c:v>42004</c:v>
              </c:pt>
              <c:pt idx="1">
                <c:v>42004</c:v>
              </c:pt>
              <c:pt idx="2">
                <c:v>42004</c:v>
              </c:pt>
              <c:pt idx="3">
                <c:v>42004</c:v>
              </c:pt>
              <c:pt idx="4">
                <c:v>42035</c:v>
              </c:pt>
              <c:pt idx="5">
                <c:v>42004</c:v>
              </c:pt>
              <c:pt idx="6">
                <c:v>42004</c:v>
              </c:pt>
              <c:pt idx="7">
                <c:v>42185</c:v>
              </c:pt>
              <c:pt idx="8">
                <c:v>42185</c:v>
              </c:pt>
              <c:pt idx="9">
                <c:v>42004</c:v>
              </c:pt>
              <c:pt idx="10">
                <c:v>42035</c:v>
              </c:pt>
              <c:pt idx="11">
                <c:v>42004</c:v>
              </c:pt>
              <c:pt idx="12">
                <c:v>42004</c:v>
              </c:pt>
              <c:pt idx="13">
                <c:v>42004</c:v>
              </c:pt>
              <c:pt idx="14">
                <c:v>42035</c:v>
              </c:pt>
              <c:pt idx="15">
                <c:v>42035</c:v>
              </c:pt>
              <c:pt idx="16">
                <c:v>42035</c:v>
              </c:pt>
              <c:pt idx="17">
                <c:v>42004</c:v>
              </c:pt>
              <c:pt idx="18">
                <c:v>42185</c:v>
              </c:pt>
              <c:pt idx="19">
                <c:v>42004</c:v>
              </c:pt>
              <c:pt idx="20">
                <c:v>42004</c:v>
              </c:pt>
              <c:pt idx="21">
                <c:v>42035</c:v>
              </c:pt>
              <c:pt idx="22">
                <c:v>42004</c:v>
              </c:pt>
              <c:pt idx="23">
                <c:v>42004</c:v>
              </c:pt>
              <c:pt idx="24">
                <c:v>42035</c:v>
              </c:pt>
              <c:pt idx="25">
                <c:v>42035</c:v>
              </c:pt>
              <c:pt idx="26">
                <c:v>42004</c:v>
              </c:pt>
              <c:pt idx="27">
                <c:v>42035</c:v>
              </c:pt>
              <c:pt idx="28">
                <c:v>42035</c:v>
              </c:pt>
              <c:pt idx="29">
                <c:v>42035</c:v>
              </c:pt>
              <c:pt idx="30">
                <c:v>42004</c:v>
              </c:pt>
              <c:pt idx="31">
                <c:v>42035</c:v>
              </c:pt>
              <c:pt idx="32">
                <c:v>42035</c:v>
              </c:pt>
              <c:pt idx="33">
                <c:v>42185</c:v>
              </c:pt>
              <c:pt idx="34">
                <c:v>42185</c:v>
              </c:pt>
              <c:pt idx="35">
                <c:v>42185</c:v>
              </c:pt>
              <c:pt idx="36">
                <c:v>42185</c:v>
              </c:pt>
              <c:pt idx="37">
                <c:v>42185</c:v>
              </c:pt>
              <c:pt idx="38">
                <c:v>42185</c:v>
              </c:pt>
              <c:pt idx="39">
                <c:v>42185</c:v>
              </c:pt>
              <c:pt idx="40">
                <c:v>42185</c:v>
              </c:pt>
              <c:pt idx="41">
                <c:v>42004</c:v>
              </c:pt>
              <c:pt idx="42">
                <c:v>42004</c:v>
              </c:pt>
              <c:pt idx="43">
                <c:v>42004</c:v>
              </c:pt>
              <c:pt idx="44">
                <c:v>42004</c:v>
              </c:pt>
              <c:pt idx="45">
                <c:v>42035</c:v>
              </c:pt>
            </c:numLit>
          </c:val>
        </c:ser>
        <c:dLbls>
          <c:showLegendKey val="0"/>
          <c:showVal val="0"/>
          <c:showCatName val="0"/>
          <c:showSerName val="0"/>
          <c:showPercent val="0"/>
          <c:showBubbleSize val="0"/>
        </c:dLbls>
        <c:gapWidth val="75"/>
        <c:shape val="box"/>
        <c:axId val="87680128"/>
        <c:axId val="87681664"/>
        <c:axId val="0"/>
      </c:bar3DChart>
      <c:catAx>
        <c:axId val="87680128"/>
        <c:scaling>
          <c:orientation val="minMax"/>
        </c:scaling>
        <c:delete val="0"/>
        <c:axPos val="l"/>
        <c:numFmt formatCode="General" sourceLinked="1"/>
        <c:majorTickMark val="none"/>
        <c:minorTickMark val="none"/>
        <c:tickLblPos val="nextTo"/>
        <c:txPr>
          <a:bodyPr rot="-2040000" vert="horz"/>
          <a:lstStyle/>
          <a:p>
            <a:pPr>
              <a:defRPr sz="1000" b="0" i="0" u="none" strike="noStrike" baseline="0">
                <a:solidFill>
                  <a:srgbClr val="000000"/>
                </a:solidFill>
                <a:latin typeface="Calibri"/>
                <a:ea typeface="Calibri"/>
                <a:cs typeface="Calibri"/>
              </a:defRPr>
            </a:pPr>
            <a:endParaRPr lang="en-US"/>
          </a:p>
        </c:txPr>
        <c:crossAx val="87681664"/>
        <c:crosses val="autoZero"/>
        <c:auto val="1"/>
        <c:lblAlgn val="ctr"/>
        <c:lblOffset val="100"/>
        <c:noMultiLvlLbl val="0"/>
      </c:catAx>
      <c:valAx>
        <c:axId val="87681664"/>
        <c:scaling>
          <c:orientation val="minMax"/>
          <c:min val="41974"/>
        </c:scaling>
        <c:delete val="0"/>
        <c:axPos val="b"/>
        <c:majorGridlines/>
        <c:numFmt formatCode="[$-409]d\-mmm\-yy;@" sourceLinked="0"/>
        <c:majorTickMark val="none"/>
        <c:minorTickMark val="none"/>
        <c:tickLblPos val="nextTo"/>
        <c:spPr>
          <a:ln w="9525">
            <a:noFill/>
          </a:ln>
        </c:spPr>
        <c:txPr>
          <a:bodyPr rot="-5400000" vert="horz"/>
          <a:lstStyle/>
          <a:p>
            <a:pPr>
              <a:defRPr sz="1000" b="0" i="0" u="none" strike="noStrike" baseline="0">
                <a:solidFill>
                  <a:srgbClr val="000000"/>
                </a:solidFill>
                <a:latin typeface="Calibri"/>
                <a:ea typeface="Calibri"/>
                <a:cs typeface="Calibri"/>
              </a:defRPr>
            </a:pPr>
            <a:endParaRPr lang="en-US"/>
          </a:p>
        </c:txPr>
        <c:crossAx val="87680128"/>
        <c:crosses val="autoZero"/>
        <c:crossBetween val="between"/>
        <c:majorUnit val="50"/>
      </c:valAx>
      <c:spPr>
        <a:noFill/>
        <a:ln w="25400">
          <a:noFill/>
        </a:ln>
      </c:spPr>
    </c:plotArea>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33" l="0.70000000000000062" r="0.70000000000000062" t="0.75000000000000133" header="0.30000000000000032" footer="0.30000000000000032"/>
    <c:pageSetup/>
  </c:printSettings>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SituationAnalysis!$C$13</c:f>
              <c:strCache>
                <c:ptCount val="1"/>
                <c:pt idx="0">
                  <c:v>% Water coverage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SituationAnalysis!$B$14:$B$16</c:f>
              <c:strCache>
                <c:ptCount val="2"/>
                <c:pt idx="0">
                  <c:v>GCA</c:v>
                </c:pt>
                <c:pt idx="1">
                  <c:v>NGCA</c:v>
                </c:pt>
              </c:strCache>
            </c:strRef>
          </c:cat>
          <c:val>
            <c:numRef>
              <c:f>SituationAnalysis!$C$14:$C$16</c:f>
              <c:numCache>
                <c:formatCode>0%</c:formatCode>
                <c:ptCount val="2"/>
                <c:pt idx="0">
                  <c:v>0.98990845966813767</c:v>
                </c:pt>
                <c:pt idx="1">
                  <c:v>0.90223539994003399</c:v>
                </c:pt>
              </c:numCache>
            </c:numRef>
          </c:val>
        </c:ser>
        <c:ser>
          <c:idx val="1"/>
          <c:order val="1"/>
          <c:tx>
            <c:strRef>
              <c:f>SituationAnalysis!$D$13</c:f>
              <c:strCache>
                <c:ptCount val="1"/>
                <c:pt idx="0">
                  <c:v>% Latrine coverage</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SituationAnalysis!$B$14:$B$16</c:f>
              <c:strCache>
                <c:ptCount val="2"/>
                <c:pt idx="0">
                  <c:v>GCA</c:v>
                </c:pt>
                <c:pt idx="1">
                  <c:v>NGCA</c:v>
                </c:pt>
              </c:strCache>
            </c:strRef>
          </c:cat>
          <c:val>
            <c:numRef>
              <c:f>SituationAnalysis!$D$14:$D$16</c:f>
              <c:numCache>
                <c:formatCode>0%</c:formatCode>
                <c:ptCount val="2"/>
                <c:pt idx="0">
                  <c:v>0.85278851210756179</c:v>
                </c:pt>
                <c:pt idx="1">
                  <c:v>0.96568611120365122</c:v>
                </c:pt>
              </c:numCache>
            </c:numRef>
          </c:val>
        </c:ser>
        <c:ser>
          <c:idx val="2"/>
          <c:order val="2"/>
          <c:tx>
            <c:strRef>
              <c:f>SituationAnalysis!$E$13</c:f>
              <c:strCache>
                <c:ptCount val="1"/>
                <c:pt idx="0">
                  <c:v>% Bathroom coverage</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SituationAnalysis!$B$14:$B$16</c:f>
              <c:strCache>
                <c:ptCount val="2"/>
                <c:pt idx="0">
                  <c:v>GCA</c:v>
                </c:pt>
                <c:pt idx="1">
                  <c:v>NGCA</c:v>
                </c:pt>
              </c:strCache>
            </c:strRef>
          </c:cat>
          <c:val>
            <c:numRef>
              <c:f>SituationAnalysis!$E$14:$E$16</c:f>
              <c:numCache>
                <c:formatCode>0%</c:formatCode>
                <c:ptCount val="2"/>
                <c:pt idx="0">
                  <c:v>0.55443257951661218</c:v>
                </c:pt>
                <c:pt idx="1">
                  <c:v>0.54145983942432618</c:v>
                </c:pt>
              </c:numCache>
            </c:numRef>
          </c:val>
        </c:ser>
        <c:dLbls>
          <c:showLegendKey val="0"/>
          <c:showVal val="1"/>
          <c:showCatName val="0"/>
          <c:showSerName val="0"/>
          <c:showPercent val="0"/>
          <c:showBubbleSize val="0"/>
        </c:dLbls>
        <c:gapWidth val="150"/>
        <c:shape val="box"/>
        <c:axId val="87785472"/>
        <c:axId val="87787008"/>
        <c:axId val="0"/>
      </c:bar3DChart>
      <c:catAx>
        <c:axId val="877854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87008"/>
        <c:crosses val="autoZero"/>
        <c:auto val="1"/>
        <c:lblAlgn val="ctr"/>
        <c:lblOffset val="100"/>
        <c:noMultiLvlLbl val="0"/>
      </c:catAx>
      <c:valAx>
        <c:axId val="87787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85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2015.xlsx]SituationAnalysis!PivotTable5</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2"/>
          </a:solidFill>
          <a:ln>
            <a:noFill/>
          </a:ln>
          <a:effectLst/>
          <a:sp3d/>
        </c:spPr>
        <c:marker>
          <c:symbol val="none"/>
        </c:marker>
      </c:pivotFmt>
      <c:pivotFmt>
        <c:idx val="11"/>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SituationAnalysis!$C$32</c:f>
              <c:strCache>
                <c:ptCount val="1"/>
                <c:pt idx="0">
                  <c:v>% Water Need coverage</c:v>
                </c:pt>
              </c:strCache>
            </c:strRef>
          </c:tx>
          <c:spPr>
            <a:solidFill>
              <a:schemeClr val="accent1"/>
            </a:solidFill>
            <a:ln>
              <a:noFill/>
            </a:ln>
            <a:effectLst/>
            <a:sp3d/>
          </c:spPr>
          <c:invertIfNegative val="0"/>
          <c:cat>
            <c:strRef>
              <c:f>SituationAnalysis!$B$33:$B$52</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SituationAnalysis!$C$33:$C$52</c:f>
              <c:numCache>
                <c:formatCode>0%</c:formatCode>
                <c:ptCount val="19"/>
                <c:pt idx="0">
                  <c:v>1</c:v>
                </c:pt>
                <c:pt idx="1">
                  <c:v>1</c:v>
                </c:pt>
                <c:pt idx="2">
                  <c:v>1</c:v>
                </c:pt>
                <c:pt idx="3">
                  <c:v>0</c:v>
                </c:pt>
                <c:pt idx="4">
                  <c:v>1</c:v>
                </c:pt>
                <c:pt idx="5">
                  <c:v>1</c:v>
                </c:pt>
                <c:pt idx="6">
                  <c:v>0.99250834091598417</c:v>
                </c:pt>
                <c:pt idx="7">
                  <c:v>1</c:v>
                </c:pt>
                <c:pt idx="8">
                  <c:v>1</c:v>
                </c:pt>
                <c:pt idx="9">
                  <c:v>1</c:v>
                </c:pt>
                <c:pt idx="10">
                  <c:v>0.84023301393728222</c:v>
                </c:pt>
                <c:pt idx="11">
                  <c:v>0.90513833992094861</c:v>
                </c:pt>
                <c:pt idx="12">
                  <c:v>1</c:v>
                </c:pt>
                <c:pt idx="13">
                  <c:v>1</c:v>
                </c:pt>
                <c:pt idx="14">
                  <c:v>1</c:v>
                </c:pt>
                <c:pt idx="15">
                  <c:v>0.57396449704142016</c:v>
                </c:pt>
                <c:pt idx="16">
                  <c:v>1</c:v>
                </c:pt>
                <c:pt idx="17">
                  <c:v>1</c:v>
                </c:pt>
                <c:pt idx="18">
                  <c:v>0.6384364820846905</c:v>
                </c:pt>
              </c:numCache>
            </c:numRef>
          </c:val>
        </c:ser>
        <c:ser>
          <c:idx val="1"/>
          <c:order val="1"/>
          <c:tx>
            <c:strRef>
              <c:f>SituationAnalysis!$D$32</c:f>
              <c:strCache>
                <c:ptCount val="1"/>
                <c:pt idx="0">
                  <c:v>%  Latrine need coverage</c:v>
                </c:pt>
              </c:strCache>
            </c:strRef>
          </c:tx>
          <c:spPr>
            <a:solidFill>
              <a:schemeClr val="accent2"/>
            </a:solidFill>
            <a:ln>
              <a:noFill/>
            </a:ln>
            <a:effectLst/>
            <a:sp3d/>
          </c:spPr>
          <c:invertIfNegative val="0"/>
          <c:cat>
            <c:strRef>
              <c:f>SituationAnalysis!$B$33:$B$52</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SituationAnalysis!$D$33:$D$52</c:f>
              <c:numCache>
                <c:formatCode>0%</c:formatCode>
                <c:ptCount val="19"/>
                <c:pt idx="0">
                  <c:v>0.76613014169762006</c:v>
                </c:pt>
                <c:pt idx="1">
                  <c:v>0.8477742448330684</c:v>
                </c:pt>
                <c:pt idx="2">
                  <c:v>0.79617486338797816</c:v>
                </c:pt>
                <c:pt idx="3">
                  <c:v>0</c:v>
                </c:pt>
                <c:pt idx="4">
                  <c:v>0.93780918727915197</c:v>
                </c:pt>
                <c:pt idx="5">
                  <c:v>0.5714285714285714</c:v>
                </c:pt>
                <c:pt idx="6">
                  <c:v>0.87270245677888991</c:v>
                </c:pt>
                <c:pt idx="7">
                  <c:v>1</c:v>
                </c:pt>
                <c:pt idx="8">
                  <c:v>1</c:v>
                </c:pt>
                <c:pt idx="9">
                  <c:v>1</c:v>
                </c:pt>
                <c:pt idx="10">
                  <c:v>0.95263501742160284</c:v>
                </c:pt>
                <c:pt idx="11">
                  <c:v>1</c:v>
                </c:pt>
                <c:pt idx="12">
                  <c:v>0.88870650032829945</c:v>
                </c:pt>
                <c:pt idx="13">
                  <c:v>0.88266199649737298</c:v>
                </c:pt>
                <c:pt idx="14">
                  <c:v>1</c:v>
                </c:pt>
                <c:pt idx="15">
                  <c:v>0.72189349112426038</c:v>
                </c:pt>
                <c:pt idx="16">
                  <c:v>1</c:v>
                </c:pt>
                <c:pt idx="17">
                  <c:v>0.95613149332435765</c:v>
                </c:pt>
                <c:pt idx="18">
                  <c:v>0.26058631921824105</c:v>
                </c:pt>
              </c:numCache>
            </c:numRef>
          </c:val>
        </c:ser>
        <c:ser>
          <c:idx val="2"/>
          <c:order val="2"/>
          <c:tx>
            <c:strRef>
              <c:f>SituationAnalysis!$E$32</c:f>
              <c:strCache>
                <c:ptCount val="1"/>
                <c:pt idx="0">
                  <c:v>% Bathroom need coverage</c:v>
                </c:pt>
              </c:strCache>
            </c:strRef>
          </c:tx>
          <c:spPr>
            <a:solidFill>
              <a:schemeClr val="accent3"/>
            </a:solidFill>
            <a:ln>
              <a:noFill/>
            </a:ln>
            <a:effectLst/>
            <a:sp3d/>
          </c:spPr>
          <c:invertIfNegative val="0"/>
          <c:cat>
            <c:strRef>
              <c:f>SituationAnalysis!$B$33:$B$52</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SituationAnalysis!$E$33:$E$52</c:f>
              <c:numCache>
                <c:formatCode>0%</c:formatCode>
                <c:ptCount val="19"/>
                <c:pt idx="0">
                  <c:v>0.42192873847847023</c:v>
                </c:pt>
                <c:pt idx="1">
                  <c:v>0.64825119236883944</c:v>
                </c:pt>
                <c:pt idx="2">
                  <c:v>0.72923497267759563</c:v>
                </c:pt>
                <c:pt idx="3">
                  <c:v>0</c:v>
                </c:pt>
                <c:pt idx="4">
                  <c:v>0.30035335689045939</c:v>
                </c:pt>
                <c:pt idx="5">
                  <c:v>0</c:v>
                </c:pt>
                <c:pt idx="6">
                  <c:v>0.38225659690627845</c:v>
                </c:pt>
                <c:pt idx="7">
                  <c:v>0.52601156069364163</c:v>
                </c:pt>
                <c:pt idx="8">
                  <c:v>1</c:v>
                </c:pt>
                <c:pt idx="9">
                  <c:v>1</c:v>
                </c:pt>
                <c:pt idx="10">
                  <c:v>0.57540287456445993</c:v>
                </c:pt>
                <c:pt idx="11">
                  <c:v>1</c:v>
                </c:pt>
                <c:pt idx="12">
                  <c:v>0.58782009192383455</c:v>
                </c:pt>
                <c:pt idx="13">
                  <c:v>0.81611208406304725</c:v>
                </c:pt>
                <c:pt idx="14">
                  <c:v>1</c:v>
                </c:pt>
                <c:pt idx="15">
                  <c:v>0</c:v>
                </c:pt>
                <c:pt idx="16">
                  <c:v>1</c:v>
                </c:pt>
                <c:pt idx="17">
                  <c:v>0.61971277908672728</c:v>
                </c:pt>
                <c:pt idx="18">
                  <c:v>0</c:v>
                </c:pt>
              </c:numCache>
            </c:numRef>
          </c:val>
        </c:ser>
        <c:dLbls>
          <c:showLegendKey val="0"/>
          <c:showVal val="0"/>
          <c:showCatName val="0"/>
          <c:showSerName val="0"/>
          <c:showPercent val="0"/>
          <c:showBubbleSize val="0"/>
        </c:dLbls>
        <c:gapWidth val="150"/>
        <c:shape val="box"/>
        <c:axId val="95644672"/>
        <c:axId val="95650560"/>
        <c:axId val="0"/>
      </c:bar3DChart>
      <c:catAx>
        <c:axId val="956446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50560"/>
        <c:crosses val="autoZero"/>
        <c:auto val="1"/>
        <c:lblAlgn val="ctr"/>
        <c:lblOffset val="100"/>
        <c:noMultiLvlLbl val="0"/>
      </c:catAx>
      <c:valAx>
        <c:axId val="95650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44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2015.xlsx]SituationAnalysis!PivotTable8</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spPr>
          <a:solidFill>
            <a:schemeClr val="accent1"/>
          </a:solidFill>
          <a:ln>
            <a:noFill/>
          </a:ln>
          <a:effectLst/>
          <a:sp3d/>
        </c:spPr>
        <c:marker>
          <c:symbol val="none"/>
        </c:marker>
      </c:pivotFmt>
      <c:pivotFmt>
        <c:idx val="15"/>
        <c:spPr>
          <a:solidFill>
            <a:schemeClr val="accent1"/>
          </a:solidFill>
          <a:ln>
            <a:noFill/>
          </a:ln>
          <a:effectLst/>
          <a:sp3d/>
        </c:spPr>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pivotFmt>
      <c:pivotFmt>
        <c:idx val="19"/>
        <c:spPr>
          <a:solidFill>
            <a:schemeClr val="accent2"/>
          </a:solidFill>
          <a:ln>
            <a:noFill/>
          </a:ln>
          <a:effectLst/>
          <a:sp3d/>
        </c:spPr>
        <c:marker>
          <c:symbol val="none"/>
        </c:marker>
      </c:pivotFmt>
      <c:pivotFmt>
        <c:idx val="20"/>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SituationAnalysis!$C$63</c:f>
              <c:strCache>
                <c:ptCount val="1"/>
                <c:pt idx="0">
                  <c:v>% Water Need coverage</c:v>
                </c:pt>
              </c:strCache>
            </c:strRef>
          </c:tx>
          <c:spPr>
            <a:solidFill>
              <a:schemeClr val="accent1"/>
            </a:solidFill>
            <a:ln>
              <a:noFill/>
            </a:ln>
            <a:effectLst/>
            <a:sp3d/>
          </c:spPr>
          <c:invertIfNegative val="0"/>
          <c:cat>
            <c:strRef>
              <c:f>SituationAnalysis!$B$64:$B$74</c:f>
              <c:strCache>
                <c:ptCount val="10"/>
                <c:pt idx="0">
                  <c:v>Cluster 1</c:v>
                </c:pt>
                <c:pt idx="1">
                  <c:v>Cluster 10</c:v>
                </c:pt>
                <c:pt idx="2">
                  <c:v>Cluster 2</c:v>
                </c:pt>
                <c:pt idx="3">
                  <c:v>Cluster 3</c:v>
                </c:pt>
                <c:pt idx="4">
                  <c:v>Cluster 4</c:v>
                </c:pt>
                <c:pt idx="5">
                  <c:v>Cluster 5</c:v>
                </c:pt>
                <c:pt idx="6">
                  <c:v>Cluster 6</c:v>
                </c:pt>
                <c:pt idx="7">
                  <c:v>Cluster 7</c:v>
                </c:pt>
                <c:pt idx="8">
                  <c:v>Cluster 8</c:v>
                </c:pt>
                <c:pt idx="9">
                  <c:v>Cluster 9</c:v>
                </c:pt>
              </c:strCache>
            </c:strRef>
          </c:cat>
          <c:val>
            <c:numRef>
              <c:f>SituationAnalysis!$C$64:$C$74</c:f>
              <c:numCache>
                <c:formatCode>0%</c:formatCode>
                <c:ptCount val="10"/>
                <c:pt idx="0">
                  <c:v>1</c:v>
                </c:pt>
                <c:pt idx="1">
                  <c:v>0.96748264523200589</c:v>
                </c:pt>
                <c:pt idx="2">
                  <c:v>1</c:v>
                </c:pt>
                <c:pt idx="3">
                  <c:v>1</c:v>
                </c:pt>
                <c:pt idx="4">
                  <c:v>1</c:v>
                </c:pt>
                <c:pt idx="5">
                  <c:v>0.85550960118168395</c:v>
                </c:pt>
                <c:pt idx="6">
                  <c:v>1</c:v>
                </c:pt>
                <c:pt idx="7">
                  <c:v>0.97943620490165151</c:v>
                </c:pt>
                <c:pt idx="8">
                  <c:v>0.93554006968641112</c:v>
                </c:pt>
                <c:pt idx="9">
                  <c:v>1</c:v>
                </c:pt>
              </c:numCache>
            </c:numRef>
          </c:val>
        </c:ser>
        <c:ser>
          <c:idx val="1"/>
          <c:order val="1"/>
          <c:tx>
            <c:strRef>
              <c:f>SituationAnalysis!$D$63</c:f>
              <c:strCache>
                <c:ptCount val="1"/>
                <c:pt idx="0">
                  <c:v>% Latrine need coverage</c:v>
                </c:pt>
              </c:strCache>
            </c:strRef>
          </c:tx>
          <c:spPr>
            <a:solidFill>
              <a:schemeClr val="accent2"/>
            </a:solidFill>
            <a:ln>
              <a:noFill/>
            </a:ln>
            <a:effectLst/>
            <a:sp3d/>
          </c:spPr>
          <c:invertIfNegative val="0"/>
          <c:cat>
            <c:strRef>
              <c:f>SituationAnalysis!$B$64:$B$74</c:f>
              <c:strCache>
                <c:ptCount val="10"/>
                <c:pt idx="0">
                  <c:v>Cluster 1</c:v>
                </c:pt>
                <c:pt idx="1">
                  <c:v>Cluster 10</c:v>
                </c:pt>
                <c:pt idx="2">
                  <c:v>Cluster 2</c:v>
                </c:pt>
                <c:pt idx="3">
                  <c:v>Cluster 3</c:v>
                </c:pt>
                <c:pt idx="4">
                  <c:v>Cluster 4</c:v>
                </c:pt>
                <c:pt idx="5">
                  <c:v>Cluster 5</c:v>
                </c:pt>
                <c:pt idx="6">
                  <c:v>Cluster 6</c:v>
                </c:pt>
                <c:pt idx="7">
                  <c:v>Cluster 7</c:v>
                </c:pt>
                <c:pt idx="8">
                  <c:v>Cluster 8</c:v>
                </c:pt>
                <c:pt idx="9">
                  <c:v>Cluster 9</c:v>
                </c:pt>
              </c:strCache>
            </c:strRef>
          </c:cat>
          <c:val>
            <c:numRef>
              <c:f>SituationAnalysis!$D$64:$D$74</c:f>
              <c:numCache>
                <c:formatCode>0%</c:formatCode>
                <c:ptCount val="10"/>
                <c:pt idx="0">
                  <c:v>0.79617486338797816</c:v>
                </c:pt>
                <c:pt idx="1">
                  <c:v>0.83120204603580561</c:v>
                </c:pt>
                <c:pt idx="2">
                  <c:v>0.90662262326780529</c:v>
                </c:pt>
                <c:pt idx="3">
                  <c:v>1</c:v>
                </c:pt>
                <c:pt idx="4">
                  <c:v>0.80418612696765268</c:v>
                </c:pt>
                <c:pt idx="5">
                  <c:v>0.98517971442639096</c:v>
                </c:pt>
                <c:pt idx="6">
                  <c:v>0.89868995633187776</c:v>
                </c:pt>
                <c:pt idx="7">
                  <c:v>0.90059955822025872</c:v>
                </c:pt>
                <c:pt idx="8">
                  <c:v>0.81707317073170727</c:v>
                </c:pt>
                <c:pt idx="9">
                  <c:v>1</c:v>
                </c:pt>
              </c:numCache>
            </c:numRef>
          </c:val>
        </c:ser>
        <c:ser>
          <c:idx val="2"/>
          <c:order val="2"/>
          <c:tx>
            <c:strRef>
              <c:f>SituationAnalysis!$E$63</c:f>
              <c:strCache>
                <c:ptCount val="1"/>
                <c:pt idx="0">
                  <c:v>% Bathroom need coverage</c:v>
                </c:pt>
              </c:strCache>
            </c:strRef>
          </c:tx>
          <c:spPr>
            <a:solidFill>
              <a:schemeClr val="accent3"/>
            </a:solidFill>
            <a:ln>
              <a:noFill/>
            </a:ln>
            <a:effectLst/>
            <a:sp3d/>
          </c:spPr>
          <c:invertIfNegative val="0"/>
          <c:cat>
            <c:strRef>
              <c:f>SituationAnalysis!$B$64:$B$74</c:f>
              <c:strCache>
                <c:ptCount val="10"/>
                <c:pt idx="0">
                  <c:v>Cluster 1</c:v>
                </c:pt>
                <c:pt idx="1">
                  <c:v>Cluster 10</c:v>
                </c:pt>
                <c:pt idx="2">
                  <c:v>Cluster 2</c:v>
                </c:pt>
                <c:pt idx="3">
                  <c:v>Cluster 3</c:v>
                </c:pt>
                <c:pt idx="4">
                  <c:v>Cluster 4</c:v>
                </c:pt>
                <c:pt idx="5">
                  <c:v>Cluster 5</c:v>
                </c:pt>
                <c:pt idx="6">
                  <c:v>Cluster 6</c:v>
                </c:pt>
                <c:pt idx="7">
                  <c:v>Cluster 7</c:v>
                </c:pt>
                <c:pt idx="8">
                  <c:v>Cluster 8</c:v>
                </c:pt>
                <c:pt idx="9">
                  <c:v>Cluster 9</c:v>
                </c:pt>
              </c:strCache>
            </c:strRef>
          </c:cat>
          <c:val>
            <c:numRef>
              <c:f>SituationAnalysis!$E$64:$E$74</c:f>
              <c:numCache>
                <c:formatCode>0%</c:formatCode>
                <c:ptCount val="10"/>
                <c:pt idx="0">
                  <c:v>0.72923497267759563</c:v>
                </c:pt>
                <c:pt idx="1">
                  <c:v>0.59590792838874684</c:v>
                </c:pt>
                <c:pt idx="2">
                  <c:v>0.57009345794392519</c:v>
                </c:pt>
                <c:pt idx="3">
                  <c:v>1</c:v>
                </c:pt>
                <c:pt idx="4">
                  <c:v>0.52551461684829615</c:v>
                </c:pt>
                <c:pt idx="5">
                  <c:v>0.64263909404234365</c:v>
                </c:pt>
                <c:pt idx="6">
                  <c:v>0.3980944819372767</c:v>
                </c:pt>
                <c:pt idx="7">
                  <c:v>0.56863363837172609</c:v>
                </c:pt>
                <c:pt idx="8">
                  <c:v>0.24680603948896632</c:v>
                </c:pt>
                <c:pt idx="9">
                  <c:v>0.58269720101781175</c:v>
                </c:pt>
              </c:numCache>
            </c:numRef>
          </c:val>
        </c:ser>
        <c:dLbls>
          <c:showLegendKey val="0"/>
          <c:showVal val="0"/>
          <c:showCatName val="0"/>
          <c:showSerName val="0"/>
          <c:showPercent val="0"/>
          <c:showBubbleSize val="0"/>
        </c:dLbls>
        <c:gapWidth val="150"/>
        <c:shape val="box"/>
        <c:axId val="89577344"/>
        <c:axId val="89578880"/>
        <c:axId val="0"/>
      </c:bar3DChart>
      <c:catAx>
        <c:axId val="895773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578880"/>
        <c:crosses val="autoZero"/>
        <c:auto val="1"/>
        <c:lblAlgn val="ctr"/>
        <c:lblOffset val="100"/>
        <c:noMultiLvlLbl val="0"/>
      </c:catAx>
      <c:valAx>
        <c:axId val="89578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57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2015.xlsx]SituationAnalysis!PivotTable12</c:name>
    <c:fmtId val="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spPr>
          <a:solidFill>
            <a:schemeClr val="accent1"/>
          </a:solidFill>
          <a:ln>
            <a:noFill/>
          </a:ln>
          <a:effectLst/>
          <a:sp3d/>
        </c:spPr>
        <c:marker>
          <c:symbol val="none"/>
        </c:marker>
      </c:pivotFmt>
      <c:pivotFmt>
        <c:idx val="15"/>
        <c:spPr>
          <a:solidFill>
            <a:schemeClr val="accent1"/>
          </a:solidFill>
          <a:ln>
            <a:noFill/>
          </a:ln>
          <a:effectLst/>
          <a:sp3d/>
        </c:spPr>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pivotFmt>
      <c:pivotFmt>
        <c:idx val="19"/>
        <c:spPr>
          <a:solidFill>
            <a:schemeClr val="accent2"/>
          </a:solidFill>
          <a:ln>
            <a:noFill/>
          </a:ln>
          <a:effectLst/>
          <a:sp3d/>
        </c:spPr>
        <c:marker>
          <c:symbol val="none"/>
        </c:marker>
      </c:pivotFmt>
      <c:pivotFmt>
        <c:idx val="20"/>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SituationAnalysis!$C$118</c:f>
              <c:strCache>
                <c:ptCount val="1"/>
                <c:pt idx="0">
                  <c:v>% Water Need coverage</c:v>
                </c:pt>
              </c:strCache>
            </c:strRef>
          </c:tx>
          <c:spPr>
            <a:solidFill>
              <a:schemeClr val="accent1"/>
            </a:solidFill>
            <a:ln>
              <a:noFill/>
            </a:ln>
            <a:effectLst/>
            <a:sp3d/>
          </c:spPr>
          <c:invertIfNegative val="0"/>
          <c:cat>
            <c:strRef>
              <c:f>SituationAnalysis!$B$119:$B$125</c:f>
              <c:strCache>
                <c:ptCount val="6"/>
                <c:pt idx="0">
                  <c:v>1. Small</c:v>
                </c:pt>
                <c:pt idx="1">
                  <c:v>2. Medium</c:v>
                </c:pt>
                <c:pt idx="2">
                  <c:v>3. Large</c:v>
                </c:pt>
                <c:pt idx="3">
                  <c:v>4. Big</c:v>
                </c:pt>
                <c:pt idx="4">
                  <c:v>5. Massive</c:v>
                </c:pt>
                <c:pt idx="5">
                  <c:v>(blank)</c:v>
                </c:pt>
              </c:strCache>
            </c:strRef>
          </c:cat>
          <c:val>
            <c:numRef>
              <c:f>SituationAnalysis!$C$119:$C$125</c:f>
              <c:numCache>
                <c:formatCode>0%</c:formatCode>
                <c:ptCount val="6"/>
                <c:pt idx="0">
                  <c:v>0.98232714138286892</c:v>
                </c:pt>
                <c:pt idx="1">
                  <c:v>0.99092706873764036</c:v>
                </c:pt>
                <c:pt idx="2">
                  <c:v>1</c:v>
                </c:pt>
                <c:pt idx="3">
                  <c:v>1</c:v>
                </c:pt>
                <c:pt idx="4">
                  <c:v>0.5496316758747698</c:v>
                </c:pt>
                <c:pt idx="5">
                  <c:v>1</c:v>
                </c:pt>
              </c:numCache>
            </c:numRef>
          </c:val>
        </c:ser>
        <c:ser>
          <c:idx val="1"/>
          <c:order val="1"/>
          <c:tx>
            <c:strRef>
              <c:f>SituationAnalysis!$D$118</c:f>
              <c:strCache>
                <c:ptCount val="1"/>
                <c:pt idx="0">
                  <c:v>% Latrine need coverage</c:v>
                </c:pt>
              </c:strCache>
            </c:strRef>
          </c:tx>
          <c:spPr>
            <a:solidFill>
              <a:schemeClr val="accent2"/>
            </a:solidFill>
            <a:ln>
              <a:noFill/>
            </a:ln>
            <a:effectLst/>
            <a:sp3d/>
          </c:spPr>
          <c:invertIfNegative val="0"/>
          <c:cat>
            <c:strRef>
              <c:f>SituationAnalysis!$B$119:$B$125</c:f>
              <c:strCache>
                <c:ptCount val="6"/>
                <c:pt idx="0">
                  <c:v>1. Small</c:v>
                </c:pt>
                <c:pt idx="1">
                  <c:v>2. Medium</c:v>
                </c:pt>
                <c:pt idx="2">
                  <c:v>3. Large</c:v>
                </c:pt>
                <c:pt idx="3">
                  <c:v>4. Big</c:v>
                </c:pt>
                <c:pt idx="4">
                  <c:v>5. Massive</c:v>
                </c:pt>
                <c:pt idx="5">
                  <c:v>(blank)</c:v>
                </c:pt>
              </c:strCache>
            </c:strRef>
          </c:cat>
          <c:val>
            <c:numRef>
              <c:f>SituationAnalysis!$D$119:$D$125</c:f>
              <c:numCache>
                <c:formatCode>0%</c:formatCode>
                <c:ptCount val="6"/>
                <c:pt idx="0">
                  <c:v>0.94401444788441691</c:v>
                </c:pt>
                <c:pt idx="1">
                  <c:v>0.8538592254717825</c:v>
                </c:pt>
                <c:pt idx="2">
                  <c:v>0.98001598721023186</c:v>
                </c:pt>
                <c:pt idx="3">
                  <c:v>0.86767052945666501</c:v>
                </c:pt>
                <c:pt idx="4">
                  <c:v>1</c:v>
                </c:pt>
                <c:pt idx="5">
                  <c:v>1</c:v>
                </c:pt>
              </c:numCache>
            </c:numRef>
          </c:val>
        </c:ser>
        <c:ser>
          <c:idx val="2"/>
          <c:order val="2"/>
          <c:tx>
            <c:strRef>
              <c:f>SituationAnalysis!$E$118</c:f>
              <c:strCache>
                <c:ptCount val="1"/>
                <c:pt idx="0">
                  <c:v>% Bathroom need coverage</c:v>
                </c:pt>
              </c:strCache>
            </c:strRef>
          </c:tx>
          <c:spPr>
            <a:solidFill>
              <a:schemeClr val="accent3"/>
            </a:solidFill>
            <a:ln>
              <a:noFill/>
            </a:ln>
            <a:effectLst/>
            <a:sp3d/>
          </c:spPr>
          <c:invertIfNegative val="0"/>
          <c:cat>
            <c:strRef>
              <c:f>SituationAnalysis!$B$119:$B$125</c:f>
              <c:strCache>
                <c:ptCount val="6"/>
                <c:pt idx="0">
                  <c:v>1. Small</c:v>
                </c:pt>
                <c:pt idx="1">
                  <c:v>2. Medium</c:v>
                </c:pt>
                <c:pt idx="2">
                  <c:v>3. Large</c:v>
                </c:pt>
                <c:pt idx="3">
                  <c:v>4. Big</c:v>
                </c:pt>
                <c:pt idx="4">
                  <c:v>5. Massive</c:v>
                </c:pt>
                <c:pt idx="5">
                  <c:v>(blank)</c:v>
                </c:pt>
              </c:strCache>
            </c:strRef>
          </c:cat>
          <c:val>
            <c:numRef>
              <c:f>SituationAnalysis!$E$119:$E$125</c:f>
              <c:numCache>
                <c:formatCode>0%</c:formatCode>
                <c:ptCount val="6"/>
                <c:pt idx="0">
                  <c:v>0.84739422084623328</c:v>
                </c:pt>
                <c:pt idx="1">
                  <c:v>0.53653519363205437</c:v>
                </c:pt>
                <c:pt idx="2">
                  <c:v>0.438227196020961</c:v>
                </c:pt>
                <c:pt idx="3">
                  <c:v>0.40940947887030743</c:v>
                </c:pt>
                <c:pt idx="4">
                  <c:v>0.75199508901166356</c:v>
                </c:pt>
                <c:pt idx="5">
                  <c:v>0.74349442379182151</c:v>
                </c:pt>
              </c:numCache>
            </c:numRef>
          </c:val>
        </c:ser>
        <c:dLbls>
          <c:showLegendKey val="0"/>
          <c:showVal val="0"/>
          <c:showCatName val="0"/>
          <c:showSerName val="0"/>
          <c:showPercent val="0"/>
          <c:showBubbleSize val="0"/>
        </c:dLbls>
        <c:gapWidth val="150"/>
        <c:shape val="box"/>
        <c:axId val="95412992"/>
        <c:axId val="95414528"/>
        <c:axId val="0"/>
      </c:bar3DChart>
      <c:catAx>
        <c:axId val="954129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414528"/>
        <c:crosses val="autoZero"/>
        <c:auto val="1"/>
        <c:lblAlgn val="ctr"/>
        <c:lblOffset val="100"/>
        <c:noMultiLvlLbl val="0"/>
      </c:catAx>
      <c:valAx>
        <c:axId val="95414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412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2015.xlsx]SituationAnalysis!PivotTable13</c:name>
    <c:fmtId val="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spPr>
          <a:solidFill>
            <a:schemeClr val="accent1"/>
          </a:solidFill>
          <a:ln>
            <a:noFill/>
          </a:ln>
          <a:effectLst/>
          <a:sp3d/>
        </c:spPr>
        <c:marker>
          <c:symbol val="none"/>
        </c:marker>
      </c:pivotFmt>
      <c:pivotFmt>
        <c:idx val="15"/>
        <c:spPr>
          <a:solidFill>
            <a:schemeClr val="accent1"/>
          </a:solidFill>
          <a:ln>
            <a:noFill/>
          </a:ln>
          <a:effectLst/>
          <a:sp3d/>
        </c:spPr>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pivotFmt>
      <c:pivotFmt>
        <c:idx val="19"/>
        <c:spPr>
          <a:solidFill>
            <a:schemeClr val="accent2"/>
          </a:solidFill>
          <a:ln>
            <a:noFill/>
          </a:ln>
          <a:effectLst/>
          <a:sp3d/>
        </c:spPr>
        <c:marker>
          <c:symbol val="none"/>
        </c:marker>
      </c:pivotFmt>
      <c:pivotFmt>
        <c:idx val="20"/>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SituationAnalysis!$C$137</c:f>
              <c:strCache>
                <c:ptCount val="1"/>
                <c:pt idx="0">
                  <c:v>% Water Need coverage</c:v>
                </c:pt>
              </c:strCache>
            </c:strRef>
          </c:tx>
          <c:spPr>
            <a:solidFill>
              <a:schemeClr val="accent1"/>
            </a:solidFill>
            <a:ln>
              <a:noFill/>
            </a:ln>
            <a:effectLst/>
            <a:sp3d/>
          </c:spPr>
          <c:invertIfNegative val="0"/>
          <c:cat>
            <c:strRef>
              <c:f>SituationAnalysis!$B$138:$B$141</c:f>
              <c:strCache>
                <c:ptCount val="3"/>
                <c:pt idx="0">
                  <c:v>Camp</c:v>
                </c:pt>
                <c:pt idx="1">
                  <c:v>School</c:v>
                </c:pt>
                <c:pt idx="2">
                  <c:v>Village</c:v>
                </c:pt>
              </c:strCache>
            </c:strRef>
          </c:cat>
          <c:val>
            <c:numRef>
              <c:f>SituationAnalysis!$C$138:$C$141</c:f>
              <c:numCache>
                <c:formatCode>0%</c:formatCode>
                <c:ptCount val="3"/>
                <c:pt idx="0">
                  <c:v>0.95422463276836156</c:v>
                </c:pt>
                <c:pt idx="1">
                  <c:v>1</c:v>
                </c:pt>
                <c:pt idx="2">
                  <c:v>0.8372062663185379</c:v>
                </c:pt>
              </c:numCache>
            </c:numRef>
          </c:val>
        </c:ser>
        <c:ser>
          <c:idx val="1"/>
          <c:order val="1"/>
          <c:tx>
            <c:strRef>
              <c:f>SituationAnalysis!$D$137</c:f>
              <c:strCache>
                <c:ptCount val="1"/>
                <c:pt idx="0">
                  <c:v>% Latrine need coverage</c:v>
                </c:pt>
              </c:strCache>
            </c:strRef>
          </c:tx>
          <c:spPr>
            <a:solidFill>
              <a:schemeClr val="accent2"/>
            </a:solidFill>
            <a:ln>
              <a:noFill/>
            </a:ln>
            <a:effectLst/>
            <a:sp3d/>
          </c:spPr>
          <c:invertIfNegative val="0"/>
          <c:cat>
            <c:strRef>
              <c:f>SituationAnalysis!$B$138:$B$141</c:f>
              <c:strCache>
                <c:ptCount val="3"/>
                <c:pt idx="0">
                  <c:v>Camp</c:v>
                </c:pt>
                <c:pt idx="1">
                  <c:v>School</c:v>
                </c:pt>
                <c:pt idx="2">
                  <c:v>Village</c:v>
                </c:pt>
              </c:strCache>
            </c:strRef>
          </c:cat>
          <c:val>
            <c:numRef>
              <c:f>SituationAnalysis!$D$138:$D$141</c:f>
              <c:numCache>
                <c:formatCode>0%</c:formatCode>
                <c:ptCount val="3"/>
                <c:pt idx="0">
                  <c:v>0.89873898305084743</c:v>
                </c:pt>
                <c:pt idx="1">
                  <c:v>0.88604651162790693</c:v>
                </c:pt>
                <c:pt idx="2">
                  <c:v>0.8372062663185379</c:v>
                </c:pt>
              </c:numCache>
            </c:numRef>
          </c:val>
        </c:ser>
        <c:ser>
          <c:idx val="2"/>
          <c:order val="2"/>
          <c:tx>
            <c:strRef>
              <c:f>SituationAnalysis!$E$137</c:f>
              <c:strCache>
                <c:ptCount val="1"/>
                <c:pt idx="0">
                  <c:v>% Bathroom need coverage</c:v>
                </c:pt>
              </c:strCache>
            </c:strRef>
          </c:tx>
          <c:spPr>
            <a:solidFill>
              <a:schemeClr val="accent3"/>
            </a:solidFill>
            <a:ln>
              <a:noFill/>
            </a:ln>
            <a:effectLst/>
            <a:sp3d/>
          </c:spPr>
          <c:invertIfNegative val="0"/>
          <c:cat>
            <c:strRef>
              <c:f>SituationAnalysis!$B$138:$B$141</c:f>
              <c:strCache>
                <c:ptCount val="3"/>
                <c:pt idx="0">
                  <c:v>Camp</c:v>
                </c:pt>
                <c:pt idx="1">
                  <c:v>School</c:v>
                </c:pt>
                <c:pt idx="2">
                  <c:v>Village</c:v>
                </c:pt>
              </c:strCache>
            </c:strRef>
          </c:cat>
          <c:val>
            <c:numRef>
              <c:f>SituationAnalysis!$E$138:$E$141</c:f>
              <c:numCache>
                <c:formatCode>0%</c:formatCode>
                <c:ptCount val="3"/>
                <c:pt idx="0">
                  <c:v>0.54915254237288136</c:v>
                </c:pt>
                <c:pt idx="1">
                  <c:v>0.72976744186046516</c:v>
                </c:pt>
                <c:pt idx="2">
                  <c:v>0.31723237597911225</c:v>
                </c:pt>
              </c:numCache>
            </c:numRef>
          </c:val>
        </c:ser>
        <c:dLbls>
          <c:showLegendKey val="0"/>
          <c:showVal val="0"/>
          <c:showCatName val="0"/>
          <c:showSerName val="0"/>
          <c:showPercent val="0"/>
          <c:showBubbleSize val="0"/>
        </c:dLbls>
        <c:gapWidth val="150"/>
        <c:shape val="box"/>
        <c:axId val="95563136"/>
        <c:axId val="95569024"/>
        <c:axId val="0"/>
      </c:bar3DChart>
      <c:catAx>
        <c:axId val="955631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69024"/>
        <c:crosses val="autoZero"/>
        <c:auto val="1"/>
        <c:lblAlgn val="ctr"/>
        <c:lblOffset val="100"/>
        <c:noMultiLvlLbl val="0"/>
      </c:catAx>
      <c:valAx>
        <c:axId val="95569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6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2015.xlsx]SituationAnalysis!PivotTable18</c:name>
    <c:fmtId val="1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Type of latrine coverage</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SituationAnalysis!$C$252</c:f>
              <c:strCache>
                <c:ptCount val="1"/>
                <c:pt idx="0">
                  <c:v>% Coverage Permanent Latrine</c:v>
                </c:pt>
              </c:strCache>
            </c:strRef>
          </c:tx>
          <c:spPr>
            <a:solidFill>
              <a:schemeClr val="accent1"/>
            </a:solidFill>
            <a:ln>
              <a:noFill/>
            </a:ln>
            <a:effectLst/>
            <a:sp3d/>
          </c:spPr>
          <c:invertIfNegative val="0"/>
          <c:cat>
            <c:strRef>
              <c:f>SituationAnalysis!$B$253:$B$272</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SituationAnalysis!$C$253:$C$272</c:f>
              <c:numCache>
                <c:formatCode>0%</c:formatCode>
                <c:ptCount val="19"/>
                <c:pt idx="0">
                  <c:v>0.49401568303755677</c:v>
                </c:pt>
                <c:pt idx="1">
                  <c:v>0.37360890302066774</c:v>
                </c:pt>
                <c:pt idx="2">
                  <c:v>0.73387978142076504</c:v>
                </c:pt>
                <c:pt idx="3">
                  <c:v>0</c:v>
                </c:pt>
                <c:pt idx="4">
                  <c:v>0.17314487632508835</c:v>
                </c:pt>
                <c:pt idx="5">
                  <c:v>0</c:v>
                </c:pt>
                <c:pt idx="6">
                  <c:v>0.51328480436760693</c:v>
                </c:pt>
                <c:pt idx="7">
                  <c:v>0.34682080924855491</c:v>
                </c:pt>
                <c:pt idx="8">
                  <c:v>1</c:v>
                </c:pt>
                <c:pt idx="9">
                  <c:v>1</c:v>
                </c:pt>
                <c:pt idx="10">
                  <c:v>0.85648954703832758</c:v>
                </c:pt>
                <c:pt idx="11">
                  <c:v>0.11857707509881422</c:v>
                </c:pt>
                <c:pt idx="12">
                  <c:v>0.84652002626395273</c:v>
                </c:pt>
                <c:pt idx="13">
                  <c:v>0.45067133683596028</c:v>
                </c:pt>
                <c:pt idx="14">
                  <c:v>0.85106382978723405</c:v>
                </c:pt>
                <c:pt idx="15">
                  <c:v>0</c:v>
                </c:pt>
                <c:pt idx="16">
                  <c:v>0.87196467991169979</c:v>
                </c:pt>
                <c:pt idx="17">
                  <c:v>0.38314821047907549</c:v>
                </c:pt>
                <c:pt idx="18">
                  <c:v>0.13029315960912052</c:v>
                </c:pt>
              </c:numCache>
            </c:numRef>
          </c:val>
        </c:ser>
        <c:ser>
          <c:idx val="1"/>
          <c:order val="1"/>
          <c:tx>
            <c:strRef>
              <c:f>SituationAnalysis!$D$252</c:f>
              <c:strCache>
                <c:ptCount val="1"/>
                <c:pt idx="0">
                  <c:v>% Coverage Emergency latrine</c:v>
                </c:pt>
              </c:strCache>
            </c:strRef>
          </c:tx>
          <c:spPr>
            <a:solidFill>
              <a:schemeClr val="accent2"/>
            </a:solidFill>
            <a:ln>
              <a:noFill/>
            </a:ln>
            <a:effectLst/>
            <a:sp3d/>
          </c:spPr>
          <c:invertIfNegative val="0"/>
          <c:cat>
            <c:strRef>
              <c:f>SituationAnalysis!$B$253:$B$272</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SituationAnalysis!$D$253:$D$272</c:f>
              <c:numCache>
                <c:formatCode>0%</c:formatCode>
                <c:ptCount val="19"/>
                <c:pt idx="0">
                  <c:v>0.27211445866006329</c:v>
                </c:pt>
                <c:pt idx="1">
                  <c:v>0.47416534181240061</c:v>
                </c:pt>
                <c:pt idx="2">
                  <c:v>6.2295081967213117E-2</c:v>
                </c:pt>
                <c:pt idx="3">
                  <c:v>0</c:v>
                </c:pt>
                <c:pt idx="4">
                  <c:v>0.76466431095406362</c:v>
                </c:pt>
                <c:pt idx="5">
                  <c:v>0.5714285714285714</c:v>
                </c:pt>
                <c:pt idx="6">
                  <c:v>0.35941765241128298</c:v>
                </c:pt>
                <c:pt idx="7">
                  <c:v>0.65317919075144504</c:v>
                </c:pt>
                <c:pt idx="8">
                  <c:v>0</c:v>
                </c:pt>
                <c:pt idx="9">
                  <c:v>0</c:v>
                </c:pt>
                <c:pt idx="10">
                  <c:v>9.6145470383275256E-2</c:v>
                </c:pt>
                <c:pt idx="11">
                  <c:v>0.88142292490118579</c:v>
                </c:pt>
                <c:pt idx="12">
                  <c:v>4.2186474064346682E-2</c:v>
                </c:pt>
                <c:pt idx="13">
                  <c:v>0.4319906596614127</c:v>
                </c:pt>
                <c:pt idx="14">
                  <c:v>0.14893617021276595</c:v>
                </c:pt>
                <c:pt idx="15">
                  <c:v>0.72189349112426038</c:v>
                </c:pt>
                <c:pt idx="16">
                  <c:v>0.12803532008830024</c:v>
                </c:pt>
                <c:pt idx="17">
                  <c:v>0.57298328284528222</c:v>
                </c:pt>
                <c:pt idx="18">
                  <c:v>0.13029315960912052</c:v>
                </c:pt>
              </c:numCache>
            </c:numRef>
          </c:val>
        </c:ser>
        <c:dLbls>
          <c:showLegendKey val="0"/>
          <c:showVal val="0"/>
          <c:showCatName val="0"/>
          <c:showSerName val="0"/>
          <c:showPercent val="0"/>
          <c:showBubbleSize val="0"/>
        </c:dLbls>
        <c:gapWidth val="150"/>
        <c:shape val="box"/>
        <c:axId val="95591424"/>
        <c:axId val="95597312"/>
        <c:axId val="0"/>
      </c:bar3DChart>
      <c:catAx>
        <c:axId val="955914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97312"/>
        <c:crosses val="autoZero"/>
        <c:auto val="1"/>
        <c:lblAlgn val="ctr"/>
        <c:lblOffset val="100"/>
        <c:noMultiLvlLbl val="0"/>
      </c:catAx>
      <c:valAx>
        <c:axId val="95597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591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2015.xlsx]SituationAnalysis!PivotTable17</c:name>
    <c:fmtId val="49"/>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Population covered</a:t>
            </a:r>
          </a:p>
        </c:rich>
      </c:tx>
      <c:layout>
        <c:manualLayout>
          <c:xMode val="edge"/>
          <c:yMode val="edge"/>
          <c:x val="0.33871861166607908"/>
          <c:y val="9.6618283983199073E-3"/>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5"/>
        <c:spPr>
          <a:solidFill>
            <a:schemeClr val="accent2"/>
          </a:solidFill>
          <a:ln>
            <a:noFill/>
          </a:ln>
          <a:effectLst/>
          <a:sp3d/>
        </c:spPr>
        <c:marker>
          <c:symbol val="none"/>
        </c:marker>
        <c:dLbl>
          <c:idx val="0"/>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0.11078348415403298"/>
          <c:y val="0.13299544828981832"/>
          <c:w val="0.88921651584596706"/>
          <c:h val="0.62655359537936384"/>
        </c:manualLayout>
      </c:layout>
      <c:bar3DChart>
        <c:barDir val="col"/>
        <c:grouping val="stacked"/>
        <c:varyColors val="0"/>
        <c:ser>
          <c:idx val="0"/>
          <c:order val="0"/>
          <c:tx>
            <c:strRef>
              <c:f>SituationAnalysis!$C$630:$C$631</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SituationAnalysis!$B$632:$B$634</c:f>
              <c:strCache>
                <c:ptCount val="2"/>
                <c:pt idx="0">
                  <c:v>GCA</c:v>
                </c:pt>
                <c:pt idx="1">
                  <c:v>NGCA</c:v>
                </c:pt>
              </c:strCache>
            </c:strRef>
          </c:cat>
          <c:val>
            <c:numRef>
              <c:f>SituationAnalysis!$C$632:$C$634</c:f>
              <c:numCache>
                <c:formatCode>0</c:formatCode>
                <c:ptCount val="2"/>
                <c:pt idx="0">
                  <c:v>46155</c:v>
                </c:pt>
                <c:pt idx="1">
                  <c:v>36299</c:v>
                </c:pt>
              </c:numCache>
            </c:numRef>
          </c:val>
        </c:ser>
        <c:ser>
          <c:idx val="1"/>
          <c:order val="1"/>
          <c:tx>
            <c:strRef>
              <c:f>SituationAnalysis!$D$630:$D$631</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SituationAnalysis!$B$632:$B$634</c:f>
              <c:strCache>
                <c:ptCount val="2"/>
                <c:pt idx="0">
                  <c:v>GCA</c:v>
                </c:pt>
                <c:pt idx="1">
                  <c:v>NGCA</c:v>
                </c:pt>
              </c:strCache>
            </c:strRef>
          </c:cat>
          <c:val>
            <c:numRef>
              <c:f>SituationAnalysis!$D$632:$D$634</c:f>
              <c:numCache>
                <c:formatCode>0</c:formatCode>
                <c:ptCount val="2"/>
                <c:pt idx="0">
                  <c:v>1106</c:v>
                </c:pt>
              </c:numCache>
            </c:numRef>
          </c:val>
        </c:ser>
        <c:dLbls>
          <c:showLegendKey val="0"/>
          <c:showVal val="1"/>
          <c:showCatName val="0"/>
          <c:showSerName val="0"/>
          <c:showPercent val="0"/>
          <c:showBubbleSize val="0"/>
        </c:dLbls>
        <c:gapWidth val="150"/>
        <c:shape val="box"/>
        <c:axId val="79809920"/>
        <c:axId val="79811712"/>
        <c:axId val="0"/>
      </c:bar3DChart>
      <c:catAx>
        <c:axId val="798099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79811712"/>
        <c:crosses val="autoZero"/>
        <c:auto val="1"/>
        <c:lblAlgn val="ctr"/>
        <c:lblOffset val="100"/>
        <c:noMultiLvlLbl val="0"/>
      </c:catAx>
      <c:valAx>
        <c:axId val="79811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79809920"/>
        <c:crosses val="autoZero"/>
        <c:crossBetween val="between"/>
        <c:majorUnit val="10000"/>
      </c:valAx>
      <c:spPr>
        <a:noFill/>
        <a:ln>
          <a:noFill/>
        </a:ln>
        <a:effectLst/>
      </c:spPr>
    </c:plotArea>
    <c:legend>
      <c:legendPos val="b"/>
      <c:layout>
        <c:manualLayout>
          <c:xMode val="edge"/>
          <c:yMode val="edge"/>
          <c:x val="0.31046147216672543"/>
          <c:y val="0.87196403669668932"/>
          <c:w val="0.37907705566654915"/>
          <c:h val="0.1280359633033106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2015.xlsx]SituationAnalysis!PivotTable20</c:name>
    <c:fmtId val="1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Type</a:t>
            </a:r>
            <a:r>
              <a:rPr lang="en-US" b="1" baseline="0"/>
              <a:t> of latrine coverage</a:t>
            </a:r>
            <a:endParaRPr lang="en-US" b="1"/>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SituationAnalysis!$C$304</c:f>
              <c:strCache>
                <c:ptCount val="1"/>
                <c:pt idx="0">
                  <c:v>%Coverage Permanent Latrine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SituationAnalysis!$B$305:$B$307</c:f>
              <c:strCache>
                <c:ptCount val="2"/>
                <c:pt idx="0">
                  <c:v>GCA</c:v>
                </c:pt>
                <c:pt idx="1">
                  <c:v>NGCA</c:v>
                </c:pt>
              </c:strCache>
            </c:strRef>
          </c:cat>
          <c:val>
            <c:numRef>
              <c:f>SituationAnalysis!$C$305:$C$307</c:f>
              <c:numCache>
                <c:formatCode>0%</c:formatCode>
                <c:ptCount val="2"/>
                <c:pt idx="0">
                  <c:v>0.55561668183068491</c:v>
                </c:pt>
                <c:pt idx="1">
                  <c:v>0.60384583597344277</c:v>
                </c:pt>
              </c:numCache>
            </c:numRef>
          </c:val>
        </c:ser>
        <c:ser>
          <c:idx val="1"/>
          <c:order val="1"/>
          <c:tx>
            <c:strRef>
              <c:f>SituationAnalysis!$D$304</c:f>
              <c:strCache>
                <c:ptCount val="1"/>
                <c:pt idx="0">
                  <c:v>% Coverage Emergency latrine</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SituationAnalysis!$B$305:$B$307</c:f>
              <c:strCache>
                <c:ptCount val="2"/>
                <c:pt idx="0">
                  <c:v>GCA</c:v>
                </c:pt>
                <c:pt idx="1">
                  <c:v>NGCA</c:v>
                </c:pt>
              </c:strCache>
            </c:strRef>
          </c:cat>
          <c:val>
            <c:numRef>
              <c:f>SituationAnalysis!$D$305:$D$307</c:f>
              <c:numCache>
                <c:formatCode>0%</c:formatCode>
                <c:ptCount val="2"/>
                <c:pt idx="0">
                  <c:v>0.29121262774803747</c:v>
                </c:pt>
                <c:pt idx="1">
                  <c:v>0.34874238959750958</c:v>
                </c:pt>
              </c:numCache>
            </c:numRef>
          </c:val>
        </c:ser>
        <c:dLbls>
          <c:showLegendKey val="0"/>
          <c:showVal val="1"/>
          <c:showCatName val="0"/>
          <c:showSerName val="0"/>
          <c:showPercent val="0"/>
          <c:showBubbleSize val="0"/>
        </c:dLbls>
        <c:gapWidth val="150"/>
        <c:shape val="box"/>
        <c:axId val="103838080"/>
        <c:axId val="103839616"/>
        <c:axId val="0"/>
      </c:bar3DChart>
      <c:catAx>
        <c:axId val="1038380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839616"/>
        <c:crosses val="autoZero"/>
        <c:auto val="1"/>
        <c:lblAlgn val="ctr"/>
        <c:lblOffset val="100"/>
        <c:noMultiLvlLbl val="0"/>
      </c:catAx>
      <c:valAx>
        <c:axId val="1038396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838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2015.xlsx]SituationAnalysis!PivotTable21</c:name>
    <c:fmtId val="2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Repartition of Monthly refilling kit missing</a:t>
            </a:r>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3"/>
          </a:solidFill>
          <a:ln w="25400">
            <a:solidFill>
              <a:schemeClr val="lt1"/>
            </a:solidFill>
          </a:ln>
          <a:effectLst/>
          <a:sp3d contourW="25400">
            <a:contourClr>
              <a:schemeClr val="lt1"/>
            </a:contourClr>
          </a:sp3d>
        </c:spPr>
      </c:pivotFmt>
      <c:pivotFmt>
        <c:idx val="3"/>
        <c:spPr>
          <a:solidFill>
            <a:schemeClr val="accent4"/>
          </a:solidFill>
          <a:ln w="25400">
            <a:solidFill>
              <a:schemeClr val="lt1"/>
            </a:solidFill>
          </a:ln>
          <a:effectLst/>
          <a:sp3d contourW="25400">
            <a:contourClr>
              <a:schemeClr val="lt1"/>
            </a:contourClr>
          </a:sp3d>
        </c:spPr>
      </c:pivotFmt>
      <c:pivotFmt>
        <c:idx val="4"/>
        <c:spPr>
          <a:solidFill>
            <a:schemeClr val="accent5"/>
          </a:solidFill>
          <a:ln w="25400">
            <a:solidFill>
              <a:schemeClr val="lt1"/>
            </a:solidFill>
          </a:ln>
          <a:effectLst/>
          <a:sp3d contourW="25400">
            <a:contourClr>
              <a:schemeClr val="lt1"/>
            </a:contourClr>
          </a:sp3d>
        </c:spPr>
      </c:pivotFmt>
      <c:pivotFmt>
        <c:idx val="5"/>
        <c:spPr>
          <a:solidFill>
            <a:schemeClr val="accent6"/>
          </a:solidFill>
          <a:ln w="25400">
            <a:solidFill>
              <a:schemeClr val="lt1"/>
            </a:solidFill>
          </a:ln>
          <a:effectLst/>
          <a:sp3d contourW="25400">
            <a:contourClr>
              <a:schemeClr val="lt1"/>
            </a:contourClr>
          </a:sp3d>
        </c:spPr>
      </c:pivotFmt>
      <c:pivotFmt>
        <c:idx val="6"/>
        <c:spPr>
          <a:solidFill>
            <a:schemeClr val="accent1">
              <a:lumMod val="60000"/>
            </a:schemeClr>
          </a:solidFill>
          <a:ln w="25400">
            <a:solidFill>
              <a:schemeClr val="lt1"/>
            </a:solidFill>
          </a:ln>
          <a:effectLst/>
          <a:sp3d contourW="25400">
            <a:contourClr>
              <a:schemeClr val="lt1"/>
            </a:contourClr>
          </a:sp3d>
        </c:spPr>
      </c:pivotFmt>
      <c:pivotFmt>
        <c:idx val="7"/>
        <c:spPr>
          <a:solidFill>
            <a:schemeClr val="accent2">
              <a:lumMod val="60000"/>
            </a:schemeClr>
          </a:solidFill>
          <a:ln w="25400">
            <a:solidFill>
              <a:schemeClr val="lt1"/>
            </a:solidFill>
          </a:ln>
          <a:effectLst/>
          <a:sp3d contourW="25400">
            <a:contourClr>
              <a:schemeClr val="lt1"/>
            </a:contourClr>
          </a:sp3d>
        </c:spPr>
      </c:pivotFmt>
      <c:pivotFmt>
        <c:idx val="8"/>
        <c:spPr>
          <a:solidFill>
            <a:schemeClr val="accent5">
              <a:lumMod val="60000"/>
            </a:schemeClr>
          </a:solidFill>
          <a:ln w="25400">
            <a:solidFill>
              <a:schemeClr val="lt1"/>
            </a:solidFill>
          </a:ln>
          <a:effectLst/>
          <a:sp3d contourW="25400">
            <a:contourClr>
              <a:schemeClr val="lt1"/>
            </a:contourClr>
          </a:sp3d>
        </c:spPr>
      </c:pivotFmt>
      <c:pivotFmt>
        <c:idx val="9"/>
        <c:spPr>
          <a:solidFill>
            <a:schemeClr val="accent6">
              <a:lumMod val="60000"/>
            </a:schemeClr>
          </a:solidFill>
          <a:ln w="25400">
            <a:solidFill>
              <a:schemeClr val="lt1"/>
            </a:solidFill>
          </a:ln>
          <a:effectLst/>
          <a:sp3d contourW="25400">
            <a:contourClr>
              <a:schemeClr val="lt1"/>
            </a:contourClr>
          </a:sp3d>
        </c:spPr>
      </c:pivotFmt>
      <c:pivotFmt>
        <c:idx val="10"/>
        <c:spPr>
          <a:solidFill>
            <a:schemeClr val="accent1">
              <a:lumMod val="80000"/>
              <a:lumOff val="20000"/>
            </a:schemeClr>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3">
              <a:lumMod val="60000"/>
            </a:schemeClr>
          </a:solidFill>
          <a:ln w="25400">
            <a:solidFill>
              <a:schemeClr val="lt1"/>
            </a:solidFill>
          </a:ln>
          <a:effectLst/>
          <a:sp3d contourW="25400">
            <a:contourClr>
              <a:schemeClr val="lt1"/>
            </a:contourClr>
          </a:sp3d>
        </c:spPr>
      </c:pivotFmt>
      <c:pivotFmt>
        <c:idx val="18"/>
        <c:spPr>
          <a:solidFill>
            <a:schemeClr val="accent2"/>
          </a:solidFill>
          <a:ln w="25400">
            <a:solidFill>
              <a:schemeClr val="lt1"/>
            </a:solidFill>
          </a:ln>
          <a:effectLst/>
          <a:sp3d contourW="25400">
            <a:contourClr>
              <a:schemeClr val="lt1"/>
            </a:contourClr>
          </a:sp3d>
        </c:spPr>
      </c:pivotFmt>
      <c:pivotFmt>
        <c:idx val="19"/>
        <c:spPr>
          <a:solidFill>
            <a:schemeClr val="accent4">
              <a:lumMod val="60000"/>
            </a:schemeClr>
          </a:solidFill>
          <a:ln w="25400">
            <a:solidFill>
              <a:schemeClr val="lt1"/>
            </a:solidFill>
          </a:ln>
          <a:effectLst/>
          <a:sp3d contourW="25400">
            <a:contourClr>
              <a:schemeClr val="lt1"/>
            </a:contourClr>
          </a:sp3d>
        </c:spPr>
      </c:pivotFmt>
      <c:pivotFmt>
        <c:idx val="20"/>
        <c:spPr>
          <a:solidFill>
            <a:schemeClr val="accent2">
              <a:lumMod val="80000"/>
              <a:lumOff val="20000"/>
            </a:schemeClr>
          </a:solidFill>
          <a:ln w="25400">
            <a:solidFill>
              <a:schemeClr val="lt1"/>
            </a:solidFill>
          </a:ln>
          <a:effectLst/>
          <a:sp3d contourW="25400">
            <a:contourClr>
              <a:schemeClr val="lt1"/>
            </a:contourClr>
          </a:sp3d>
        </c:spPr>
      </c:pivotFmt>
      <c:pivotFmt>
        <c:idx val="21"/>
        <c:spPr>
          <a:solidFill>
            <a:schemeClr val="accent1"/>
          </a:solidFill>
          <a:ln w="25400">
            <a:solidFill>
              <a:schemeClr val="lt1"/>
            </a:solidFill>
          </a:ln>
          <a:effectLst/>
          <a:sp3d contourW="25400">
            <a:contourClr>
              <a:schemeClr val="lt1"/>
            </a:contourClr>
          </a:sp3d>
        </c:spPr>
      </c:pivotFmt>
      <c:pivotFmt>
        <c:idx val="22"/>
        <c:spPr>
          <a:solidFill>
            <a:schemeClr val="accent1"/>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SituationAnalysis!$C$351</c:f>
              <c:strCache>
                <c:ptCount val="1"/>
                <c:pt idx="0">
                  <c:v>Total</c:v>
                </c:pt>
              </c:strCache>
            </c:strRef>
          </c:tx>
          <c:explosion val="26"/>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Pt>
            <c:idx val="6"/>
            <c:bubble3D val="0"/>
            <c:spPr>
              <a:solidFill>
                <a:schemeClr val="accent1">
                  <a:lumMod val="60000"/>
                </a:schemeClr>
              </a:solidFill>
              <a:ln w="25400">
                <a:solidFill>
                  <a:schemeClr val="lt1"/>
                </a:solidFill>
              </a:ln>
              <a:effectLst/>
              <a:sp3d contourW="25400">
                <a:contourClr>
                  <a:schemeClr val="lt1"/>
                </a:contourClr>
              </a:sp3d>
            </c:spPr>
          </c:dPt>
          <c:dPt>
            <c:idx val="7"/>
            <c:bubble3D val="0"/>
            <c:spPr>
              <a:solidFill>
                <a:schemeClr val="accent2">
                  <a:lumMod val="60000"/>
                </a:schemeClr>
              </a:solidFill>
              <a:ln w="25400">
                <a:solidFill>
                  <a:schemeClr val="lt1"/>
                </a:solidFill>
              </a:ln>
              <a:effectLst/>
              <a:sp3d contourW="25400">
                <a:contourClr>
                  <a:schemeClr val="lt1"/>
                </a:contourClr>
              </a:sp3d>
            </c:spPr>
          </c:dPt>
          <c:dPt>
            <c:idx val="8"/>
            <c:bubble3D val="0"/>
            <c:spPr>
              <a:solidFill>
                <a:schemeClr val="accent3">
                  <a:lumMod val="60000"/>
                </a:schemeClr>
              </a:solidFill>
              <a:ln w="25400">
                <a:solidFill>
                  <a:schemeClr val="lt1"/>
                </a:solidFill>
              </a:ln>
              <a:effectLst/>
              <a:sp3d contourW="25400">
                <a:contourClr>
                  <a:schemeClr val="lt1"/>
                </a:contourClr>
              </a:sp3d>
            </c:spPr>
          </c:dPt>
          <c:dPt>
            <c:idx val="9"/>
            <c:bubble3D val="0"/>
            <c:spPr>
              <a:solidFill>
                <a:schemeClr val="accent4">
                  <a:lumMod val="60000"/>
                </a:schemeClr>
              </a:solidFill>
              <a:ln w="25400">
                <a:solidFill>
                  <a:schemeClr val="lt1"/>
                </a:solidFill>
              </a:ln>
              <a:effectLst/>
              <a:sp3d contourW="25400">
                <a:contourClr>
                  <a:schemeClr val="lt1"/>
                </a:contourClr>
              </a:sp3d>
            </c:spPr>
          </c:dPt>
          <c:dPt>
            <c:idx val="10"/>
            <c:bubble3D val="0"/>
            <c:spPr>
              <a:solidFill>
                <a:schemeClr val="accent5">
                  <a:lumMod val="60000"/>
                </a:schemeClr>
              </a:solidFill>
              <a:ln w="25400">
                <a:solidFill>
                  <a:schemeClr val="lt1"/>
                </a:solidFill>
              </a:ln>
              <a:effectLst/>
              <a:sp3d contourW="25400">
                <a:contourClr>
                  <a:schemeClr val="lt1"/>
                </a:contourClr>
              </a:sp3d>
            </c:spPr>
          </c:dPt>
          <c:dPt>
            <c:idx val="11"/>
            <c:bubble3D val="0"/>
            <c:spPr>
              <a:solidFill>
                <a:schemeClr val="accent6">
                  <a:lumMod val="60000"/>
                </a:schemeClr>
              </a:solidFill>
              <a:ln w="25400">
                <a:solidFill>
                  <a:schemeClr val="lt1"/>
                </a:solidFill>
              </a:ln>
              <a:effectLst/>
              <a:sp3d contourW="25400">
                <a:contourClr>
                  <a:schemeClr val="lt1"/>
                </a:contourClr>
              </a:sp3d>
            </c:spPr>
          </c:dPt>
          <c:dPt>
            <c:idx val="12"/>
            <c:bubble3D val="0"/>
            <c:spPr>
              <a:solidFill>
                <a:schemeClr val="accent1">
                  <a:lumMod val="80000"/>
                  <a:lumOff val="20000"/>
                </a:schemeClr>
              </a:solidFill>
              <a:ln w="25400">
                <a:solidFill>
                  <a:schemeClr val="lt1"/>
                </a:solidFill>
              </a:ln>
              <a:effectLst/>
              <a:sp3d contourW="25400">
                <a:contourClr>
                  <a:schemeClr val="lt1"/>
                </a:contourClr>
              </a:sp3d>
            </c:spPr>
          </c:dPt>
          <c:dPt>
            <c:idx val="13"/>
            <c:bubble3D val="0"/>
            <c:spPr>
              <a:solidFill>
                <a:schemeClr val="accent2">
                  <a:lumMod val="80000"/>
                  <a:lumOff val="20000"/>
                </a:schemeClr>
              </a:solidFill>
              <a:ln w="25400">
                <a:solidFill>
                  <a:schemeClr val="lt1"/>
                </a:solidFill>
              </a:ln>
              <a:effectLst/>
              <a:sp3d contourW="25400">
                <a:contourClr>
                  <a:schemeClr val="lt1"/>
                </a:contourClr>
              </a:sp3d>
            </c:spPr>
          </c:dPt>
          <c:dPt>
            <c:idx val="14"/>
            <c:bubble3D val="0"/>
          </c:dPt>
          <c:dPt>
            <c:idx val="15"/>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SituationAnalysis!$B$352:$B$366</c:f>
              <c:strCache>
                <c:ptCount val="14"/>
                <c:pt idx="0">
                  <c:v>0</c:v>
                </c:pt>
                <c:pt idx="1">
                  <c:v>1</c:v>
                </c:pt>
                <c:pt idx="2">
                  <c:v>2</c:v>
                </c:pt>
                <c:pt idx="3">
                  <c:v>3</c:v>
                </c:pt>
                <c:pt idx="4">
                  <c:v>4</c:v>
                </c:pt>
                <c:pt idx="5">
                  <c:v>5</c:v>
                </c:pt>
                <c:pt idx="6">
                  <c:v>6</c:v>
                </c:pt>
                <c:pt idx="7">
                  <c:v>7</c:v>
                </c:pt>
                <c:pt idx="8">
                  <c:v>8</c:v>
                </c:pt>
                <c:pt idx="9">
                  <c:v>9</c:v>
                </c:pt>
                <c:pt idx="10">
                  <c:v>10</c:v>
                </c:pt>
                <c:pt idx="11">
                  <c:v>11</c:v>
                </c:pt>
                <c:pt idx="12">
                  <c:v>12</c:v>
                </c:pt>
                <c:pt idx="13">
                  <c:v>14</c:v>
                </c:pt>
              </c:strCache>
            </c:strRef>
          </c:cat>
          <c:val>
            <c:numRef>
              <c:f>SituationAnalysis!$C$352:$C$366</c:f>
              <c:numCache>
                <c:formatCode>#,##0</c:formatCode>
                <c:ptCount val="14"/>
                <c:pt idx="0">
                  <c:v>8177</c:v>
                </c:pt>
                <c:pt idx="1">
                  <c:v>350</c:v>
                </c:pt>
                <c:pt idx="2">
                  <c:v>98</c:v>
                </c:pt>
                <c:pt idx="3">
                  <c:v>31</c:v>
                </c:pt>
                <c:pt idx="4">
                  <c:v>2064</c:v>
                </c:pt>
                <c:pt idx="5">
                  <c:v>888</c:v>
                </c:pt>
                <c:pt idx="6">
                  <c:v>1509</c:v>
                </c:pt>
                <c:pt idx="7">
                  <c:v>72</c:v>
                </c:pt>
                <c:pt idx="8">
                  <c:v>150</c:v>
                </c:pt>
                <c:pt idx="9">
                  <c:v>444</c:v>
                </c:pt>
                <c:pt idx="10">
                  <c:v>283</c:v>
                </c:pt>
                <c:pt idx="11">
                  <c:v>555</c:v>
                </c:pt>
                <c:pt idx="12">
                  <c:v>15</c:v>
                </c:pt>
                <c:pt idx="13">
                  <c:v>1701</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2015.xlsx]SituationAnalysis!PivotTable23</c:name>
    <c:fmtId val="2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Full HK coverage</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SituationAnalysis!$C$374</c:f>
              <c:strCache>
                <c:ptCount val="1"/>
                <c:pt idx="0">
                  <c:v>Total</c:v>
                </c:pt>
              </c:strCache>
            </c:strRef>
          </c:tx>
          <c:spPr>
            <a:solidFill>
              <a:schemeClr val="accent1"/>
            </a:solidFill>
            <a:ln>
              <a:noFill/>
            </a:ln>
            <a:effectLst/>
            <a:sp3d/>
          </c:spPr>
          <c:invertIfNegative val="0"/>
          <c:cat>
            <c:strRef>
              <c:f>SituationAnalysis!$B$375:$B$394</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SituationAnalysis!$C$375:$C$394</c:f>
              <c:numCache>
                <c:formatCode>0%</c:formatCode>
                <c:ptCount val="19"/>
                <c:pt idx="0">
                  <c:v>7.2499656073737789E-2</c:v>
                </c:pt>
                <c:pt idx="1">
                  <c:v>0.79551847198906023</c:v>
                </c:pt>
                <c:pt idx="2">
                  <c:v>0.20683060109289617</c:v>
                </c:pt>
                <c:pt idx="3">
                  <c:v>0</c:v>
                </c:pt>
                <c:pt idx="4">
                  <c:v>0.70647602988469771</c:v>
                </c:pt>
                <c:pt idx="5">
                  <c:v>1</c:v>
                </c:pt>
                <c:pt idx="6">
                  <c:v>0.87069558221907184</c:v>
                </c:pt>
                <c:pt idx="7">
                  <c:v>0.47398843930635837</c:v>
                </c:pt>
                <c:pt idx="8">
                  <c:v>1</c:v>
                </c:pt>
                <c:pt idx="9">
                  <c:v>1</c:v>
                </c:pt>
                <c:pt idx="10">
                  <c:v>0.34224878272134368</c:v>
                </c:pt>
                <c:pt idx="11">
                  <c:v>0.74103441627301647</c:v>
                </c:pt>
                <c:pt idx="12">
                  <c:v>0.82342181784072777</c:v>
                </c:pt>
                <c:pt idx="13">
                  <c:v>0.99549965504431348</c:v>
                </c:pt>
                <c:pt idx="14">
                  <c:v>1</c:v>
                </c:pt>
                <c:pt idx="15">
                  <c:v>1</c:v>
                </c:pt>
                <c:pt idx="16">
                  <c:v>0</c:v>
                </c:pt>
                <c:pt idx="17">
                  <c:v>0.8088746774374509</c:v>
                </c:pt>
                <c:pt idx="18">
                  <c:v>0.21884107663295047</c:v>
                </c:pt>
              </c:numCache>
            </c:numRef>
          </c:val>
        </c:ser>
        <c:dLbls>
          <c:showLegendKey val="0"/>
          <c:showVal val="0"/>
          <c:showCatName val="0"/>
          <c:showSerName val="0"/>
          <c:showPercent val="0"/>
          <c:showBubbleSize val="0"/>
        </c:dLbls>
        <c:gapWidth val="150"/>
        <c:shape val="box"/>
        <c:axId val="103908864"/>
        <c:axId val="103910400"/>
        <c:axId val="0"/>
      </c:bar3DChart>
      <c:catAx>
        <c:axId val="1039088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910400"/>
        <c:crosses val="autoZero"/>
        <c:auto val="1"/>
        <c:lblAlgn val="ctr"/>
        <c:lblOffset val="100"/>
        <c:noMultiLvlLbl val="0"/>
      </c:catAx>
      <c:valAx>
        <c:axId val="103910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908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2015.xlsx]SituationAnalysis!PivotTable24</c:name>
    <c:fmtId val="2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Full HK coverage</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SituationAnalysis!$C$402</c:f>
              <c:strCache>
                <c:ptCount val="1"/>
                <c:pt idx="0">
                  <c:v>Total</c:v>
                </c:pt>
              </c:strCache>
            </c:strRef>
          </c:tx>
          <c:spPr>
            <a:solidFill>
              <a:schemeClr val="accent1"/>
            </a:solidFill>
            <a:ln>
              <a:noFill/>
            </a:ln>
            <a:effectLst/>
            <a:sp3d/>
          </c:spPr>
          <c:invertIfNegative val="0"/>
          <c:cat>
            <c:strRef>
              <c:f>SituationAnalysis!$B$403:$B$413</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SituationAnalysis!$C$403:$C$413</c:f>
              <c:numCache>
                <c:formatCode>0%</c:formatCode>
                <c:ptCount val="10"/>
                <c:pt idx="0">
                  <c:v>0.20683060109289617</c:v>
                </c:pt>
                <c:pt idx="1">
                  <c:v>0.81391280327793381</c:v>
                </c:pt>
                <c:pt idx="2">
                  <c:v>1</c:v>
                </c:pt>
                <c:pt idx="3">
                  <c:v>0.10534509600415153</c:v>
                </c:pt>
                <c:pt idx="4">
                  <c:v>0.45952732644017724</c:v>
                </c:pt>
                <c:pt idx="5">
                  <c:v>0.92873595697902245</c:v>
                </c:pt>
                <c:pt idx="6">
                  <c:v>0.87522799545400842</c:v>
                </c:pt>
                <c:pt idx="7">
                  <c:v>0.61953994936885193</c:v>
                </c:pt>
                <c:pt idx="8">
                  <c:v>0.53689567430025442</c:v>
                </c:pt>
                <c:pt idx="9">
                  <c:v>0.80581822269801817</c:v>
                </c:pt>
              </c:numCache>
            </c:numRef>
          </c:val>
        </c:ser>
        <c:dLbls>
          <c:showLegendKey val="0"/>
          <c:showVal val="0"/>
          <c:showCatName val="0"/>
          <c:showSerName val="0"/>
          <c:showPercent val="0"/>
          <c:showBubbleSize val="0"/>
        </c:dLbls>
        <c:gapWidth val="150"/>
        <c:shape val="box"/>
        <c:axId val="95887744"/>
        <c:axId val="95889280"/>
        <c:axId val="0"/>
      </c:bar3DChart>
      <c:catAx>
        <c:axId val="958877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889280"/>
        <c:crosses val="autoZero"/>
        <c:auto val="1"/>
        <c:lblAlgn val="ctr"/>
        <c:lblOffset val="100"/>
        <c:noMultiLvlLbl val="0"/>
      </c:catAx>
      <c:valAx>
        <c:axId val="95889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887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2015.xlsx]SituationAnalysis!PivotTable25</c:name>
    <c:fmtId val="2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of HH receiving monthly</a:t>
            </a:r>
            <a:r>
              <a:rPr lang="en-US" b="1" baseline="0"/>
              <a:t> HP visit</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SituationAnalysis!$C$425</c:f>
              <c:strCache>
                <c:ptCount val="1"/>
                <c:pt idx="0">
                  <c:v>Total</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SituationAnalysis!$B$426:$B$428</c:f>
              <c:strCache>
                <c:ptCount val="2"/>
                <c:pt idx="0">
                  <c:v>GCA</c:v>
                </c:pt>
                <c:pt idx="1">
                  <c:v>NGCA</c:v>
                </c:pt>
              </c:strCache>
            </c:strRef>
          </c:cat>
          <c:val>
            <c:numRef>
              <c:f>SituationAnalysis!$C$426:$C$428</c:f>
              <c:numCache>
                <c:formatCode>0%</c:formatCode>
                <c:ptCount val="2"/>
                <c:pt idx="0">
                  <c:v>0.65202915723323662</c:v>
                </c:pt>
                <c:pt idx="1">
                  <c:v>0.54486349486211749</c:v>
                </c:pt>
              </c:numCache>
            </c:numRef>
          </c:val>
        </c:ser>
        <c:dLbls>
          <c:showLegendKey val="0"/>
          <c:showVal val="1"/>
          <c:showCatName val="0"/>
          <c:showSerName val="0"/>
          <c:showPercent val="0"/>
          <c:showBubbleSize val="0"/>
        </c:dLbls>
        <c:gapWidth val="150"/>
        <c:shape val="box"/>
        <c:axId val="95931776"/>
        <c:axId val="95942912"/>
        <c:axId val="0"/>
      </c:bar3DChart>
      <c:catAx>
        <c:axId val="95931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42912"/>
        <c:crosses val="autoZero"/>
        <c:auto val="1"/>
        <c:lblAlgn val="ctr"/>
        <c:lblOffset val="100"/>
        <c:noMultiLvlLbl val="0"/>
      </c:catAx>
      <c:valAx>
        <c:axId val="959429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3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2015.xlsx]SituationAnalysis!PivotTable26</c:name>
    <c:fmtId val="2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Community</a:t>
            </a:r>
            <a:r>
              <a:rPr lang="en-US" b="1" baseline="0"/>
              <a:t> management organisation in camps</a:t>
            </a:r>
            <a:endParaRPr lang="en-US" b="1"/>
          </a:p>
        </c:rich>
      </c:tx>
      <c:layout>
        <c:manualLayout>
          <c:xMode val="edge"/>
          <c:yMode val="edge"/>
          <c:x val="0.20189483560931695"/>
          <c:y val="5.8394160583941604E-2"/>
        </c:manualLayout>
      </c:layout>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2"/>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5"/>
          </a:solidFill>
          <a:ln w="25400">
            <a:solidFill>
              <a:schemeClr val="lt1"/>
            </a:solidFill>
          </a:ln>
          <a:effectLst/>
          <a:sp3d contourW="25400">
            <a:contourClr>
              <a:schemeClr val="lt1"/>
            </a:contourClr>
          </a:sp3d>
        </c:spPr>
      </c:pivotFmt>
      <c:pivotFmt>
        <c:idx val="4"/>
        <c:spPr>
          <a:solidFill>
            <a:schemeClr val="accent6"/>
          </a:solidFill>
          <a:ln w="25400">
            <a:solidFill>
              <a:schemeClr val="lt1"/>
            </a:solidFill>
          </a:ln>
          <a:effectLst/>
          <a:sp3d contourW="25400">
            <a:contourClr>
              <a:schemeClr val="lt1"/>
            </a:contourClr>
          </a:sp3d>
        </c:spPr>
      </c:pivotFmt>
      <c:pivotFmt>
        <c:idx val="5"/>
        <c:spPr>
          <a:solidFill>
            <a:schemeClr val="accent3"/>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4"/>
          </a:solidFill>
          <a:ln w="25400">
            <a:solidFill>
              <a:schemeClr val="lt1"/>
            </a:solidFill>
          </a:ln>
          <a:effectLst/>
          <a:sp3d contourW="25400">
            <a:contourClr>
              <a:schemeClr val="lt1"/>
            </a:contourClr>
          </a:sp3d>
        </c:spPr>
      </c:pivotFmt>
      <c:pivotFmt>
        <c:idx val="8"/>
        <c:spPr>
          <a:solidFill>
            <a:schemeClr val="accent1">
              <a:lumMod val="60000"/>
            </a:schemeClr>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SituationAnalysis!$C$445</c:f>
              <c:strCache>
                <c:ptCount val="1"/>
                <c:pt idx="0">
                  <c:v>Total</c:v>
                </c:pt>
              </c:strCache>
            </c:strRef>
          </c:tx>
          <c:explosion val="25"/>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Pt>
            <c:idx val="6"/>
            <c:bubble3D val="0"/>
            <c:spPr>
              <a:solidFill>
                <a:schemeClr val="accent1">
                  <a:lumMod val="60000"/>
                </a:schemeClr>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SituationAnalysis!$B$446:$B$453</c:f>
              <c:strCache>
                <c:ptCount val="7"/>
                <c:pt idx="0">
                  <c:v>already set up</c:v>
                </c:pt>
                <c:pt idx="1">
                  <c:v>Functional and efficient</c:v>
                </c:pt>
                <c:pt idx="2">
                  <c:v>NA</c:v>
                </c:pt>
                <c:pt idx="3">
                  <c:v>Not yet planned</c:v>
                </c:pt>
                <c:pt idx="4">
                  <c:v>Not yet set up</c:v>
                </c:pt>
                <c:pt idx="5">
                  <c:v>Set up but low results </c:v>
                </c:pt>
                <c:pt idx="6">
                  <c:v>Functional and efficient. The number of people actually leaving in the camp is 93 HH (so around 500 people) </c:v>
                </c:pt>
              </c:strCache>
            </c:strRef>
          </c:cat>
          <c:val>
            <c:numRef>
              <c:f>SituationAnalysis!$C$446:$C$453</c:f>
              <c:numCache>
                <c:formatCode>#,##0</c:formatCode>
                <c:ptCount val="7"/>
                <c:pt idx="0">
                  <c:v>2</c:v>
                </c:pt>
                <c:pt idx="1">
                  <c:v>79</c:v>
                </c:pt>
                <c:pt idx="2">
                  <c:v>1</c:v>
                </c:pt>
                <c:pt idx="3">
                  <c:v>2</c:v>
                </c:pt>
                <c:pt idx="4">
                  <c:v>12</c:v>
                </c:pt>
                <c:pt idx="5">
                  <c:v>57</c:v>
                </c:pt>
                <c:pt idx="6">
                  <c:v>1</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2015.xlsx]SituationAnalysis!PivotTable27</c:name>
    <c:fmtId val="3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Gender</a:t>
            </a:r>
            <a:r>
              <a:rPr lang="en-US" b="1" baseline="0"/>
              <a:t> consideration for latrines</a:t>
            </a:r>
            <a:endParaRPr lang="en-US" b="1"/>
          </a:p>
        </c:rich>
      </c:tx>
      <c:layout>
        <c:manualLayout>
          <c:xMode val="edge"/>
          <c:yMode val="edge"/>
          <c:x val="0.45214921379995354"/>
          <c:y val="9.0522720804477749E-2"/>
        </c:manualLayout>
      </c:layout>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
      </c:pivotFmt>
      <c:pivotFmt>
        <c:idx val="7"/>
      </c:pivotFmt>
      <c:pivotFmt>
        <c:idx val="8"/>
      </c:pivotFmt>
      <c:pivotFmt>
        <c:idx val="9"/>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2"/>
          </a:solidFill>
          <a:ln w="25400">
            <a:solidFill>
              <a:schemeClr val="lt1"/>
            </a:solidFill>
          </a:ln>
          <a:effectLst/>
          <a:sp3d contourW="25400">
            <a:contourClr>
              <a:schemeClr val="lt1"/>
            </a:contourClr>
          </a:sp3d>
        </c:spPr>
      </c:pivotFmt>
      <c:pivotFmt>
        <c:idx val="18"/>
        <c:spPr>
          <a:solidFill>
            <a:schemeClr val="accent3"/>
          </a:solidFill>
          <a:ln w="25400">
            <a:solidFill>
              <a:schemeClr val="lt1"/>
            </a:solidFill>
          </a:ln>
          <a:effectLst/>
          <a:sp3d contourW="25400">
            <a:contourClr>
              <a:schemeClr val="lt1"/>
            </a:contourClr>
          </a:sp3d>
        </c:spPr>
      </c:pivotFmt>
      <c:pivotFmt>
        <c:idx val="19"/>
        <c:spPr>
          <a:solidFill>
            <a:schemeClr val="accent4"/>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5"/>
          </a:solidFill>
          <a:ln w="25400">
            <a:solidFill>
              <a:schemeClr val="lt1"/>
            </a:solidFill>
          </a:ln>
          <a:effectLst/>
          <a:sp3d contourW="25400">
            <a:contourClr>
              <a:schemeClr val="lt1"/>
            </a:contourClr>
          </a:sp3d>
        </c:spPr>
      </c:pivotFmt>
      <c:pivotFmt>
        <c:idx val="22"/>
        <c:spPr>
          <a:solidFill>
            <a:schemeClr val="accent6"/>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SituationAnalysis!$C$464</c:f>
              <c:strCache>
                <c:ptCount val="1"/>
                <c:pt idx="0">
                  <c:v>Total</c:v>
                </c:pt>
              </c:strCache>
            </c:strRef>
          </c:tx>
          <c:explosion val="25"/>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SituationAnalysis!$B$465:$B$471</c:f>
              <c:strCache>
                <c:ptCount val="6"/>
                <c:pt idx="0">
                  <c:v>Latrine shared by families , not separated</c:v>
                </c:pt>
                <c:pt idx="1">
                  <c:v>Not separated yet</c:v>
                </c:pt>
                <c:pt idx="2">
                  <c:v>Separate, but not clearly perceived</c:v>
                </c:pt>
                <c:pt idx="3">
                  <c:v>Separate, clearly perceived</c:v>
                </c:pt>
                <c:pt idx="4">
                  <c:v>separated</c:v>
                </c:pt>
                <c:pt idx="5">
                  <c:v>Separated, clearly perceived</c:v>
                </c:pt>
              </c:strCache>
            </c:strRef>
          </c:cat>
          <c:val>
            <c:numRef>
              <c:f>SituationAnalysis!$C$465:$C$471</c:f>
              <c:numCache>
                <c:formatCode>0</c:formatCode>
                <c:ptCount val="6"/>
                <c:pt idx="0">
                  <c:v>75</c:v>
                </c:pt>
                <c:pt idx="1">
                  <c:v>39</c:v>
                </c:pt>
                <c:pt idx="2">
                  <c:v>7</c:v>
                </c:pt>
                <c:pt idx="3">
                  <c:v>31</c:v>
                </c:pt>
                <c:pt idx="4">
                  <c:v>1</c:v>
                </c:pt>
                <c:pt idx="5">
                  <c:v>1</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2015.xlsx]SituationAnalysis!PivotTable4</c:name>
    <c:fmtId val="3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Gender</a:t>
            </a:r>
            <a:r>
              <a:rPr lang="en-US" b="1" baseline="0"/>
              <a:t> consideration for Bathroom</a:t>
            </a:r>
            <a:endParaRPr lang="en-US" b="1"/>
          </a:p>
        </c:rich>
      </c:tx>
      <c:layout>
        <c:manualLayout>
          <c:xMode val="edge"/>
          <c:yMode val="edge"/>
          <c:x val="0.308234335179567"/>
          <c:y val="7.4854994977479661E-2"/>
        </c:manualLayout>
      </c:layout>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
      </c:pivotFmt>
      <c:pivotFmt>
        <c:idx val="7"/>
      </c:pivotFmt>
      <c:pivotFmt>
        <c:idx val="8"/>
      </c:pivotFmt>
      <c:pivotFmt>
        <c:idx val="9"/>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2"/>
          </a:solidFill>
          <a:ln w="25400">
            <a:solidFill>
              <a:schemeClr val="lt1"/>
            </a:solidFill>
          </a:ln>
          <a:effectLst/>
          <a:sp3d contourW="25400">
            <a:contourClr>
              <a:schemeClr val="lt1"/>
            </a:contourClr>
          </a:sp3d>
        </c:spPr>
      </c:pivotFmt>
      <c:pivotFmt>
        <c:idx val="18"/>
        <c:spPr>
          <a:solidFill>
            <a:schemeClr val="accent3"/>
          </a:solidFill>
          <a:ln w="25400">
            <a:solidFill>
              <a:schemeClr val="lt1"/>
            </a:solidFill>
          </a:ln>
          <a:effectLst/>
          <a:sp3d contourW="25400">
            <a:contourClr>
              <a:schemeClr val="lt1"/>
            </a:contourClr>
          </a:sp3d>
        </c:spPr>
      </c:pivotFmt>
      <c:pivotFmt>
        <c:idx val="19"/>
        <c:spPr>
          <a:solidFill>
            <a:schemeClr val="accent4"/>
          </a:solidFill>
          <a:ln w="25400">
            <a:solidFill>
              <a:schemeClr val="lt1"/>
            </a:solidFill>
          </a:ln>
          <a:effectLst/>
          <a:sp3d contourW="25400">
            <a:contourClr>
              <a:schemeClr val="lt1"/>
            </a:contourClr>
          </a:sp3d>
        </c:spPr>
      </c:pivotFmt>
      <c:pivotFmt>
        <c:idx val="20"/>
        <c:spPr>
          <a:solidFill>
            <a:schemeClr val="accent6"/>
          </a:solidFill>
          <a:ln w="25400">
            <a:solidFill>
              <a:schemeClr val="lt1"/>
            </a:solidFill>
          </a:ln>
          <a:effectLst/>
          <a:sp3d contourW="25400">
            <a:contourClr>
              <a:schemeClr val="lt1"/>
            </a:contourClr>
          </a:sp3d>
        </c:spPr>
      </c:pivotFmt>
      <c:pivotFmt>
        <c:idx val="21"/>
        <c:spPr>
          <a:solidFill>
            <a:schemeClr val="accent5"/>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SituationAnalysis!$C$482</c:f>
              <c:strCache>
                <c:ptCount val="1"/>
                <c:pt idx="0">
                  <c:v>Total</c:v>
                </c:pt>
              </c:strCache>
            </c:strRef>
          </c:tx>
          <c:explosion val="25"/>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SituationAnalysis!$B$483:$B$489</c:f>
              <c:strCache>
                <c:ptCount val="6"/>
                <c:pt idx="0">
                  <c:v>Latrine shared by families , not separated</c:v>
                </c:pt>
                <c:pt idx="1">
                  <c:v>Not separated yet</c:v>
                </c:pt>
                <c:pt idx="2">
                  <c:v>Separate, but not clearly perceived</c:v>
                </c:pt>
                <c:pt idx="3">
                  <c:v>Separate, clearly perceived</c:v>
                </c:pt>
                <c:pt idx="4">
                  <c:v>separated</c:v>
                </c:pt>
                <c:pt idx="5">
                  <c:v>(blank)</c:v>
                </c:pt>
              </c:strCache>
            </c:strRef>
          </c:cat>
          <c:val>
            <c:numRef>
              <c:f>SituationAnalysis!$C$483:$C$489</c:f>
              <c:numCache>
                <c:formatCode>0</c:formatCode>
                <c:ptCount val="6"/>
                <c:pt idx="0">
                  <c:v>2</c:v>
                </c:pt>
                <c:pt idx="1">
                  <c:v>60</c:v>
                </c:pt>
                <c:pt idx="2">
                  <c:v>17</c:v>
                </c:pt>
                <c:pt idx="3">
                  <c:v>66</c:v>
                </c:pt>
                <c:pt idx="4">
                  <c:v>6</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2015.xlsx]SituationAnalysis!PivotTable6</c:name>
    <c:fmtId val="3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of Water coverage end of project</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SituationAnalysis!$C$178</c:f>
              <c:strCache>
                <c:ptCount val="1"/>
                <c:pt idx="0">
                  <c:v>% Water Need coverage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SituationAnalysis!$B$179:$B$181</c:f>
              <c:strCache>
                <c:ptCount val="2"/>
                <c:pt idx="0">
                  <c:v>GCA</c:v>
                </c:pt>
                <c:pt idx="1">
                  <c:v>NGCA</c:v>
                </c:pt>
              </c:strCache>
            </c:strRef>
          </c:cat>
          <c:val>
            <c:numRef>
              <c:f>SituationAnalysis!$C$179:$C$181</c:f>
              <c:numCache>
                <c:formatCode>0%</c:formatCode>
                <c:ptCount val="2"/>
                <c:pt idx="0">
                  <c:v>0.98990845966813767</c:v>
                </c:pt>
                <c:pt idx="1">
                  <c:v>0.90223539994003399</c:v>
                </c:pt>
              </c:numCache>
            </c:numRef>
          </c:val>
        </c:ser>
        <c:ser>
          <c:idx val="1"/>
          <c:order val="1"/>
          <c:tx>
            <c:strRef>
              <c:f>SituationAnalysis!$D$178</c:f>
              <c:strCache>
                <c:ptCount val="1"/>
                <c:pt idx="0">
                  <c:v>% Coverage projection end of project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SituationAnalysis!$B$179:$B$181</c:f>
              <c:strCache>
                <c:ptCount val="2"/>
                <c:pt idx="0">
                  <c:v>GCA</c:v>
                </c:pt>
                <c:pt idx="1">
                  <c:v>NGCA</c:v>
                </c:pt>
              </c:strCache>
            </c:strRef>
          </c:cat>
          <c:val>
            <c:numRef>
              <c:f>SituationAnalysis!$D$179:$D$181</c:f>
              <c:numCache>
                <c:formatCode>0%</c:formatCode>
                <c:ptCount val="2"/>
                <c:pt idx="0">
                  <c:v>2.2811911676156689E-3</c:v>
                </c:pt>
                <c:pt idx="1">
                  <c:v>-1.0773894792950709E-2</c:v>
                </c:pt>
              </c:numCache>
            </c:numRef>
          </c:val>
        </c:ser>
        <c:dLbls>
          <c:showLegendKey val="0"/>
          <c:showVal val="1"/>
          <c:showCatName val="0"/>
          <c:showSerName val="0"/>
          <c:showPercent val="0"/>
          <c:showBubbleSize val="0"/>
        </c:dLbls>
        <c:gapWidth val="150"/>
        <c:shape val="box"/>
        <c:axId val="104016512"/>
        <c:axId val="104022400"/>
        <c:axId val="0"/>
      </c:bar3DChart>
      <c:catAx>
        <c:axId val="1040165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022400"/>
        <c:crosses val="autoZero"/>
        <c:auto val="1"/>
        <c:lblAlgn val="ctr"/>
        <c:lblOffset val="100"/>
        <c:noMultiLvlLbl val="0"/>
      </c:catAx>
      <c:valAx>
        <c:axId val="1040224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016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2015.xlsx]SituationAnalysis!PivotTable9</c:name>
    <c:fmtId val="3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of latrine coverage end of project</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SituationAnalysis!$C$322</c:f>
              <c:strCache>
                <c:ptCount val="1"/>
                <c:pt idx="0">
                  <c:v>% Latrine need coverage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SituationAnalysis!$B$323:$B$325</c:f>
              <c:strCache>
                <c:ptCount val="2"/>
                <c:pt idx="0">
                  <c:v>GCA</c:v>
                </c:pt>
                <c:pt idx="1">
                  <c:v>NGCA</c:v>
                </c:pt>
              </c:strCache>
            </c:strRef>
          </c:cat>
          <c:val>
            <c:numRef>
              <c:f>SituationAnalysis!$C$323:$C$325</c:f>
              <c:numCache>
                <c:formatCode>0%</c:formatCode>
                <c:ptCount val="2"/>
                <c:pt idx="0">
                  <c:v>0.85278851210756179</c:v>
                </c:pt>
                <c:pt idx="1">
                  <c:v>0.96568611120365122</c:v>
                </c:pt>
              </c:numCache>
            </c:numRef>
          </c:val>
        </c:ser>
        <c:ser>
          <c:idx val="1"/>
          <c:order val="1"/>
          <c:tx>
            <c:strRef>
              <c:f>SituationAnalysis!$D$322</c:f>
              <c:strCache>
                <c:ptCount val="1"/>
                <c:pt idx="0">
                  <c:v>% Projection latrine need coverage EOP</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SituationAnalysis!$B$323:$B$325</c:f>
              <c:strCache>
                <c:ptCount val="2"/>
                <c:pt idx="0">
                  <c:v>GCA</c:v>
                </c:pt>
                <c:pt idx="1">
                  <c:v>NGCA</c:v>
                </c:pt>
              </c:strCache>
            </c:strRef>
          </c:cat>
          <c:val>
            <c:numRef>
              <c:f>SituationAnalysis!$D$323:$D$325</c:f>
              <c:numCache>
                <c:formatCode>0%</c:formatCode>
                <c:ptCount val="2"/>
                <c:pt idx="0">
                  <c:v>1.4334484256739749E-2</c:v>
                </c:pt>
                <c:pt idx="1">
                  <c:v>1.948895625811555E-4</c:v>
                </c:pt>
              </c:numCache>
            </c:numRef>
          </c:val>
        </c:ser>
        <c:dLbls>
          <c:showLegendKey val="0"/>
          <c:showVal val="1"/>
          <c:showCatName val="0"/>
          <c:showSerName val="0"/>
          <c:showPercent val="0"/>
          <c:showBubbleSize val="0"/>
        </c:dLbls>
        <c:gapWidth val="150"/>
        <c:shape val="box"/>
        <c:axId val="104124416"/>
        <c:axId val="104125952"/>
        <c:axId val="0"/>
      </c:bar3DChart>
      <c:catAx>
        <c:axId val="1041244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125952"/>
        <c:crosses val="autoZero"/>
        <c:auto val="1"/>
        <c:lblAlgn val="ctr"/>
        <c:lblOffset val="100"/>
        <c:noMultiLvlLbl val="0"/>
      </c:catAx>
      <c:valAx>
        <c:axId val="1041259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124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2015.xlsx]Funds analysis!PivotTable5</c:name>
    <c:fmtId val="16"/>
  </c:pivotSource>
  <c:chart>
    <c:title>
      <c:tx>
        <c:rich>
          <a:bodyPr/>
          <a:lstStyle/>
          <a:p>
            <a:pPr>
              <a:defRPr sz="800"/>
            </a:pPr>
            <a:r>
              <a:rPr lang="en-US" sz="800"/>
              <a:t>APPROXIMATE FUND</a:t>
            </a:r>
            <a:r>
              <a:rPr lang="en-US" sz="800" baseline="0"/>
              <a:t> </a:t>
            </a:r>
            <a:r>
              <a:rPr lang="en-US" sz="800"/>
              <a:t>ENGAGED PER YEAR (US$)</a:t>
            </a:r>
          </a:p>
        </c:rich>
      </c:tx>
      <c:layout>
        <c:manualLayout>
          <c:xMode val="edge"/>
          <c:yMode val="edge"/>
          <c:x val="0.16547852654064929"/>
          <c:y val="1.8912515468799563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3.4089458964377171E-2"/>
          <c:y val="0.13786404730809382"/>
          <c:w val="0.84323099191474149"/>
          <c:h val="0.74265650851137655"/>
        </c:manualLayout>
      </c:layout>
      <c:bar3DChart>
        <c:barDir val="col"/>
        <c:grouping val="stacked"/>
        <c:varyColors val="0"/>
        <c:ser>
          <c:idx val="0"/>
          <c:order val="0"/>
          <c:tx>
            <c:strRef>
              <c:f>'Funds analysis'!$C$69:$C$70</c:f>
              <c:strCache>
                <c:ptCount val="1"/>
                <c:pt idx="0">
                  <c:v>ECHO</c:v>
                </c:pt>
              </c:strCache>
            </c:strRef>
          </c:tx>
          <c:invertIfNegative val="0"/>
          <c:cat>
            <c:strRef>
              <c:f>'Funds analysis'!$B$71:$B$73</c:f>
              <c:strCache>
                <c:ptCount val="3"/>
                <c:pt idx="0">
                  <c:v>Before 2014</c:v>
                </c:pt>
                <c:pt idx="1">
                  <c:v>2014</c:v>
                </c:pt>
                <c:pt idx="2">
                  <c:v>2015</c:v>
                </c:pt>
              </c:strCache>
            </c:strRef>
          </c:cat>
          <c:val>
            <c:numRef>
              <c:f>'Funds analysis'!$C$71:$C$73</c:f>
              <c:numCache>
                <c:formatCode>#,##0</c:formatCode>
                <c:ptCount val="3"/>
                <c:pt idx="0">
                  <c:v>2174530.0636635181</c:v>
                </c:pt>
                <c:pt idx="1">
                  <c:v>1331418.2826844642</c:v>
                </c:pt>
                <c:pt idx="2">
                  <c:v>816590.65365201782</c:v>
                </c:pt>
              </c:numCache>
            </c:numRef>
          </c:val>
        </c:ser>
        <c:ser>
          <c:idx val="1"/>
          <c:order val="1"/>
          <c:tx>
            <c:strRef>
              <c:f>'Funds analysis'!$D$69:$D$70</c:f>
              <c:strCache>
                <c:ptCount val="1"/>
                <c:pt idx="0">
                  <c:v>Germany</c:v>
                </c:pt>
              </c:strCache>
            </c:strRef>
          </c:tx>
          <c:invertIfNegative val="0"/>
          <c:cat>
            <c:strRef>
              <c:f>'Funds analysis'!$B$71:$B$73</c:f>
              <c:strCache>
                <c:ptCount val="3"/>
                <c:pt idx="0">
                  <c:v>Before 2014</c:v>
                </c:pt>
                <c:pt idx="1">
                  <c:v>2014</c:v>
                </c:pt>
                <c:pt idx="2">
                  <c:v>2015</c:v>
                </c:pt>
              </c:strCache>
            </c:strRef>
          </c:cat>
          <c:val>
            <c:numRef>
              <c:f>'Funds analysis'!$D$71:$D$73</c:f>
              <c:numCache>
                <c:formatCode>#,##0</c:formatCode>
                <c:ptCount val="3"/>
                <c:pt idx="0">
                  <c:v>338770</c:v>
                </c:pt>
                <c:pt idx="1">
                  <c:v>0</c:v>
                </c:pt>
                <c:pt idx="2">
                  <c:v>0</c:v>
                </c:pt>
              </c:numCache>
            </c:numRef>
          </c:val>
        </c:ser>
        <c:ser>
          <c:idx val="2"/>
          <c:order val="2"/>
          <c:tx>
            <c:strRef>
              <c:f>'Funds analysis'!$E$69:$E$70</c:f>
              <c:strCache>
                <c:ptCount val="1"/>
                <c:pt idx="0">
                  <c:v>OFDA</c:v>
                </c:pt>
              </c:strCache>
            </c:strRef>
          </c:tx>
          <c:invertIfNegative val="0"/>
          <c:cat>
            <c:strRef>
              <c:f>'Funds analysis'!$B$71:$B$73</c:f>
              <c:strCache>
                <c:ptCount val="3"/>
                <c:pt idx="0">
                  <c:v>Before 2014</c:v>
                </c:pt>
                <c:pt idx="1">
                  <c:v>2014</c:v>
                </c:pt>
                <c:pt idx="2">
                  <c:v>2015</c:v>
                </c:pt>
              </c:strCache>
            </c:strRef>
          </c:cat>
          <c:val>
            <c:numRef>
              <c:f>'Funds analysis'!$E$71:$E$73</c:f>
              <c:numCache>
                <c:formatCode>#,##0</c:formatCode>
                <c:ptCount val="3"/>
                <c:pt idx="0">
                  <c:v>1067394.5833333333</c:v>
                </c:pt>
                <c:pt idx="1">
                  <c:v>968695.31498302927</c:v>
                </c:pt>
                <c:pt idx="2">
                  <c:v>1725089.1016836374</c:v>
                </c:pt>
              </c:numCache>
            </c:numRef>
          </c:val>
        </c:ser>
        <c:ser>
          <c:idx val="3"/>
          <c:order val="3"/>
          <c:tx>
            <c:strRef>
              <c:f>'Funds analysis'!$F$69:$F$70</c:f>
              <c:strCache>
                <c:ptCount val="1"/>
                <c:pt idx="0">
                  <c:v>CERF</c:v>
                </c:pt>
              </c:strCache>
            </c:strRef>
          </c:tx>
          <c:invertIfNegative val="0"/>
          <c:cat>
            <c:strRef>
              <c:f>'Funds analysis'!$B$71:$B$73</c:f>
              <c:strCache>
                <c:ptCount val="3"/>
                <c:pt idx="0">
                  <c:v>Before 2014</c:v>
                </c:pt>
                <c:pt idx="1">
                  <c:v>2014</c:v>
                </c:pt>
                <c:pt idx="2">
                  <c:v>2015</c:v>
                </c:pt>
              </c:strCache>
            </c:strRef>
          </c:cat>
          <c:val>
            <c:numRef>
              <c:f>'Funds analysis'!$F$71:$F$73</c:f>
              <c:numCache>
                <c:formatCode>#,##0</c:formatCode>
                <c:ptCount val="3"/>
                <c:pt idx="0">
                  <c:v>1172664.4566898956</c:v>
                </c:pt>
                <c:pt idx="1">
                  <c:v>1022388.1533101045</c:v>
                </c:pt>
                <c:pt idx="2">
                  <c:v>0</c:v>
                </c:pt>
              </c:numCache>
            </c:numRef>
          </c:val>
        </c:ser>
        <c:ser>
          <c:idx val="4"/>
          <c:order val="4"/>
          <c:tx>
            <c:strRef>
              <c:f>'Funds analysis'!$G$69:$G$70</c:f>
              <c:strCache>
                <c:ptCount val="1"/>
                <c:pt idx="0">
                  <c:v>Canada</c:v>
                </c:pt>
              </c:strCache>
            </c:strRef>
          </c:tx>
          <c:invertIfNegative val="0"/>
          <c:cat>
            <c:strRef>
              <c:f>'Funds analysis'!$B$71:$B$73</c:f>
              <c:strCache>
                <c:ptCount val="3"/>
                <c:pt idx="0">
                  <c:v>Before 2014</c:v>
                </c:pt>
                <c:pt idx="1">
                  <c:v>2014</c:v>
                </c:pt>
                <c:pt idx="2">
                  <c:v>2015</c:v>
                </c:pt>
              </c:strCache>
            </c:strRef>
          </c:cat>
          <c:val>
            <c:numRef>
              <c:f>'Funds analysis'!$G$71:$G$73</c:f>
              <c:numCache>
                <c:formatCode>#,##0</c:formatCode>
                <c:ptCount val="3"/>
                <c:pt idx="0">
                  <c:v>292113</c:v>
                </c:pt>
                <c:pt idx="1">
                  <c:v>0</c:v>
                </c:pt>
                <c:pt idx="2">
                  <c:v>0</c:v>
                </c:pt>
              </c:numCache>
            </c:numRef>
          </c:val>
        </c:ser>
        <c:ser>
          <c:idx val="5"/>
          <c:order val="5"/>
          <c:tx>
            <c:strRef>
              <c:f>'Funds analysis'!$H$69:$H$70</c:f>
              <c:strCache>
                <c:ptCount val="1"/>
                <c:pt idx="0">
                  <c:v>Australian</c:v>
                </c:pt>
              </c:strCache>
            </c:strRef>
          </c:tx>
          <c:invertIfNegative val="0"/>
          <c:cat>
            <c:strRef>
              <c:f>'Funds analysis'!$B$71:$B$73</c:f>
              <c:strCache>
                <c:ptCount val="3"/>
                <c:pt idx="0">
                  <c:v>Before 2014</c:v>
                </c:pt>
                <c:pt idx="1">
                  <c:v>2014</c:v>
                </c:pt>
                <c:pt idx="2">
                  <c:v>2015</c:v>
                </c:pt>
              </c:strCache>
            </c:strRef>
          </c:cat>
          <c:val>
            <c:numRef>
              <c:f>'Funds analysis'!$H$71:$H$73</c:f>
              <c:numCache>
                <c:formatCode>#,##0</c:formatCode>
                <c:ptCount val="3"/>
                <c:pt idx="0">
                  <c:v>414065.16519823787</c:v>
                </c:pt>
                <c:pt idx="1">
                  <c:v>100963.83480176212</c:v>
                </c:pt>
                <c:pt idx="2">
                  <c:v>0</c:v>
                </c:pt>
              </c:numCache>
            </c:numRef>
          </c:val>
        </c:ser>
        <c:ser>
          <c:idx val="6"/>
          <c:order val="6"/>
          <c:tx>
            <c:strRef>
              <c:f>'Funds analysis'!$I$69:$I$70</c:f>
              <c:strCache>
                <c:ptCount val="1"/>
                <c:pt idx="0">
                  <c:v>France</c:v>
                </c:pt>
              </c:strCache>
            </c:strRef>
          </c:tx>
          <c:invertIfNegative val="0"/>
          <c:cat>
            <c:strRef>
              <c:f>'Funds analysis'!$B$71:$B$73</c:f>
              <c:strCache>
                <c:ptCount val="3"/>
                <c:pt idx="0">
                  <c:v>Before 2014</c:v>
                </c:pt>
                <c:pt idx="1">
                  <c:v>2014</c:v>
                </c:pt>
                <c:pt idx="2">
                  <c:v>2015</c:v>
                </c:pt>
              </c:strCache>
            </c:strRef>
          </c:cat>
          <c:val>
            <c:numRef>
              <c:f>'Funds analysis'!$I$71:$I$73</c:f>
              <c:numCache>
                <c:formatCode>#,##0</c:formatCode>
                <c:ptCount val="3"/>
                <c:pt idx="0">
                  <c:v>197000</c:v>
                </c:pt>
                <c:pt idx="1">
                  <c:v>0</c:v>
                </c:pt>
                <c:pt idx="2">
                  <c:v>0</c:v>
                </c:pt>
              </c:numCache>
            </c:numRef>
          </c:val>
        </c:ser>
        <c:ser>
          <c:idx val="7"/>
          <c:order val="7"/>
          <c:tx>
            <c:strRef>
              <c:f>'Funds analysis'!$J$69:$J$70</c:f>
              <c:strCache>
                <c:ptCount val="1"/>
                <c:pt idx="0">
                  <c:v>Irland</c:v>
                </c:pt>
              </c:strCache>
            </c:strRef>
          </c:tx>
          <c:invertIfNegative val="0"/>
          <c:cat>
            <c:strRef>
              <c:f>'Funds analysis'!$B$71:$B$73</c:f>
              <c:strCache>
                <c:ptCount val="3"/>
                <c:pt idx="0">
                  <c:v>Before 2014</c:v>
                </c:pt>
                <c:pt idx="1">
                  <c:v>2014</c:v>
                </c:pt>
                <c:pt idx="2">
                  <c:v>2015</c:v>
                </c:pt>
              </c:strCache>
            </c:strRef>
          </c:cat>
          <c:val>
            <c:numRef>
              <c:f>'Funds analysis'!$J$71:$J$73</c:f>
              <c:numCache>
                <c:formatCode>#,##0</c:formatCode>
                <c:ptCount val="3"/>
                <c:pt idx="0">
                  <c:v>165239.41391941393</c:v>
                </c:pt>
                <c:pt idx="1">
                  <c:v>79925.586080586087</c:v>
                </c:pt>
                <c:pt idx="2">
                  <c:v>0</c:v>
                </c:pt>
              </c:numCache>
            </c:numRef>
          </c:val>
        </c:ser>
        <c:ser>
          <c:idx val="8"/>
          <c:order val="8"/>
          <c:tx>
            <c:strRef>
              <c:f>'Funds analysis'!$K$69:$K$70</c:f>
              <c:strCache>
                <c:ptCount val="1"/>
                <c:pt idx="0">
                  <c:v>Sweden</c:v>
                </c:pt>
              </c:strCache>
            </c:strRef>
          </c:tx>
          <c:invertIfNegative val="0"/>
          <c:cat>
            <c:strRef>
              <c:f>'Funds analysis'!$B$71:$B$73</c:f>
              <c:strCache>
                <c:ptCount val="3"/>
                <c:pt idx="0">
                  <c:v>Before 2014</c:v>
                </c:pt>
                <c:pt idx="1">
                  <c:v>2014</c:v>
                </c:pt>
                <c:pt idx="2">
                  <c:v>2015</c:v>
                </c:pt>
              </c:strCache>
            </c:strRef>
          </c:cat>
          <c:val>
            <c:numRef>
              <c:f>'Funds analysis'!$K$71:$K$73</c:f>
              <c:numCache>
                <c:formatCode>#,##0</c:formatCode>
                <c:ptCount val="3"/>
                <c:pt idx="0">
                  <c:v>106270</c:v>
                </c:pt>
                <c:pt idx="1">
                  <c:v>50000</c:v>
                </c:pt>
                <c:pt idx="2">
                  <c:v>0</c:v>
                </c:pt>
              </c:numCache>
            </c:numRef>
          </c:val>
        </c:ser>
        <c:ser>
          <c:idx val="9"/>
          <c:order val="9"/>
          <c:tx>
            <c:strRef>
              <c:f>'Funds analysis'!$L$69:$L$70</c:f>
              <c:strCache>
                <c:ptCount val="1"/>
                <c:pt idx="0">
                  <c:v>CIDA</c:v>
                </c:pt>
              </c:strCache>
            </c:strRef>
          </c:tx>
          <c:invertIfNegative val="0"/>
          <c:cat>
            <c:strRef>
              <c:f>'Funds analysis'!$B$71:$B$73</c:f>
              <c:strCache>
                <c:ptCount val="3"/>
                <c:pt idx="0">
                  <c:v>Before 2014</c:v>
                </c:pt>
                <c:pt idx="1">
                  <c:v>2014</c:v>
                </c:pt>
                <c:pt idx="2">
                  <c:v>2015</c:v>
                </c:pt>
              </c:strCache>
            </c:strRef>
          </c:cat>
          <c:val>
            <c:numRef>
              <c:f>'Funds analysis'!$L$71:$L$73</c:f>
              <c:numCache>
                <c:formatCode>#,##0</c:formatCode>
                <c:ptCount val="3"/>
                <c:pt idx="0">
                  <c:v>153948.79955947137</c:v>
                </c:pt>
                <c:pt idx="1">
                  <c:v>37538.200440528635</c:v>
                </c:pt>
                <c:pt idx="2">
                  <c:v>0</c:v>
                </c:pt>
              </c:numCache>
            </c:numRef>
          </c:val>
        </c:ser>
        <c:ser>
          <c:idx val="10"/>
          <c:order val="10"/>
          <c:tx>
            <c:strRef>
              <c:f>'Funds analysis'!$M$69:$M$70</c:f>
              <c:strCache>
                <c:ptCount val="1"/>
                <c:pt idx="0">
                  <c:v>Japan</c:v>
                </c:pt>
              </c:strCache>
            </c:strRef>
          </c:tx>
          <c:invertIfNegative val="0"/>
          <c:cat>
            <c:strRef>
              <c:f>'Funds analysis'!$B$71:$B$73</c:f>
              <c:strCache>
                <c:ptCount val="3"/>
                <c:pt idx="0">
                  <c:v>Before 2014</c:v>
                </c:pt>
                <c:pt idx="1">
                  <c:v>2014</c:v>
                </c:pt>
                <c:pt idx="2">
                  <c:v>2015</c:v>
                </c:pt>
              </c:strCache>
            </c:strRef>
          </c:cat>
          <c:val>
            <c:numRef>
              <c:f>'Funds analysis'!$M$71:$M$73</c:f>
              <c:numCache>
                <c:formatCode>#,##0</c:formatCode>
                <c:ptCount val="3"/>
                <c:pt idx="0">
                  <c:v>0</c:v>
                </c:pt>
                <c:pt idx="1">
                  <c:v>564560.43956043955</c:v>
                </c:pt>
                <c:pt idx="2">
                  <c:v>185439.56043956045</c:v>
                </c:pt>
              </c:numCache>
            </c:numRef>
          </c:val>
        </c:ser>
        <c:ser>
          <c:idx val="11"/>
          <c:order val="11"/>
          <c:tx>
            <c:strRef>
              <c:f>'Funds analysis'!$N$69:$N$70</c:f>
              <c:strCache>
                <c:ptCount val="1"/>
                <c:pt idx="0">
                  <c:v>SC seed funding</c:v>
                </c:pt>
              </c:strCache>
            </c:strRef>
          </c:tx>
          <c:invertIfNegative val="0"/>
          <c:cat>
            <c:strRef>
              <c:f>'Funds analysis'!$B$71:$B$73</c:f>
              <c:strCache>
                <c:ptCount val="3"/>
                <c:pt idx="0">
                  <c:v>Before 2014</c:v>
                </c:pt>
                <c:pt idx="1">
                  <c:v>2014</c:v>
                </c:pt>
                <c:pt idx="2">
                  <c:v>2015</c:v>
                </c:pt>
              </c:strCache>
            </c:strRef>
          </c:cat>
          <c:val>
            <c:numRef>
              <c:f>'Funds analysis'!$N$71:$N$73</c:f>
              <c:numCache>
                <c:formatCode>#,##0</c:formatCode>
                <c:ptCount val="3"/>
                <c:pt idx="0">
                  <c:v>0</c:v>
                </c:pt>
                <c:pt idx="1">
                  <c:v>17000</c:v>
                </c:pt>
                <c:pt idx="2">
                  <c:v>0</c:v>
                </c:pt>
              </c:numCache>
            </c:numRef>
          </c:val>
        </c:ser>
        <c:ser>
          <c:idx val="12"/>
          <c:order val="12"/>
          <c:tx>
            <c:strRef>
              <c:f>'Funds analysis'!$O$69:$O$70</c:f>
              <c:strCache>
                <c:ptCount val="1"/>
                <c:pt idx="0">
                  <c:v>SIDA</c:v>
                </c:pt>
              </c:strCache>
            </c:strRef>
          </c:tx>
          <c:invertIfNegative val="0"/>
          <c:cat>
            <c:strRef>
              <c:f>'Funds analysis'!$B$71:$B$73</c:f>
              <c:strCache>
                <c:ptCount val="3"/>
                <c:pt idx="0">
                  <c:v>Before 2014</c:v>
                </c:pt>
                <c:pt idx="1">
                  <c:v>2014</c:v>
                </c:pt>
                <c:pt idx="2">
                  <c:v>2015</c:v>
                </c:pt>
              </c:strCache>
            </c:strRef>
          </c:cat>
          <c:val>
            <c:numRef>
              <c:f>'Funds analysis'!$O$71:$O$73</c:f>
              <c:numCache>
                <c:formatCode>#,##0</c:formatCode>
                <c:ptCount val="3"/>
                <c:pt idx="0">
                  <c:v>0</c:v>
                </c:pt>
                <c:pt idx="1">
                  <c:v>80400</c:v>
                </c:pt>
                <c:pt idx="2">
                  <c:v>0</c:v>
                </c:pt>
              </c:numCache>
            </c:numRef>
          </c:val>
        </c:ser>
        <c:ser>
          <c:idx val="13"/>
          <c:order val="13"/>
          <c:tx>
            <c:strRef>
              <c:f>'Funds analysis'!$P$69:$P$70</c:f>
              <c:strCache>
                <c:ptCount val="1"/>
                <c:pt idx="0">
                  <c:v>Start fund</c:v>
                </c:pt>
              </c:strCache>
            </c:strRef>
          </c:tx>
          <c:invertIfNegative val="0"/>
          <c:cat>
            <c:strRef>
              <c:f>'Funds analysis'!$B$71:$B$73</c:f>
              <c:strCache>
                <c:ptCount val="3"/>
                <c:pt idx="0">
                  <c:v>Before 2014</c:v>
                </c:pt>
                <c:pt idx="1">
                  <c:v>2014</c:v>
                </c:pt>
                <c:pt idx="2">
                  <c:v>2015</c:v>
                </c:pt>
              </c:strCache>
            </c:strRef>
          </c:cat>
          <c:val>
            <c:numRef>
              <c:f>'Funds analysis'!$P$71:$P$73</c:f>
              <c:numCache>
                <c:formatCode>#,##0</c:formatCode>
                <c:ptCount val="3"/>
                <c:pt idx="0">
                  <c:v>0</c:v>
                </c:pt>
                <c:pt idx="1">
                  <c:v>43482</c:v>
                </c:pt>
                <c:pt idx="2">
                  <c:v>0</c:v>
                </c:pt>
              </c:numCache>
            </c:numRef>
          </c:val>
        </c:ser>
        <c:ser>
          <c:idx val="14"/>
          <c:order val="14"/>
          <c:tx>
            <c:strRef>
              <c:f>'Funds analysis'!$Q$69:$Q$70</c:f>
              <c:strCache>
                <c:ptCount val="1"/>
                <c:pt idx="0">
                  <c:v>DFAT</c:v>
                </c:pt>
              </c:strCache>
            </c:strRef>
          </c:tx>
          <c:invertIfNegative val="0"/>
          <c:cat>
            <c:strRef>
              <c:f>'Funds analysis'!$B$71:$B$73</c:f>
              <c:strCache>
                <c:ptCount val="3"/>
                <c:pt idx="0">
                  <c:v>Before 2014</c:v>
                </c:pt>
                <c:pt idx="1">
                  <c:v>2014</c:v>
                </c:pt>
                <c:pt idx="2">
                  <c:v>2015</c:v>
                </c:pt>
              </c:strCache>
            </c:strRef>
          </c:cat>
          <c:val>
            <c:numRef>
              <c:f>'Funds analysis'!$Q$71:$Q$73</c:f>
              <c:numCache>
                <c:formatCode>#,##0</c:formatCode>
                <c:ptCount val="3"/>
                <c:pt idx="0">
                  <c:v>0</c:v>
                </c:pt>
                <c:pt idx="1">
                  <c:v>939498.21854084812</c:v>
                </c:pt>
                <c:pt idx="2">
                  <c:v>581410.78278552473</c:v>
                </c:pt>
              </c:numCache>
            </c:numRef>
          </c:val>
        </c:ser>
        <c:ser>
          <c:idx val="15"/>
          <c:order val="15"/>
          <c:tx>
            <c:strRef>
              <c:f>'Funds analysis'!$R$69:$R$70</c:f>
              <c:strCache>
                <c:ptCount val="1"/>
                <c:pt idx="0">
                  <c:v>ERF</c:v>
                </c:pt>
              </c:strCache>
            </c:strRef>
          </c:tx>
          <c:invertIfNegative val="0"/>
          <c:cat>
            <c:strRef>
              <c:f>'Funds analysis'!$B$71:$B$73</c:f>
              <c:strCache>
                <c:ptCount val="3"/>
                <c:pt idx="0">
                  <c:v>Before 2014</c:v>
                </c:pt>
                <c:pt idx="1">
                  <c:v>2014</c:v>
                </c:pt>
                <c:pt idx="2">
                  <c:v>2015</c:v>
                </c:pt>
              </c:strCache>
            </c:strRef>
          </c:cat>
          <c:val>
            <c:numRef>
              <c:f>'Funds analysis'!$R$71:$R$73</c:f>
              <c:numCache>
                <c:formatCode>#,##0</c:formatCode>
                <c:ptCount val="3"/>
                <c:pt idx="0">
                  <c:v>0</c:v>
                </c:pt>
                <c:pt idx="1">
                  <c:v>161000.81218274112</c:v>
                </c:pt>
                <c:pt idx="2">
                  <c:v>185134.18781725888</c:v>
                </c:pt>
              </c:numCache>
            </c:numRef>
          </c:val>
        </c:ser>
        <c:dLbls>
          <c:showLegendKey val="0"/>
          <c:showVal val="0"/>
          <c:showCatName val="0"/>
          <c:showSerName val="0"/>
          <c:showPercent val="0"/>
          <c:showBubbleSize val="0"/>
        </c:dLbls>
        <c:gapWidth val="150"/>
        <c:shape val="box"/>
        <c:axId val="85435904"/>
        <c:axId val="85437440"/>
        <c:axId val="0"/>
      </c:bar3DChart>
      <c:catAx>
        <c:axId val="85435904"/>
        <c:scaling>
          <c:orientation val="minMax"/>
        </c:scaling>
        <c:delete val="0"/>
        <c:axPos val="b"/>
        <c:numFmt formatCode="General" sourceLinked="1"/>
        <c:majorTickMark val="out"/>
        <c:minorTickMark val="none"/>
        <c:tickLblPos val="nextTo"/>
        <c:crossAx val="85437440"/>
        <c:crosses val="autoZero"/>
        <c:auto val="0"/>
        <c:lblAlgn val="ctr"/>
        <c:lblOffset val="100"/>
        <c:noMultiLvlLbl val="0"/>
      </c:catAx>
      <c:valAx>
        <c:axId val="85437440"/>
        <c:scaling>
          <c:orientation val="minMax"/>
          <c:max val="8000000"/>
        </c:scaling>
        <c:delete val="0"/>
        <c:axPos val="l"/>
        <c:majorGridlines/>
        <c:numFmt formatCode="#,##0" sourceLinked="0"/>
        <c:majorTickMark val="out"/>
        <c:minorTickMark val="none"/>
        <c:tickLblPos val="nextTo"/>
        <c:crossAx val="85435904"/>
        <c:crosses val="autoZero"/>
        <c:crossBetween val="between"/>
        <c:dispUnits>
          <c:builtInUnit val="millions"/>
          <c:dispUnitsLbl/>
        </c:dispUnits>
      </c:valAx>
      <c:spPr>
        <a:noFill/>
        <a:ln w="25400">
          <a:noFill/>
        </a:ln>
      </c:spPr>
    </c:plotArea>
    <c:legend>
      <c:legendPos val="r"/>
      <c:layout>
        <c:manualLayout>
          <c:xMode val="edge"/>
          <c:yMode val="edge"/>
          <c:x val="0.78578589902044471"/>
          <c:y val="2.3662981952694888E-2"/>
          <c:w val="0.19893987496407708"/>
          <c:h val="0.96936470328943747"/>
        </c:manualLayout>
      </c:layout>
      <c:overlay val="0"/>
    </c:legend>
    <c:plotVisOnly val="1"/>
    <c:dispBlanksAs val="gap"/>
    <c:showDLblsOverMax val="0"/>
  </c:chart>
  <c:spPr>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2015.xlsx]SituationAnalysis!PivotTable11</c:name>
    <c:fmtId val="3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 coverage</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SituationAnalysis!$C$589:$C$590</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SituationAnalysis!$B$591:$B$593</c:f>
              <c:strCache>
                <c:ptCount val="2"/>
                <c:pt idx="0">
                  <c:v>GCA</c:v>
                </c:pt>
                <c:pt idx="1">
                  <c:v>NGCA</c:v>
                </c:pt>
              </c:strCache>
            </c:strRef>
          </c:cat>
          <c:val>
            <c:numRef>
              <c:f>SituationAnalysis!$C$591:$C$593</c:f>
              <c:numCache>
                <c:formatCode>0</c:formatCode>
                <c:ptCount val="2"/>
                <c:pt idx="0">
                  <c:v>132</c:v>
                </c:pt>
                <c:pt idx="1">
                  <c:v>26</c:v>
                </c:pt>
              </c:numCache>
            </c:numRef>
          </c:val>
        </c:ser>
        <c:ser>
          <c:idx val="1"/>
          <c:order val="1"/>
          <c:tx>
            <c:strRef>
              <c:f>SituationAnalysis!$D$589:$D$590</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SituationAnalysis!$B$591:$B$593</c:f>
              <c:strCache>
                <c:ptCount val="2"/>
                <c:pt idx="0">
                  <c:v>GCA</c:v>
                </c:pt>
                <c:pt idx="1">
                  <c:v>NGCA</c:v>
                </c:pt>
              </c:strCache>
            </c:strRef>
          </c:cat>
          <c:val>
            <c:numRef>
              <c:f>SituationAnalysis!$D$591:$D$593</c:f>
              <c:numCache>
                <c:formatCode>0</c:formatCode>
                <c:ptCount val="2"/>
                <c:pt idx="0">
                  <c:v>10</c:v>
                </c:pt>
              </c:numCache>
            </c:numRef>
          </c:val>
        </c:ser>
        <c:dLbls>
          <c:showLegendKey val="0"/>
          <c:showVal val="1"/>
          <c:showCatName val="0"/>
          <c:showSerName val="0"/>
          <c:showPercent val="0"/>
          <c:showBubbleSize val="0"/>
        </c:dLbls>
        <c:gapWidth val="150"/>
        <c:shape val="box"/>
        <c:axId val="104162432"/>
        <c:axId val="104163968"/>
        <c:axId val="0"/>
      </c:bar3DChart>
      <c:catAx>
        <c:axId val="1041624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163968"/>
        <c:crosses val="autoZero"/>
        <c:auto val="1"/>
        <c:lblAlgn val="ctr"/>
        <c:lblOffset val="100"/>
        <c:noMultiLvlLbl val="0"/>
      </c:catAx>
      <c:valAx>
        <c:axId val="104163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162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2015.xlsx]SituationAnalysis!PivotTable14</c:name>
    <c:fmtId val="4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 coverage</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SituationAnalysis!$C$610:$C$611</c:f>
              <c:strCache>
                <c:ptCount val="1"/>
                <c:pt idx="0">
                  <c:v>Covered</c:v>
                </c:pt>
              </c:strCache>
            </c:strRef>
          </c:tx>
          <c:spPr>
            <a:solidFill>
              <a:schemeClr val="accent1"/>
            </a:solidFill>
            <a:ln>
              <a:noFill/>
            </a:ln>
            <a:effectLst/>
            <a:sp3d/>
          </c:spPr>
          <c:invertIfNegative val="0"/>
          <c:cat>
            <c:strRef>
              <c:f>SituationAnalysis!$B$612:$B$622</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SituationAnalysis!$C$612:$C$622</c:f>
              <c:numCache>
                <c:formatCode>0</c:formatCode>
                <c:ptCount val="10"/>
                <c:pt idx="0">
                  <c:v>21</c:v>
                </c:pt>
                <c:pt idx="1">
                  <c:v>40</c:v>
                </c:pt>
                <c:pt idx="2">
                  <c:v>5</c:v>
                </c:pt>
                <c:pt idx="3">
                  <c:v>24</c:v>
                </c:pt>
                <c:pt idx="4">
                  <c:v>13</c:v>
                </c:pt>
                <c:pt idx="5">
                  <c:v>20</c:v>
                </c:pt>
                <c:pt idx="6">
                  <c:v>12</c:v>
                </c:pt>
                <c:pt idx="7">
                  <c:v>10</c:v>
                </c:pt>
                <c:pt idx="8">
                  <c:v>4</c:v>
                </c:pt>
                <c:pt idx="9">
                  <c:v>9</c:v>
                </c:pt>
              </c:numCache>
            </c:numRef>
          </c:val>
        </c:ser>
        <c:ser>
          <c:idx val="1"/>
          <c:order val="1"/>
          <c:tx>
            <c:strRef>
              <c:f>SituationAnalysis!$D$610:$D$611</c:f>
              <c:strCache>
                <c:ptCount val="1"/>
                <c:pt idx="0">
                  <c:v>Not covered</c:v>
                </c:pt>
              </c:strCache>
            </c:strRef>
          </c:tx>
          <c:spPr>
            <a:solidFill>
              <a:schemeClr val="accent2"/>
            </a:solidFill>
            <a:ln>
              <a:noFill/>
            </a:ln>
            <a:effectLst/>
            <a:sp3d/>
          </c:spPr>
          <c:invertIfNegative val="0"/>
          <c:cat>
            <c:strRef>
              <c:f>SituationAnalysis!$B$612:$B$622</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SituationAnalysis!$D$612:$D$622</c:f>
              <c:numCache>
                <c:formatCode>0</c:formatCode>
                <c:ptCount val="10"/>
                <c:pt idx="0">
                  <c:v>1</c:v>
                </c:pt>
                <c:pt idx="3">
                  <c:v>7</c:v>
                </c:pt>
                <c:pt idx="9">
                  <c:v>2</c:v>
                </c:pt>
              </c:numCache>
            </c:numRef>
          </c:val>
        </c:ser>
        <c:dLbls>
          <c:showLegendKey val="0"/>
          <c:showVal val="0"/>
          <c:showCatName val="0"/>
          <c:showSerName val="0"/>
          <c:showPercent val="0"/>
          <c:showBubbleSize val="0"/>
        </c:dLbls>
        <c:gapWidth val="150"/>
        <c:shape val="box"/>
        <c:axId val="105779968"/>
        <c:axId val="105781504"/>
        <c:axId val="0"/>
      </c:bar3DChart>
      <c:catAx>
        <c:axId val="1057799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781504"/>
        <c:crosses val="autoZero"/>
        <c:auto val="1"/>
        <c:lblAlgn val="ctr"/>
        <c:lblOffset val="100"/>
        <c:noMultiLvlLbl val="0"/>
      </c:catAx>
      <c:valAx>
        <c:axId val="105781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77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2015.xlsx]SituationAnalysis!PivotTable17</c:name>
    <c:fmtId val="4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Population covered</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SituationAnalysis!$C$630:$C$631</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SituationAnalysis!$B$632:$B$634</c:f>
              <c:strCache>
                <c:ptCount val="2"/>
                <c:pt idx="0">
                  <c:v>GCA</c:v>
                </c:pt>
                <c:pt idx="1">
                  <c:v>NGCA</c:v>
                </c:pt>
              </c:strCache>
            </c:strRef>
          </c:cat>
          <c:val>
            <c:numRef>
              <c:f>SituationAnalysis!$C$632:$C$634</c:f>
              <c:numCache>
                <c:formatCode>0</c:formatCode>
                <c:ptCount val="2"/>
                <c:pt idx="0">
                  <c:v>46155</c:v>
                </c:pt>
                <c:pt idx="1">
                  <c:v>36299</c:v>
                </c:pt>
              </c:numCache>
            </c:numRef>
          </c:val>
        </c:ser>
        <c:ser>
          <c:idx val="1"/>
          <c:order val="1"/>
          <c:tx>
            <c:strRef>
              <c:f>SituationAnalysis!$D$630:$D$631</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SituationAnalysis!$B$632:$B$634</c:f>
              <c:strCache>
                <c:ptCount val="2"/>
                <c:pt idx="0">
                  <c:v>GCA</c:v>
                </c:pt>
                <c:pt idx="1">
                  <c:v>NGCA</c:v>
                </c:pt>
              </c:strCache>
            </c:strRef>
          </c:cat>
          <c:val>
            <c:numRef>
              <c:f>SituationAnalysis!$D$632:$D$634</c:f>
              <c:numCache>
                <c:formatCode>0</c:formatCode>
                <c:ptCount val="2"/>
                <c:pt idx="0">
                  <c:v>1106</c:v>
                </c:pt>
              </c:numCache>
            </c:numRef>
          </c:val>
        </c:ser>
        <c:dLbls>
          <c:showLegendKey val="0"/>
          <c:showVal val="1"/>
          <c:showCatName val="0"/>
          <c:showSerName val="0"/>
          <c:showPercent val="0"/>
          <c:showBubbleSize val="0"/>
        </c:dLbls>
        <c:gapWidth val="150"/>
        <c:shape val="box"/>
        <c:axId val="105830272"/>
        <c:axId val="105831808"/>
        <c:axId val="0"/>
      </c:bar3DChart>
      <c:catAx>
        <c:axId val="1058302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831808"/>
        <c:crosses val="autoZero"/>
        <c:auto val="1"/>
        <c:lblAlgn val="ctr"/>
        <c:lblOffset val="100"/>
        <c:noMultiLvlLbl val="0"/>
      </c:catAx>
      <c:valAx>
        <c:axId val="105831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830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2015.xlsx]SituationAnalysis!PivotTable22</c:name>
    <c:fmtId val="4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Population coverage</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SituationAnalysis!$C$646:$C$647</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SituationAnalysis!$B$648:$B$667</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SituationAnalysis!$C$648:$C$667</c:f>
              <c:numCache>
                <c:formatCode>0</c:formatCode>
                <c:ptCount val="19"/>
                <c:pt idx="0">
                  <c:v>8195</c:v>
                </c:pt>
                <c:pt idx="1">
                  <c:v>2561</c:v>
                </c:pt>
                <c:pt idx="2">
                  <c:v>3436</c:v>
                </c:pt>
                <c:pt idx="4">
                  <c:v>2830</c:v>
                </c:pt>
                <c:pt idx="5">
                  <c:v>35</c:v>
                </c:pt>
                <c:pt idx="6">
                  <c:v>10990</c:v>
                </c:pt>
                <c:pt idx="7">
                  <c:v>792</c:v>
                </c:pt>
                <c:pt idx="8">
                  <c:v>164</c:v>
                </c:pt>
                <c:pt idx="9">
                  <c:v>135</c:v>
                </c:pt>
                <c:pt idx="10">
                  <c:v>21384</c:v>
                </c:pt>
                <c:pt idx="11">
                  <c:v>506</c:v>
                </c:pt>
                <c:pt idx="12">
                  <c:v>6092</c:v>
                </c:pt>
                <c:pt idx="13">
                  <c:v>1713</c:v>
                </c:pt>
                <c:pt idx="14">
                  <c:v>47</c:v>
                </c:pt>
                <c:pt idx="15">
                  <c:v>221</c:v>
                </c:pt>
                <c:pt idx="16">
                  <c:v>453</c:v>
                </c:pt>
                <c:pt idx="17">
                  <c:v>22286</c:v>
                </c:pt>
                <c:pt idx="18">
                  <c:v>614</c:v>
                </c:pt>
              </c:numCache>
            </c:numRef>
          </c:val>
        </c:ser>
        <c:ser>
          <c:idx val="1"/>
          <c:order val="1"/>
          <c:tx>
            <c:strRef>
              <c:f>SituationAnalysis!$D$646:$D$647</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SituationAnalysis!$B$648:$B$667</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SituationAnalysis!$D$648:$D$667</c:f>
              <c:numCache>
                <c:formatCode>0</c:formatCode>
                <c:ptCount val="19"/>
                <c:pt idx="2">
                  <c:v>224</c:v>
                </c:pt>
                <c:pt idx="3">
                  <c:v>17</c:v>
                </c:pt>
                <c:pt idx="6">
                  <c:v>499</c:v>
                </c:pt>
                <c:pt idx="10">
                  <c:v>262</c:v>
                </c:pt>
                <c:pt idx="15">
                  <c:v>64</c:v>
                </c:pt>
                <c:pt idx="16">
                  <c:v>40</c:v>
                </c:pt>
              </c:numCache>
            </c:numRef>
          </c:val>
        </c:ser>
        <c:dLbls>
          <c:showLegendKey val="0"/>
          <c:showVal val="1"/>
          <c:showCatName val="0"/>
          <c:showSerName val="0"/>
          <c:showPercent val="0"/>
          <c:showBubbleSize val="0"/>
        </c:dLbls>
        <c:gapWidth val="150"/>
        <c:shape val="box"/>
        <c:axId val="105569280"/>
        <c:axId val="105575168"/>
        <c:axId val="0"/>
      </c:bar3DChart>
      <c:catAx>
        <c:axId val="1055692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575168"/>
        <c:crosses val="autoZero"/>
        <c:auto val="1"/>
        <c:lblAlgn val="ctr"/>
        <c:lblOffset val="100"/>
        <c:noMultiLvlLbl val="0"/>
      </c:catAx>
      <c:valAx>
        <c:axId val="105575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569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2015.xlsx]SituationAnalysis!PivotTable28</c:name>
    <c:fmtId val="4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 documented</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SituationAnalysis!$C$681:$C$682</c:f>
              <c:strCache>
                <c:ptCount val="1"/>
                <c:pt idx="0">
                  <c:v>Documented</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SituationAnalysis!$B$683:$B$685</c:f>
              <c:strCache>
                <c:ptCount val="2"/>
                <c:pt idx="0">
                  <c:v>GCA</c:v>
                </c:pt>
                <c:pt idx="1">
                  <c:v>NGCA</c:v>
                </c:pt>
              </c:strCache>
            </c:strRef>
          </c:cat>
          <c:val>
            <c:numRef>
              <c:f>SituationAnalysis!$C$683:$C$685</c:f>
              <c:numCache>
                <c:formatCode>0</c:formatCode>
                <c:ptCount val="2"/>
                <c:pt idx="0">
                  <c:v>135</c:v>
                </c:pt>
                <c:pt idx="1">
                  <c:v>31</c:v>
                </c:pt>
              </c:numCache>
            </c:numRef>
          </c:val>
        </c:ser>
        <c:ser>
          <c:idx val="1"/>
          <c:order val="1"/>
          <c:tx>
            <c:strRef>
              <c:f>SituationAnalysis!$D$681:$D$682</c:f>
              <c:strCache>
                <c:ptCount val="1"/>
                <c:pt idx="0">
                  <c:v>Not documented</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SituationAnalysis!$B$683:$B$685</c:f>
              <c:strCache>
                <c:ptCount val="2"/>
                <c:pt idx="0">
                  <c:v>GCA</c:v>
                </c:pt>
                <c:pt idx="1">
                  <c:v>NGCA</c:v>
                </c:pt>
              </c:strCache>
            </c:strRef>
          </c:cat>
          <c:val>
            <c:numRef>
              <c:f>SituationAnalysis!$D$683:$D$685</c:f>
              <c:numCache>
                <c:formatCode>0</c:formatCode>
                <c:ptCount val="2"/>
                <c:pt idx="0">
                  <c:v>9</c:v>
                </c:pt>
              </c:numCache>
            </c:numRef>
          </c:val>
        </c:ser>
        <c:dLbls>
          <c:showLegendKey val="0"/>
          <c:showVal val="1"/>
          <c:showCatName val="0"/>
          <c:showSerName val="0"/>
          <c:showPercent val="0"/>
          <c:showBubbleSize val="0"/>
        </c:dLbls>
        <c:gapWidth val="150"/>
        <c:shape val="box"/>
        <c:axId val="105636224"/>
        <c:axId val="105637760"/>
        <c:axId val="0"/>
      </c:bar3DChart>
      <c:catAx>
        <c:axId val="1056362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637760"/>
        <c:crosses val="autoZero"/>
        <c:auto val="1"/>
        <c:lblAlgn val="ctr"/>
        <c:lblOffset val="100"/>
        <c:noMultiLvlLbl val="0"/>
      </c:catAx>
      <c:valAx>
        <c:axId val="105637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636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2015.xlsx]SituationAnalysis!PivotTable29</c:name>
    <c:fmtId val="5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 documented</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SituationAnalysis!$C$698:$C$699</c:f>
              <c:strCache>
                <c:ptCount val="1"/>
                <c:pt idx="0">
                  <c:v>Documented</c:v>
                </c:pt>
              </c:strCache>
            </c:strRef>
          </c:tx>
          <c:spPr>
            <a:solidFill>
              <a:schemeClr val="accent1"/>
            </a:solidFill>
            <a:ln>
              <a:noFill/>
            </a:ln>
            <a:effectLst/>
            <a:sp3d/>
          </c:spPr>
          <c:invertIfNegative val="0"/>
          <c:cat>
            <c:strRef>
              <c:f>SituationAnalysis!$B$700:$B$710</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SituationAnalysis!$C$700:$C$710</c:f>
              <c:numCache>
                <c:formatCode>0</c:formatCode>
                <c:ptCount val="10"/>
                <c:pt idx="0">
                  <c:v>22</c:v>
                </c:pt>
                <c:pt idx="1">
                  <c:v>40</c:v>
                </c:pt>
                <c:pt idx="2">
                  <c:v>5</c:v>
                </c:pt>
                <c:pt idx="3">
                  <c:v>24</c:v>
                </c:pt>
                <c:pt idx="4">
                  <c:v>15</c:v>
                </c:pt>
                <c:pt idx="5">
                  <c:v>24</c:v>
                </c:pt>
                <c:pt idx="6">
                  <c:v>11</c:v>
                </c:pt>
                <c:pt idx="7">
                  <c:v>10</c:v>
                </c:pt>
                <c:pt idx="8">
                  <c:v>4</c:v>
                </c:pt>
                <c:pt idx="9">
                  <c:v>11</c:v>
                </c:pt>
              </c:numCache>
            </c:numRef>
          </c:val>
        </c:ser>
        <c:ser>
          <c:idx val="1"/>
          <c:order val="1"/>
          <c:tx>
            <c:strRef>
              <c:f>SituationAnalysis!$D$698:$D$699</c:f>
              <c:strCache>
                <c:ptCount val="1"/>
                <c:pt idx="0">
                  <c:v>Not documented</c:v>
                </c:pt>
              </c:strCache>
            </c:strRef>
          </c:tx>
          <c:spPr>
            <a:solidFill>
              <a:schemeClr val="accent2"/>
            </a:solidFill>
            <a:ln>
              <a:noFill/>
            </a:ln>
            <a:effectLst/>
            <a:sp3d/>
          </c:spPr>
          <c:invertIfNegative val="0"/>
          <c:cat>
            <c:strRef>
              <c:f>SituationAnalysis!$B$700:$B$710</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SituationAnalysis!$D$700:$D$710</c:f>
              <c:numCache>
                <c:formatCode>0</c:formatCode>
                <c:ptCount val="10"/>
                <c:pt idx="3">
                  <c:v>7</c:v>
                </c:pt>
                <c:pt idx="6">
                  <c:v>1</c:v>
                </c:pt>
                <c:pt idx="9">
                  <c:v>1</c:v>
                </c:pt>
              </c:numCache>
            </c:numRef>
          </c:val>
        </c:ser>
        <c:dLbls>
          <c:showLegendKey val="0"/>
          <c:showVal val="0"/>
          <c:showCatName val="0"/>
          <c:showSerName val="0"/>
          <c:showPercent val="0"/>
          <c:showBubbleSize val="0"/>
        </c:dLbls>
        <c:gapWidth val="150"/>
        <c:shape val="box"/>
        <c:axId val="105684992"/>
        <c:axId val="105686528"/>
        <c:axId val="0"/>
      </c:bar3DChart>
      <c:catAx>
        <c:axId val="1056849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686528"/>
        <c:crosses val="autoZero"/>
        <c:auto val="1"/>
        <c:lblAlgn val="ctr"/>
        <c:lblOffset val="100"/>
        <c:noMultiLvlLbl val="0"/>
      </c:catAx>
      <c:valAx>
        <c:axId val="105686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684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2015.xlsx]SituationAnalysis!PivotTable31</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Ranking Water Coverage</a:t>
            </a:r>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2"/>
          </a:solidFill>
          <a:ln w="25400">
            <a:solidFill>
              <a:schemeClr val="lt1"/>
            </a:solidFill>
          </a:ln>
          <a:effectLst/>
          <a:sp3d contourW="25400">
            <a:contourClr>
              <a:schemeClr val="lt1"/>
            </a:contourClr>
          </a:sp3d>
        </c:spPr>
      </c:pivotFmt>
      <c:pivotFmt>
        <c:idx val="3"/>
        <c:spPr>
          <a:solidFill>
            <a:schemeClr val="accent3"/>
          </a:solidFill>
          <a:ln w="25400">
            <a:solidFill>
              <a:schemeClr val="lt1"/>
            </a:solidFill>
          </a:ln>
          <a:effectLst/>
          <a:sp3d contourW="25400">
            <a:contourClr>
              <a:schemeClr val="lt1"/>
            </a:contourClr>
          </a:sp3d>
        </c:spPr>
      </c:pivotFmt>
      <c:pivotFmt>
        <c:idx val="4"/>
        <c:spPr>
          <a:solidFill>
            <a:schemeClr val="accent4"/>
          </a:solidFill>
          <a:ln w="25400">
            <a:solidFill>
              <a:schemeClr val="lt1"/>
            </a:solidFill>
          </a:ln>
          <a:effectLst/>
          <a:sp3d contourW="25400">
            <a:contourClr>
              <a:schemeClr val="lt1"/>
            </a:contourClr>
          </a:sp3d>
        </c:spPr>
      </c:pivotFmt>
      <c:pivotFmt>
        <c:idx val="5"/>
        <c:spPr>
          <a:solidFill>
            <a:schemeClr val="accent5"/>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SituationAnalysis!$C$161</c:f>
              <c:strCache>
                <c:ptCount val="1"/>
                <c:pt idx="0">
                  <c:v>Total</c:v>
                </c:pt>
              </c:strCache>
            </c:strRef>
          </c:tx>
          <c:explosion val="32"/>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SituationAnalysis!$B$162:$B$167</c:f>
              <c:strCache>
                <c:ptCount val="5"/>
                <c:pt idx="0">
                  <c:v>0-10%</c:v>
                </c:pt>
                <c:pt idx="1">
                  <c:v>15-30%</c:v>
                </c:pt>
                <c:pt idx="2">
                  <c:v>45-60%</c:v>
                </c:pt>
                <c:pt idx="3">
                  <c:v>60-80%</c:v>
                </c:pt>
                <c:pt idx="4">
                  <c:v>80-100%</c:v>
                </c:pt>
              </c:strCache>
            </c:strRef>
          </c:cat>
          <c:val>
            <c:numRef>
              <c:f>SituationAnalysis!$C$162:$C$167</c:f>
              <c:numCache>
                <c:formatCode>0</c:formatCode>
                <c:ptCount val="5"/>
                <c:pt idx="0">
                  <c:v>11</c:v>
                </c:pt>
                <c:pt idx="1">
                  <c:v>1</c:v>
                </c:pt>
                <c:pt idx="2">
                  <c:v>1</c:v>
                </c:pt>
                <c:pt idx="3">
                  <c:v>1</c:v>
                </c:pt>
                <c:pt idx="4">
                  <c:v>161</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79044488077713537"/>
          <c:y val="0.26062372411781859"/>
          <c:w val="0.19733338423049743"/>
          <c:h val="0.4560207057451152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2015.xlsx]SituationAnalysis!PivotTable16</c:name>
    <c:fmtId val="16"/>
  </c:pivotSource>
  <c:chart>
    <c:title>
      <c:tx>
        <c:rich>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Number of latrine missing</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60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60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60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lumMod val="60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SituationAnalysis!$C$221:$C$222</c:f>
              <c:strCache>
                <c:ptCount val="1"/>
                <c:pt idx="0">
                  <c:v>Cluster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SituationAnalysis!$C$223:$C$225</c:f>
              <c:numCache>
                <c:formatCode>0</c:formatCode>
                <c:ptCount val="2"/>
                <c:pt idx="0">
                  <c:v>48.7</c:v>
                </c:pt>
              </c:numCache>
            </c:numRef>
          </c:val>
        </c:ser>
        <c:ser>
          <c:idx val="1"/>
          <c:order val="1"/>
          <c:tx>
            <c:strRef>
              <c:f>SituationAnalysis!$D$221:$D$222</c:f>
              <c:strCache>
                <c:ptCount val="1"/>
                <c:pt idx="0">
                  <c:v>Cluster 10</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SituationAnalysis!$D$223:$D$225</c:f>
              <c:numCache>
                <c:formatCode>0</c:formatCode>
                <c:ptCount val="2"/>
                <c:pt idx="0">
                  <c:v>52.250000000000007</c:v>
                </c:pt>
                <c:pt idx="1">
                  <c:v>43.65</c:v>
                </c:pt>
              </c:numCache>
            </c:numRef>
          </c:val>
        </c:ser>
        <c:ser>
          <c:idx val="2"/>
          <c:order val="2"/>
          <c:tx>
            <c:strRef>
              <c:f>SituationAnalysis!$E$221:$E$222</c:f>
              <c:strCache>
                <c:ptCount val="1"/>
                <c:pt idx="0">
                  <c:v>Cluster 2</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SituationAnalysis!$E$223:$E$225</c:f>
              <c:numCache>
                <c:formatCode>0</c:formatCode>
                <c:ptCount val="2"/>
                <c:pt idx="0">
                  <c:v>110.75000000000001</c:v>
                </c:pt>
                <c:pt idx="1">
                  <c:v>0.39999999999999991</c:v>
                </c:pt>
              </c:numCache>
            </c:numRef>
          </c:val>
        </c:ser>
        <c:ser>
          <c:idx val="3"/>
          <c:order val="3"/>
          <c:tx>
            <c:strRef>
              <c:f>SituationAnalysis!$F$221:$F$222</c:f>
              <c:strCache>
                <c:ptCount val="1"/>
                <c:pt idx="0">
                  <c:v>Cluster 3</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SituationAnalysis!$F$223:$F$225</c:f>
              <c:numCache>
                <c:formatCode>0</c:formatCode>
                <c:ptCount val="2"/>
                <c:pt idx="0">
                  <c:v>0</c:v>
                </c:pt>
              </c:numCache>
            </c:numRef>
          </c:val>
        </c:ser>
        <c:ser>
          <c:idx val="4"/>
          <c:order val="4"/>
          <c:tx>
            <c:strRef>
              <c:f>SituationAnalysis!$G$221:$G$222</c:f>
              <c:strCache>
                <c:ptCount val="1"/>
                <c:pt idx="0">
                  <c:v>Cluster 4</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SituationAnalysis!$G$223:$G$225</c:f>
              <c:numCache>
                <c:formatCode>0</c:formatCode>
                <c:ptCount val="2"/>
                <c:pt idx="0">
                  <c:v>420.99999999999994</c:v>
                </c:pt>
              </c:numCache>
            </c:numRef>
          </c:val>
        </c:ser>
        <c:ser>
          <c:idx val="5"/>
          <c:order val="5"/>
          <c:tx>
            <c:strRef>
              <c:f>SituationAnalysis!$H$221:$H$222</c:f>
              <c:strCache>
                <c:ptCount val="1"/>
                <c:pt idx="0">
                  <c:v>Cluster 5</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SituationAnalysis!$H$223:$H$225</c:f>
              <c:numCache>
                <c:formatCode>0</c:formatCode>
                <c:ptCount val="2"/>
                <c:pt idx="1">
                  <c:v>496.8</c:v>
                </c:pt>
              </c:numCache>
            </c:numRef>
          </c:val>
        </c:ser>
        <c:ser>
          <c:idx val="6"/>
          <c:order val="6"/>
          <c:tx>
            <c:strRef>
              <c:f>SituationAnalysis!$I$221:$I$222</c:f>
              <c:strCache>
                <c:ptCount val="1"/>
                <c:pt idx="0">
                  <c:v>Cluster 6</c:v>
                </c:pt>
              </c:strCache>
            </c:strRef>
          </c:tx>
          <c:spPr>
            <a:solidFill>
              <a:schemeClr val="accent1">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SituationAnalysis!$I$223:$I$225</c:f>
              <c:numCache>
                <c:formatCode>0</c:formatCode>
                <c:ptCount val="2"/>
                <c:pt idx="0">
                  <c:v>85.749999999999986</c:v>
                </c:pt>
                <c:pt idx="1">
                  <c:v>174.85000000000005</c:v>
                </c:pt>
              </c:numCache>
            </c:numRef>
          </c:val>
        </c:ser>
        <c:ser>
          <c:idx val="7"/>
          <c:order val="7"/>
          <c:tx>
            <c:strRef>
              <c:f>SituationAnalysis!$J$221:$J$222</c:f>
              <c:strCache>
                <c:ptCount val="1"/>
                <c:pt idx="0">
                  <c:v>Cluster 7</c:v>
                </c:pt>
              </c:strCache>
            </c:strRef>
          </c:tx>
          <c:spPr>
            <a:solidFill>
              <a:schemeClr val="accent2">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SituationAnalysis!$J$223:$J$225</c:f>
              <c:numCache>
                <c:formatCode>0</c:formatCode>
                <c:ptCount val="2"/>
                <c:pt idx="0">
                  <c:v>228.29999999999998</c:v>
                </c:pt>
              </c:numCache>
            </c:numRef>
          </c:val>
        </c:ser>
        <c:ser>
          <c:idx val="8"/>
          <c:order val="8"/>
          <c:tx>
            <c:strRef>
              <c:f>SituationAnalysis!$K$221:$K$222</c:f>
              <c:strCache>
                <c:ptCount val="1"/>
                <c:pt idx="0">
                  <c:v>Cluster 8</c:v>
                </c:pt>
              </c:strCache>
            </c:strRef>
          </c:tx>
          <c:spPr>
            <a:solidFill>
              <a:schemeClr val="accent3">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SituationAnalysis!$K$223:$K$225</c:f>
              <c:numCache>
                <c:formatCode>0</c:formatCode>
                <c:ptCount val="2"/>
                <c:pt idx="0">
                  <c:v>154.74999999999997</c:v>
                </c:pt>
              </c:numCache>
            </c:numRef>
          </c:val>
        </c:ser>
        <c:ser>
          <c:idx val="9"/>
          <c:order val="9"/>
          <c:tx>
            <c:strRef>
              <c:f>SituationAnalysis!$L$221:$L$222</c:f>
              <c:strCache>
                <c:ptCount val="1"/>
                <c:pt idx="0">
                  <c:v>Cluster 9</c:v>
                </c:pt>
              </c:strCache>
            </c:strRef>
          </c:tx>
          <c:spPr>
            <a:solidFill>
              <a:schemeClr val="accent4">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SituationAnalysis!$L$223:$L$225</c:f>
              <c:numCache>
                <c:formatCode>0</c:formatCode>
                <c:ptCount val="2"/>
                <c:pt idx="0">
                  <c:v>17.649999999999999</c:v>
                </c:pt>
                <c:pt idx="1">
                  <c:v>22.3</c:v>
                </c:pt>
              </c:numCache>
            </c:numRef>
          </c:val>
        </c:ser>
        <c:dLbls>
          <c:showLegendKey val="0"/>
          <c:showVal val="1"/>
          <c:showCatName val="0"/>
          <c:showSerName val="0"/>
          <c:showPercent val="0"/>
          <c:showBubbleSize val="0"/>
        </c:dLbls>
        <c:gapWidth val="150"/>
        <c:shape val="box"/>
        <c:axId val="105976576"/>
        <c:axId val="105978112"/>
        <c:axId val="0"/>
      </c:bar3DChart>
      <c:catAx>
        <c:axId val="1059765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978112"/>
        <c:crosses val="autoZero"/>
        <c:auto val="1"/>
        <c:lblAlgn val="ctr"/>
        <c:lblOffset val="100"/>
        <c:noMultiLvlLbl val="0"/>
      </c:catAx>
      <c:valAx>
        <c:axId val="105978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976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2015.xlsx]SituationAnalysis!PivotTable10</c:name>
    <c:fmtId val="4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of Bathroom</a:t>
            </a:r>
            <a:r>
              <a:rPr lang="en-US" b="1" baseline="0"/>
              <a:t> coverage end of project</a:t>
            </a:r>
            <a:endParaRPr lang="en-US" b="1"/>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SituationAnalysis!$C$334</c:f>
              <c:strCache>
                <c:ptCount val="1"/>
                <c:pt idx="0">
                  <c:v>% Bathroom need coverage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SituationAnalysis!$B$335:$B$337</c:f>
              <c:strCache>
                <c:ptCount val="2"/>
                <c:pt idx="0">
                  <c:v>GCA</c:v>
                </c:pt>
                <c:pt idx="1">
                  <c:v>NGCA</c:v>
                </c:pt>
              </c:strCache>
            </c:strRef>
          </c:cat>
          <c:val>
            <c:numRef>
              <c:f>SituationAnalysis!$C$335:$C$337</c:f>
              <c:numCache>
                <c:formatCode>0%</c:formatCode>
                <c:ptCount val="2"/>
                <c:pt idx="0">
                  <c:v>0.5675292524491653</c:v>
                </c:pt>
                <c:pt idx="1">
                  <c:v>0.48698311248243753</c:v>
                </c:pt>
              </c:numCache>
            </c:numRef>
          </c:val>
        </c:ser>
        <c:ser>
          <c:idx val="1"/>
          <c:order val="1"/>
          <c:tx>
            <c:strRef>
              <c:f>SituationAnalysis!$D$334</c:f>
              <c:strCache>
                <c:ptCount val="1"/>
                <c:pt idx="0">
                  <c:v>% Projection Bathrrom coverage EOP</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SituationAnalysis!$B$335:$B$337</c:f>
              <c:strCache>
                <c:ptCount val="2"/>
                <c:pt idx="0">
                  <c:v>GCA</c:v>
                </c:pt>
                <c:pt idx="1">
                  <c:v>NGCA</c:v>
                </c:pt>
              </c:strCache>
            </c:strRef>
          </c:cat>
          <c:val>
            <c:numRef>
              <c:f>SituationAnalysis!$D$335:$D$337</c:f>
              <c:numCache>
                <c:formatCode>0%</c:formatCode>
                <c:ptCount val="2"/>
                <c:pt idx="0">
                  <c:v>5.0527919426159799E-4</c:v>
                </c:pt>
                <c:pt idx="1">
                  <c:v>-1.2673351882971851E-2</c:v>
                </c:pt>
              </c:numCache>
            </c:numRef>
          </c:val>
        </c:ser>
        <c:dLbls>
          <c:showLegendKey val="0"/>
          <c:showVal val="1"/>
          <c:showCatName val="0"/>
          <c:showSerName val="0"/>
          <c:showPercent val="0"/>
          <c:showBubbleSize val="0"/>
        </c:dLbls>
        <c:gapWidth val="150"/>
        <c:shape val="box"/>
        <c:axId val="106035072"/>
        <c:axId val="106036608"/>
        <c:axId val="0"/>
      </c:bar3DChart>
      <c:catAx>
        <c:axId val="1060350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36608"/>
        <c:crosses val="autoZero"/>
        <c:auto val="1"/>
        <c:lblAlgn val="ctr"/>
        <c:lblOffset val="100"/>
        <c:noMultiLvlLbl val="0"/>
      </c:catAx>
      <c:valAx>
        <c:axId val="106036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3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2015.xlsx]SituationAnalysis!PivotTable30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Needs coverage</a:t>
            </a:r>
          </a:p>
        </c:rich>
      </c:tx>
      <c:overlay val="0"/>
      <c:spPr>
        <a:noFill/>
        <a:ln>
          <a:noFill/>
        </a:ln>
        <a:effectLst/>
      </c:spPr>
    </c:title>
    <c:autoTitleDeleted val="0"/>
    <c:pivotFmts>
      <c:pivotFmt>
        <c:idx val="0"/>
        <c:spPr>
          <a:solidFill>
            <a:schemeClr val="accent1"/>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3"/>
          </a:solidFill>
          <a:ln>
            <a:noFill/>
          </a:ln>
          <a:effectLst/>
        </c:spPr>
        <c:marker>
          <c:symbol val="none"/>
        </c:marker>
      </c:pivotFmt>
    </c:pivotFmts>
    <c:plotArea>
      <c:layout/>
      <c:barChart>
        <c:barDir val="col"/>
        <c:grouping val="clustered"/>
        <c:varyColors val="0"/>
        <c:ser>
          <c:idx val="0"/>
          <c:order val="0"/>
          <c:tx>
            <c:strRef>
              <c:f>SituationAnalysis!$AA$83</c:f>
              <c:strCache>
                <c:ptCount val="1"/>
                <c:pt idx="0">
                  <c:v>% Water Need coverage</c:v>
                </c:pt>
              </c:strCache>
            </c:strRef>
          </c:tx>
          <c:spPr>
            <a:solidFill>
              <a:schemeClr val="accent1"/>
            </a:solidFill>
            <a:ln>
              <a:noFill/>
            </a:ln>
            <a:effectLst/>
          </c:spPr>
          <c:invertIfNegative val="0"/>
          <c:cat>
            <c:strRef>
              <c:f>SituationAnalysis!$Z$84:$Z$238</c:f>
              <c:strCache>
                <c:ptCount val="154"/>
                <c:pt idx="0">
                  <c:v>5 Ward Baptist Church(lon Khin)</c:v>
                </c:pt>
                <c:pt idx="1">
                  <c:v>5 Ward RC Church(lon Khin)</c:v>
                </c:pt>
                <c:pt idx="2">
                  <c:v>AD-2000 Extension camp</c:v>
                </c:pt>
                <c:pt idx="3">
                  <c:v>AD-2000 Tharthana Compound*</c:v>
                </c:pt>
                <c:pt idx="4">
                  <c:v>AG Church, Hmaw Si Sa</c:v>
                </c:pt>
                <c:pt idx="5">
                  <c:v>AG Church, Maw Wan</c:v>
                </c:pt>
                <c:pt idx="6">
                  <c:v>Agritural Compound (KBC)</c:v>
                </c:pt>
                <c:pt idx="7">
                  <c:v>Aung Thar Church</c:v>
                </c:pt>
                <c:pt idx="8">
                  <c:v>Bang Lung</c:v>
                </c:pt>
                <c:pt idx="9">
                  <c:v>Baptist Church, Hmaw Si Sar(Lon Khin)</c:v>
                </c:pt>
                <c:pt idx="10">
                  <c:v>Baptist Church, Naung Hmee VT</c:v>
                </c:pt>
                <c:pt idx="11">
                  <c:v>Baptist Church, Sai Ra village</c:v>
                </c:pt>
                <c:pt idx="12">
                  <c:v>Border Post 8</c:v>
                </c:pt>
                <c:pt idx="13">
                  <c:v>Bum Tsit Pa * (1)</c:v>
                </c:pt>
                <c:pt idx="14">
                  <c:v>Bum Tsit Pa * (2)</c:v>
                </c:pt>
                <c:pt idx="15">
                  <c:v>Chin Church, Seik Mu</c:v>
                </c:pt>
                <c:pt idx="16">
                  <c:v>Chipwi KBC camp</c:v>
                </c:pt>
                <c:pt idx="17">
                  <c:v>Clutural Compound</c:v>
                </c:pt>
                <c:pt idx="18">
                  <c:v>Dhama Rakhita, Nyein Chan Tar Yar Ward(Lon Khin)</c:v>
                </c:pt>
                <c:pt idx="19">
                  <c:v>Du Kahtawng Qtr. 14</c:v>
                </c:pt>
                <c:pt idx="20">
                  <c:v>Du Kahtawng Qtr. 4</c:v>
                </c:pt>
                <c:pt idx="21">
                  <c:v>Du Kahtawng Qtr. 5</c:v>
                </c:pt>
                <c:pt idx="22">
                  <c:v>Dum Bung </c:v>
                </c:pt>
                <c:pt idx="23">
                  <c:v>Hkat Cho </c:v>
                </c:pt>
                <c:pt idx="24">
                  <c:v>Hkau Shau (BP 12)</c:v>
                </c:pt>
                <c:pt idx="25">
                  <c:v>Hlaing Naung Baptist</c:v>
                </c:pt>
                <c:pt idx="26">
                  <c:v>Hmaw Wan, Anglican</c:v>
                </c:pt>
                <c:pt idx="27">
                  <c:v>Hpakant Baptist Church, Nam Ma Hpit</c:v>
                </c:pt>
                <c:pt idx="28">
                  <c:v>Hpare Hkyer - BP6</c:v>
                </c:pt>
                <c:pt idx="29">
                  <c:v>Hpun Lum Yang </c:v>
                </c:pt>
                <c:pt idx="30">
                  <c:v>Htoi San Church*</c:v>
                </c:pt>
                <c:pt idx="31">
                  <c:v>Jan Mai Kawng Baptist Church</c:v>
                </c:pt>
                <c:pt idx="32">
                  <c:v>Jan Mai Kawng Catholic Church</c:v>
                </c:pt>
                <c:pt idx="33">
                  <c:v>Jaw 2</c:v>
                </c:pt>
                <c:pt idx="34">
                  <c:v>Je Yang Hka </c:v>
                </c:pt>
                <c:pt idx="35">
                  <c:v>Kachin Su Baptist Church (ECCD)</c:v>
                </c:pt>
                <c:pt idx="36">
                  <c:v>Khar Nan (1) Baptist Church</c:v>
                </c:pt>
                <c:pt idx="37">
                  <c:v>Kone Khem Camp</c:v>
                </c:pt>
                <c:pt idx="38">
                  <c:v>Kutkai downtown (KBC Church)</c:v>
                </c:pt>
                <c:pt idx="39">
                  <c:v>Kutkai downtown (RC Church)</c:v>
                </c:pt>
                <c:pt idx="40">
                  <c:v>Kyun Pin Thar Baptist Church</c:v>
                </c:pt>
                <c:pt idx="41">
                  <c:v>Kyun Taw Baptist Church </c:v>
                </c:pt>
                <c:pt idx="42">
                  <c:v>La Ja</c:v>
                </c:pt>
                <c:pt idx="43">
                  <c:v>Laiza Market 3 / Laiza Gat</c:v>
                </c:pt>
                <c:pt idx="44">
                  <c:v>Lawk Awng Mare D. (Sinbo Area)</c:v>
                </c:pt>
                <c:pt idx="45">
                  <c:v>Le Kone Bethlehem Church</c:v>
                </c:pt>
                <c:pt idx="46">
                  <c:v>Le Kone Ziun Baptist Church </c:v>
                </c:pt>
                <c:pt idx="47">
                  <c:v>Lhaovao Baptist Church (LBC)</c:v>
                </c:pt>
                <c:pt idx="48">
                  <c:v>Lisu Baptist Church, Maw Shan Vil,. Seik Mu</c:v>
                </c:pt>
                <c:pt idx="49">
                  <c:v>Lisu Baptist Church, Maw Wan Ward</c:v>
                </c:pt>
                <c:pt idx="50">
                  <c:v>Lisu Boarding-House</c:v>
                </c:pt>
                <c:pt idx="51">
                  <c:v>Loi Je Baptist Church</c:v>
                </c:pt>
                <c:pt idx="52">
                  <c:v>Loi Je Catholic Church</c:v>
                </c:pt>
                <c:pt idx="53">
                  <c:v>Loi Je Lisu  (1) Camp</c:v>
                </c:pt>
                <c:pt idx="54">
                  <c:v>Loi Je Lisu  (2) Camp</c:v>
                </c:pt>
                <c:pt idx="55">
                  <c:v>Loi Je Lisu  (3) Camp</c:v>
                </c:pt>
                <c:pt idx="56">
                  <c:v>Loi Je Nyaung Na Pin </c:v>
                </c:pt>
                <c:pt idx="57">
                  <c:v>Loi Je Seng Ja </c:v>
                </c:pt>
                <c:pt idx="58">
                  <c:v>Machanbaw-KBC</c:v>
                </c:pt>
                <c:pt idx="59">
                  <c:v>Mading Baptist Church</c:v>
                </c:pt>
                <c:pt idx="60">
                  <c:v>Maga Yang </c:v>
                </c:pt>
                <c:pt idx="61">
                  <c:v>Maina AG Church</c:v>
                </c:pt>
                <c:pt idx="62">
                  <c:v>Maina Catholic Church (St. Joseph)</c:v>
                </c:pt>
                <c:pt idx="63">
                  <c:v>Maina KBC (Bawng Ring)</c:v>
                </c:pt>
                <c:pt idx="64">
                  <c:v>Maina Lawang Baptist Church</c:v>
                </c:pt>
                <c:pt idx="65">
                  <c:v>Maing Khaung Baptist Church</c:v>
                </c:pt>
                <c:pt idx="66">
                  <c:v>Maing Khaung Catholic Church</c:v>
                </c:pt>
                <c:pt idx="67">
                  <c:v>Maliyang Baptist Church</c:v>
                </c:pt>
                <c:pt idx="68">
                  <c:v>Man Bung Catholic compound</c:v>
                </c:pt>
                <c:pt idx="69">
                  <c:v>Man Bung Edin Baptist Church</c:v>
                </c:pt>
                <c:pt idx="70">
                  <c:v>Man Hkring Baptist Church</c:v>
                </c:pt>
                <c:pt idx="71">
                  <c:v>Man Wing Baptist Church*</c:v>
                </c:pt>
                <c:pt idx="72">
                  <c:v>Man Wing Catholic Church*</c:v>
                </c:pt>
                <c:pt idx="73">
                  <c:v>Mandalay Monestry</c:v>
                </c:pt>
                <c:pt idx="74">
                  <c:v>Mandung - Jinghpaw</c:v>
                </c:pt>
                <c:pt idx="75">
                  <c:v>Mandung - RC</c:v>
                </c:pt>
                <c:pt idx="76">
                  <c:v>Mang Hawng Baptist Church</c:v>
                </c:pt>
                <c:pt idx="77">
                  <c:v>Mansi Baptist Church*</c:v>
                </c:pt>
                <c:pt idx="78">
                  <c:v>Maw Hpawng Hka Nan Baptist Church</c:v>
                </c:pt>
                <c:pt idx="79">
                  <c:v>Maw Hpawng Lhaovo Baptist Church</c:v>
                </c:pt>
                <c:pt idx="80">
                  <c:v>Maw Wan, Mu-yin Baptist Church</c:v>
                </c:pt>
                <c:pt idx="81">
                  <c:v>Mine Yu Lay village</c:v>
                </c:pt>
                <c:pt idx="82">
                  <c:v>Momauk Baptist Church</c:v>
                </c:pt>
                <c:pt idx="83">
                  <c:v>Mungji Pa Dabang (Baptist Church)         </c:v>
                </c:pt>
                <c:pt idx="84">
                  <c:v>Mungji Pa Dabang (RC Church)         </c:v>
                </c:pt>
                <c:pt idx="85">
                  <c:v>Muse KBC Church</c:v>
                </c:pt>
                <c:pt idx="86">
                  <c:v>Muse RC Church</c:v>
                </c:pt>
                <c:pt idx="87">
                  <c:v>Mu-yin Baptist Church</c:v>
                </c:pt>
                <c:pt idx="88">
                  <c:v>MWG -RC2</c:v>
                </c:pt>
                <c:pt idx="89">
                  <c:v>Nam Hkam - Nay Win Ni (Palawng)</c:v>
                </c:pt>
                <c:pt idx="90">
                  <c:v>Nam Hkam (KBC Jaw Wang)</c:v>
                </c:pt>
                <c:pt idx="91">
                  <c:v>Nam Hkam Catholic Church ( St. Thomas I)</c:v>
                </c:pt>
                <c:pt idx="92">
                  <c:v>Nam Hkawng/Manaung kaung</c:v>
                </c:pt>
                <c:pt idx="93">
                  <c:v>Nam Hpak Ka Mare </c:v>
                </c:pt>
                <c:pt idx="94">
                  <c:v>Nam Ma Phyit, COC</c:v>
                </c:pt>
                <c:pt idx="95">
                  <c:v>Namtu Baptist</c:v>
                </c:pt>
                <c:pt idx="96">
                  <c:v>Nan Kway St. John Catholic Church</c:v>
                </c:pt>
                <c:pt idx="97">
                  <c:v>Nant Hlaing Church</c:v>
                </c:pt>
                <c:pt idx="98">
                  <c:v>Nant Ma Hpit Catholic Church</c:v>
                </c:pt>
                <c:pt idx="99">
                  <c:v>Narte</c:v>
                </c:pt>
                <c:pt idx="100">
                  <c:v>Nat Gyi Kone Baptist Church </c:v>
                </c:pt>
                <c:pt idx="101">
                  <c:v>Naung Khaing</c:v>
                </c:pt>
                <c:pt idx="102">
                  <c:v>Nawng Hee Village</c:v>
                </c:pt>
                <c:pt idx="103">
                  <c:v>Nawng Ing (Indawgyi) Baptist Church  </c:v>
                </c:pt>
                <c:pt idx="104">
                  <c:v>Nhkawng Pa </c:v>
                </c:pt>
                <c:pt idx="105">
                  <c:v>Ni Thaw Ka Monestry</c:v>
                </c:pt>
                <c:pt idx="106">
                  <c:v>Njang Dung Baptist Church </c:v>
                </c:pt>
                <c:pt idx="107">
                  <c:v>Pa Dauk Myaing(Pa La Na)</c:v>
                </c:pt>
                <c:pt idx="108">
                  <c:v>Pa Kahtawng 1 A</c:v>
                </c:pt>
                <c:pt idx="109">
                  <c:v>Pa Kahtawng 1B</c:v>
                </c:pt>
                <c:pt idx="110">
                  <c:v>Pa Kahtawng 2</c:v>
                </c:pt>
                <c:pt idx="111">
                  <c:v>Pajau / Jan Mai</c:v>
                </c:pt>
                <c:pt idx="112">
                  <c:v>Pan Wa</c:v>
                </c:pt>
                <c:pt idx="113">
                  <c:v>Phan Khar Kone*</c:v>
                </c:pt>
                <c:pt idx="114">
                  <c:v>Post 6 Camp</c:v>
                </c:pt>
                <c:pt idx="115">
                  <c:v>Qtr. 2 Lhaovo Baptist Church</c:v>
                </c:pt>
                <c:pt idx="116">
                  <c:v>Qtr. 2 Myoma Baptist Church</c:v>
                </c:pt>
                <c:pt idx="117">
                  <c:v>Qtr. 3 Mu-yin  Baptist Church</c:v>
                </c:pt>
                <c:pt idx="118">
                  <c:v>Qtr. 4 Monestry (Thargaya Thayett Taw)</c:v>
                </c:pt>
                <c:pt idx="119">
                  <c:v>Rawan Baptist Church, Maw Shan Vil., Seik Mu</c:v>
                </c:pt>
                <c:pt idx="120">
                  <c:v>Robert Church*</c:v>
                </c:pt>
                <c:pt idx="121">
                  <c:v>Sai Nai Baptish Church, Maw Shan Vil., Seki Mu</c:v>
                </c:pt>
                <c:pt idx="122">
                  <c:v>Shatapru Sut Ngai Tawng</c:v>
                </c:pt>
                <c:pt idx="123">
                  <c:v>Shatapru Thida Aye Baptist Church</c:v>
                </c:pt>
                <c:pt idx="124">
                  <c:v>Shing Jai</c:v>
                </c:pt>
                <c:pt idx="125">
                  <c:v>Shwe Gu Baptist Church</c:v>
                </c:pt>
                <c:pt idx="126">
                  <c:v>Shwe Gu Catholic Church</c:v>
                </c:pt>
                <c:pt idx="127">
                  <c:v>Shwe Zet Baptist Church</c:v>
                </c:pt>
                <c:pt idx="128">
                  <c:v>St. Patrick Catholic Church </c:v>
                </c:pt>
                <c:pt idx="129">
                  <c:v>Ta Gun Taing Monastery (Shwe Kyi Na)</c:v>
                </c:pt>
                <c:pt idx="130">
                  <c:v>Tat Kone (Ra Da Kawng)</c:v>
                </c:pt>
                <c:pt idx="131">
                  <c:v>Tat Kone Baptist Church</c:v>
                </c:pt>
                <c:pt idx="132">
                  <c:v>Tat Kone COC Baptist / Tat Kone Htoi San</c:v>
                </c:pt>
                <c:pt idx="133">
                  <c:v>Tat Kone Emanuel Church</c:v>
                </c:pt>
                <c:pt idx="134">
                  <c:v>Tat Kone Galile Baptist Church</c:v>
                </c:pt>
                <c:pt idx="135">
                  <c:v>Tat Kone San Pya Baptist Church</c:v>
                </c:pt>
                <c:pt idx="136">
                  <c:v>Thargaya Lisu Baptist Church</c:v>
                </c:pt>
                <c:pt idx="137">
                  <c:v>Waingmaw AG Church</c:v>
                </c:pt>
                <c:pt idx="138">
                  <c:v>Waingmaw Baptist Zonal Office</c:v>
                </c:pt>
                <c:pt idx="139">
                  <c:v>Ward 2 Sai Taung Baptist Church, Seik Mu </c:v>
                </c:pt>
                <c:pt idx="140">
                  <c:v>Woi Chyai </c:v>
                </c:pt>
                <c:pt idx="141">
                  <c:v>Wun Tho Buddhist Monastery</c:v>
                </c:pt>
                <c:pt idx="142">
                  <c:v>Yoe Kyi Monastery</c:v>
                </c:pt>
                <c:pt idx="143">
                  <c:v>Yumar Baptist Church</c:v>
                </c:pt>
                <c:pt idx="144">
                  <c:v>Zai Awng / Mung Ga Zup</c:v>
                </c:pt>
                <c:pt idx="145">
                  <c:v>Zup Aung Camp</c:v>
                </c:pt>
                <c:pt idx="146">
                  <c:v>Woi Chyai (Mong Lai)</c:v>
                </c:pt>
                <c:pt idx="147">
                  <c:v>Lone Sut</c:v>
                </c:pt>
                <c:pt idx="148">
                  <c:v>Bum Tsit Pa * (3)</c:v>
                </c:pt>
                <c:pt idx="149">
                  <c:v>Ku Day Maw KBC</c:v>
                </c:pt>
                <c:pt idx="150">
                  <c:v>Loi Je Lisu  (4) Camp</c:v>
                </c:pt>
                <c:pt idx="151">
                  <c:v>Nam Ja Rap</c:v>
                </c:pt>
                <c:pt idx="152">
                  <c:v>Pan Wa (Saw Zam) camp </c:v>
                </c:pt>
                <c:pt idx="153">
                  <c:v>Lana Zup Ja</c:v>
                </c:pt>
              </c:strCache>
            </c:strRef>
          </c:cat>
          <c:val>
            <c:numRef>
              <c:f>SituationAnalysis!$AA$84:$AA$238</c:f>
              <c:numCache>
                <c:formatCode>0%</c:formatCode>
                <c:ptCount val="15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0.5496316758747698</c:v>
                </c:pt>
                <c:pt idx="35">
                  <c:v>1</c:v>
                </c:pt>
                <c:pt idx="36">
                  <c:v>1</c:v>
                </c:pt>
                <c:pt idx="37">
                  <c:v>1</c:v>
                </c:pt>
                <c:pt idx="38">
                  <c:v>1</c:v>
                </c:pt>
                <c:pt idx="39">
                  <c:v>1</c:v>
                </c:pt>
                <c:pt idx="40">
                  <c:v>1</c:v>
                </c:pt>
                <c:pt idx="41">
                  <c:v>1</c:v>
                </c:pt>
                <c:pt idx="42">
                  <c:v>0</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0.85003035822707962</c:v>
                </c:pt>
                <c:pt idx="89">
                  <c:v>1</c:v>
                </c:pt>
                <c:pt idx="90">
                  <c:v>1</c:v>
                </c:pt>
                <c:pt idx="91">
                  <c:v>1</c:v>
                </c:pt>
                <c:pt idx="92">
                  <c:v>0</c:v>
                </c:pt>
                <c:pt idx="93">
                  <c:v>1</c:v>
                </c:pt>
                <c:pt idx="94">
                  <c:v>1</c:v>
                </c:pt>
                <c:pt idx="95">
                  <c:v>1</c:v>
                </c:pt>
                <c:pt idx="96">
                  <c:v>1</c:v>
                </c:pt>
                <c:pt idx="97">
                  <c:v>1</c:v>
                </c:pt>
                <c:pt idx="98">
                  <c:v>1</c:v>
                </c:pt>
                <c:pt idx="99">
                  <c:v>1</c:v>
                </c:pt>
                <c:pt idx="100">
                  <c:v>1</c:v>
                </c:pt>
                <c:pt idx="101">
                  <c:v>0.17241379310344829</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0</c:v>
                </c:pt>
                <c:pt idx="152">
                  <c:v>1</c:v>
                </c:pt>
                <c:pt idx="153">
                  <c:v>1</c:v>
                </c:pt>
              </c:numCache>
            </c:numRef>
          </c:val>
        </c:ser>
        <c:ser>
          <c:idx val="1"/>
          <c:order val="1"/>
          <c:tx>
            <c:strRef>
              <c:f>SituationAnalysis!$AB$83</c:f>
              <c:strCache>
                <c:ptCount val="1"/>
                <c:pt idx="0">
                  <c:v>% Latrine need coverage</c:v>
                </c:pt>
              </c:strCache>
            </c:strRef>
          </c:tx>
          <c:spPr>
            <a:solidFill>
              <a:schemeClr val="accent2"/>
            </a:solidFill>
            <a:ln>
              <a:noFill/>
            </a:ln>
            <a:effectLst/>
          </c:spPr>
          <c:invertIfNegative val="0"/>
          <c:cat>
            <c:strRef>
              <c:f>SituationAnalysis!$Z$84:$Z$238</c:f>
              <c:strCache>
                <c:ptCount val="154"/>
                <c:pt idx="0">
                  <c:v>5 Ward Baptist Church(lon Khin)</c:v>
                </c:pt>
                <c:pt idx="1">
                  <c:v>5 Ward RC Church(lon Khin)</c:v>
                </c:pt>
                <c:pt idx="2">
                  <c:v>AD-2000 Extension camp</c:v>
                </c:pt>
                <c:pt idx="3">
                  <c:v>AD-2000 Tharthana Compound*</c:v>
                </c:pt>
                <c:pt idx="4">
                  <c:v>AG Church, Hmaw Si Sa</c:v>
                </c:pt>
                <c:pt idx="5">
                  <c:v>AG Church, Maw Wan</c:v>
                </c:pt>
                <c:pt idx="6">
                  <c:v>Agritural Compound (KBC)</c:v>
                </c:pt>
                <c:pt idx="7">
                  <c:v>Aung Thar Church</c:v>
                </c:pt>
                <c:pt idx="8">
                  <c:v>Bang Lung</c:v>
                </c:pt>
                <c:pt idx="9">
                  <c:v>Baptist Church, Hmaw Si Sar(Lon Khin)</c:v>
                </c:pt>
                <c:pt idx="10">
                  <c:v>Baptist Church, Naung Hmee VT</c:v>
                </c:pt>
                <c:pt idx="11">
                  <c:v>Baptist Church, Sai Ra village</c:v>
                </c:pt>
                <c:pt idx="12">
                  <c:v>Border Post 8</c:v>
                </c:pt>
                <c:pt idx="13">
                  <c:v>Bum Tsit Pa * (1)</c:v>
                </c:pt>
                <c:pt idx="14">
                  <c:v>Bum Tsit Pa * (2)</c:v>
                </c:pt>
                <c:pt idx="15">
                  <c:v>Chin Church, Seik Mu</c:v>
                </c:pt>
                <c:pt idx="16">
                  <c:v>Chipwi KBC camp</c:v>
                </c:pt>
                <c:pt idx="17">
                  <c:v>Clutural Compound</c:v>
                </c:pt>
                <c:pt idx="18">
                  <c:v>Dhama Rakhita, Nyein Chan Tar Yar Ward(Lon Khin)</c:v>
                </c:pt>
                <c:pt idx="19">
                  <c:v>Du Kahtawng Qtr. 14</c:v>
                </c:pt>
                <c:pt idx="20">
                  <c:v>Du Kahtawng Qtr. 4</c:v>
                </c:pt>
                <c:pt idx="21">
                  <c:v>Du Kahtawng Qtr. 5</c:v>
                </c:pt>
                <c:pt idx="22">
                  <c:v>Dum Bung </c:v>
                </c:pt>
                <c:pt idx="23">
                  <c:v>Hkat Cho </c:v>
                </c:pt>
                <c:pt idx="24">
                  <c:v>Hkau Shau (BP 12)</c:v>
                </c:pt>
                <c:pt idx="25">
                  <c:v>Hlaing Naung Baptist</c:v>
                </c:pt>
                <c:pt idx="26">
                  <c:v>Hmaw Wan, Anglican</c:v>
                </c:pt>
                <c:pt idx="27">
                  <c:v>Hpakant Baptist Church, Nam Ma Hpit</c:v>
                </c:pt>
                <c:pt idx="28">
                  <c:v>Hpare Hkyer - BP6</c:v>
                </c:pt>
                <c:pt idx="29">
                  <c:v>Hpun Lum Yang </c:v>
                </c:pt>
                <c:pt idx="30">
                  <c:v>Htoi San Church*</c:v>
                </c:pt>
                <c:pt idx="31">
                  <c:v>Jan Mai Kawng Baptist Church</c:v>
                </c:pt>
                <c:pt idx="32">
                  <c:v>Jan Mai Kawng Catholic Church</c:v>
                </c:pt>
                <c:pt idx="33">
                  <c:v>Jaw 2</c:v>
                </c:pt>
                <c:pt idx="34">
                  <c:v>Je Yang Hka </c:v>
                </c:pt>
                <c:pt idx="35">
                  <c:v>Kachin Su Baptist Church (ECCD)</c:v>
                </c:pt>
                <c:pt idx="36">
                  <c:v>Khar Nan (1) Baptist Church</c:v>
                </c:pt>
                <c:pt idx="37">
                  <c:v>Kone Khem Camp</c:v>
                </c:pt>
                <c:pt idx="38">
                  <c:v>Kutkai downtown (KBC Church)</c:v>
                </c:pt>
                <c:pt idx="39">
                  <c:v>Kutkai downtown (RC Church)</c:v>
                </c:pt>
                <c:pt idx="40">
                  <c:v>Kyun Pin Thar Baptist Church</c:v>
                </c:pt>
                <c:pt idx="41">
                  <c:v>Kyun Taw Baptist Church </c:v>
                </c:pt>
                <c:pt idx="42">
                  <c:v>La Ja</c:v>
                </c:pt>
                <c:pt idx="43">
                  <c:v>Laiza Market 3 / Laiza Gat</c:v>
                </c:pt>
                <c:pt idx="44">
                  <c:v>Lawk Awng Mare D. (Sinbo Area)</c:v>
                </c:pt>
                <c:pt idx="45">
                  <c:v>Le Kone Bethlehem Church</c:v>
                </c:pt>
                <c:pt idx="46">
                  <c:v>Le Kone Ziun Baptist Church </c:v>
                </c:pt>
                <c:pt idx="47">
                  <c:v>Lhaovao Baptist Church (LBC)</c:v>
                </c:pt>
                <c:pt idx="48">
                  <c:v>Lisu Baptist Church, Maw Shan Vil,. Seik Mu</c:v>
                </c:pt>
                <c:pt idx="49">
                  <c:v>Lisu Baptist Church, Maw Wan Ward</c:v>
                </c:pt>
                <c:pt idx="50">
                  <c:v>Lisu Boarding-House</c:v>
                </c:pt>
                <c:pt idx="51">
                  <c:v>Loi Je Baptist Church</c:v>
                </c:pt>
                <c:pt idx="52">
                  <c:v>Loi Je Catholic Church</c:v>
                </c:pt>
                <c:pt idx="53">
                  <c:v>Loi Je Lisu  (1) Camp</c:v>
                </c:pt>
                <c:pt idx="54">
                  <c:v>Loi Je Lisu  (2) Camp</c:v>
                </c:pt>
                <c:pt idx="55">
                  <c:v>Loi Je Lisu  (3) Camp</c:v>
                </c:pt>
                <c:pt idx="56">
                  <c:v>Loi Je Nyaung Na Pin </c:v>
                </c:pt>
                <c:pt idx="57">
                  <c:v>Loi Je Seng Ja </c:v>
                </c:pt>
                <c:pt idx="58">
                  <c:v>Machanbaw-KBC</c:v>
                </c:pt>
                <c:pt idx="59">
                  <c:v>Mading Baptist Church</c:v>
                </c:pt>
                <c:pt idx="60">
                  <c:v>Maga Yang </c:v>
                </c:pt>
                <c:pt idx="61">
                  <c:v>Maina AG Church</c:v>
                </c:pt>
                <c:pt idx="62">
                  <c:v>Maina Catholic Church (St. Joseph)</c:v>
                </c:pt>
                <c:pt idx="63">
                  <c:v>Maina KBC (Bawng Ring)</c:v>
                </c:pt>
                <c:pt idx="64">
                  <c:v>Maina Lawang Baptist Church</c:v>
                </c:pt>
                <c:pt idx="65">
                  <c:v>Maing Khaung Baptist Church</c:v>
                </c:pt>
                <c:pt idx="66">
                  <c:v>Maing Khaung Catholic Church</c:v>
                </c:pt>
                <c:pt idx="67">
                  <c:v>Maliyang Baptist Church</c:v>
                </c:pt>
                <c:pt idx="68">
                  <c:v>Man Bung Catholic compound</c:v>
                </c:pt>
                <c:pt idx="69">
                  <c:v>Man Bung Edin Baptist Church</c:v>
                </c:pt>
                <c:pt idx="70">
                  <c:v>Man Hkring Baptist Church</c:v>
                </c:pt>
                <c:pt idx="71">
                  <c:v>Man Wing Baptist Church*</c:v>
                </c:pt>
                <c:pt idx="72">
                  <c:v>Man Wing Catholic Church*</c:v>
                </c:pt>
                <c:pt idx="73">
                  <c:v>Mandalay Monestry</c:v>
                </c:pt>
                <c:pt idx="74">
                  <c:v>Mandung - Jinghpaw</c:v>
                </c:pt>
                <c:pt idx="75">
                  <c:v>Mandung - RC</c:v>
                </c:pt>
                <c:pt idx="76">
                  <c:v>Mang Hawng Baptist Church</c:v>
                </c:pt>
                <c:pt idx="77">
                  <c:v>Mansi Baptist Church*</c:v>
                </c:pt>
                <c:pt idx="78">
                  <c:v>Maw Hpawng Hka Nan Baptist Church</c:v>
                </c:pt>
                <c:pt idx="79">
                  <c:v>Maw Hpawng Lhaovo Baptist Church</c:v>
                </c:pt>
                <c:pt idx="80">
                  <c:v>Maw Wan, Mu-yin Baptist Church</c:v>
                </c:pt>
                <c:pt idx="81">
                  <c:v>Mine Yu Lay village</c:v>
                </c:pt>
                <c:pt idx="82">
                  <c:v>Momauk Baptist Church</c:v>
                </c:pt>
                <c:pt idx="83">
                  <c:v>Mungji Pa Dabang (Baptist Church)         </c:v>
                </c:pt>
                <c:pt idx="84">
                  <c:v>Mungji Pa Dabang (RC Church)         </c:v>
                </c:pt>
                <c:pt idx="85">
                  <c:v>Muse KBC Church</c:v>
                </c:pt>
                <c:pt idx="86">
                  <c:v>Muse RC Church</c:v>
                </c:pt>
                <c:pt idx="87">
                  <c:v>Mu-yin Baptist Church</c:v>
                </c:pt>
                <c:pt idx="88">
                  <c:v>MWG -RC2</c:v>
                </c:pt>
                <c:pt idx="89">
                  <c:v>Nam Hkam - Nay Win Ni (Palawng)</c:v>
                </c:pt>
                <c:pt idx="90">
                  <c:v>Nam Hkam (KBC Jaw Wang)</c:v>
                </c:pt>
                <c:pt idx="91">
                  <c:v>Nam Hkam Catholic Church ( St. Thomas I)</c:v>
                </c:pt>
                <c:pt idx="92">
                  <c:v>Nam Hkawng/Manaung kaung</c:v>
                </c:pt>
                <c:pt idx="93">
                  <c:v>Nam Hpak Ka Mare </c:v>
                </c:pt>
                <c:pt idx="94">
                  <c:v>Nam Ma Phyit, COC</c:v>
                </c:pt>
                <c:pt idx="95">
                  <c:v>Namtu Baptist</c:v>
                </c:pt>
                <c:pt idx="96">
                  <c:v>Nan Kway St. John Catholic Church</c:v>
                </c:pt>
                <c:pt idx="97">
                  <c:v>Nant Hlaing Church</c:v>
                </c:pt>
                <c:pt idx="98">
                  <c:v>Nant Ma Hpit Catholic Church</c:v>
                </c:pt>
                <c:pt idx="99">
                  <c:v>Narte</c:v>
                </c:pt>
                <c:pt idx="100">
                  <c:v>Nat Gyi Kone Baptist Church </c:v>
                </c:pt>
                <c:pt idx="101">
                  <c:v>Naung Khaing</c:v>
                </c:pt>
                <c:pt idx="102">
                  <c:v>Nawng Hee Village</c:v>
                </c:pt>
                <c:pt idx="103">
                  <c:v>Nawng Ing (Indawgyi) Baptist Church  </c:v>
                </c:pt>
                <c:pt idx="104">
                  <c:v>Nhkawng Pa </c:v>
                </c:pt>
                <c:pt idx="105">
                  <c:v>Ni Thaw Ka Monestry</c:v>
                </c:pt>
                <c:pt idx="106">
                  <c:v>Njang Dung Baptist Church </c:v>
                </c:pt>
                <c:pt idx="107">
                  <c:v>Pa Dauk Myaing(Pa La Na)</c:v>
                </c:pt>
                <c:pt idx="108">
                  <c:v>Pa Kahtawng 1 A</c:v>
                </c:pt>
                <c:pt idx="109">
                  <c:v>Pa Kahtawng 1B</c:v>
                </c:pt>
                <c:pt idx="110">
                  <c:v>Pa Kahtawng 2</c:v>
                </c:pt>
                <c:pt idx="111">
                  <c:v>Pajau / Jan Mai</c:v>
                </c:pt>
                <c:pt idx="112">
                  <c:v>Pan Wa</c:v>
                </c:pt>
                <c:pt idx="113">
                  <c:v>Phan Khar Kone*</c:v>
                </c:pt>
                <c:pt idx="114">
                  <c:v>Post 6 Camp</c:v>
                </c:pt>
                <c:pt idx="115">
                  <c:v>Qtr. 2 Lhaovo Baptist Church</c:v>
                </c:pt>
                <c:pt idx="116">
                  <c:v>Qtr. 2 Myoma Baptist Church</c:v>
                </c:pt>
                <c:pt idx="117">
                  <c:v>Qtr. 3 Mu-yin  Baptist Church</c:v>
                </c:pt>
                <c:pt idx="118">
                  <c:v>Qtr. 4 Monestry (Thargaya Thayett Taw)</c:v>
                </c:pt>
                <c:pt idx="119">
                  <c:v>Rawan Baptist Church, Maw Shan Vil., Seik Mu</c:v>
                </c:pt>
                <c:pt idx="120">
                  <c:v>Robert Church*</c:v>
                </c:pt>
                <c:pt idx="121">
                  <c:v>Sai Nai Baptish Church, Maw Shan Vil., Seki Mu</c:v>
                </c:pt>
                <c:pt idx="122">
                  <c:v>Shatapru Sut Ngai Tawng</c:v>
                </c:pt>
                <c:pt idx="123">
                  <c:v>Shatapru Thida Aye Baptist Church</c:v>
                </c:pt>
                <c:pt idx="124">
                  <c:v>Shing Jai</c:v>
                </c:pt>
                <c:pt idx="125">
                  <c:v>Shwe Gu Baptist Church</c:v>
                </c:pt>
                <c:pt idx="126">
                  <c:v>Shwe Gu Catholic Church</c:v>
                </c:pt>
                <c:pt idx="127">
                  <c:v>Shwe Zet Baptist Church</c:v>
                </c:pt>
                <c:pt idx="128">
                  <c:v>St. Patrick Catholic Church </c:v>
                </c:pt>
                <c:pt idx="129">
                  <c:v>Ta Gun Taing Monastery (Shwe Kyi Na)</c:v>
                </c:pt>
                <c:pt idx="130">
                  <c:v>Tat Kone (Ra Da Kawng)</c:v>
                </c:pt>
                <c:pt idx="131">
                  <c:v>Tat Kone Baptist Church</c:v>
                </c:pt>
                <c:pt idx="132">
                  <c:v>Tat Kone COC Baptist / Tat Kone Htoi San</c:v>
                </c:pt>
                <c:pt idx="133">
                  <c:v>Tat Kone Emanuel Church</c:v>
                </c:pt>
                <c:pt idx="134">
                  <c:v>Tat Kone Galile Baptist Church</c:v>
                </c:pt>
                <c:pt idx="135">
                  <c:v>Tat Kone San Pya Baptist Church</c:v>
                </c:pt>
                <c:pt idx="136">
                  <c:v>Thargaya Lisu Baptist Church</c:v>
                </c:pt>
                <c:pt idx="137">
                  <c:v>Waingmaw AG Church</c:v>
                </c:pt>
                <c:pt idx="138">
                  <c:v>Waingmaw Baptist Zonal Office</c:v>
                </c:pt>
                <c:pt idx="139">
                  <c:v>Ward 2 Sai Taung Baptist Church, Seik Mu </c:v>
                </c:pt>
                <c:pt idx="140">
                  <c:v>Woi Chyai </c:v>
                </c:pt>
                <c:pt idx="141">
                  <c:v>Wun Tho Buddhist Monastery</c:v>
                </c:pt>
                <c:pt idx="142">
                  <c:v>Yoe Kyi Monastery</c:v>
                </c:pt>
                <c:pt idx="143">
                  <c:v>Yumar Baptist Church</c:v>
                </c:pt>
                <c:pt idx="144">
                  <c:v>Zai Awng / Mung Ga Zup</c:v>
                </c:pt>
                <c:pt idx="145">
                  <c:v>Zup Aung Camp</c:v>
                </c:pt>
                <c:pt idx="146">
                  <c:v>Woi Chyai (Mong Lai)</c:v>
                </c:pt>
                <c:pt idx="147">
                  <c:v>Lone Sut</c:v>
                </c:pt>
                <c:pt idx="148">
                  <c:v>Bum Tsit Pa * (3)</c:v>
                </c:pt>
                <c:pt idx="149">
                  <c:v>Ku Day Maw KBC</c:v>
                </c:pt>
                <c:pt idx="150">
                  <c:v>Loi Je Lisu  (4) Camp</c:v>
                </c:pt>
                <c:pt idx="151">
                  <c:v>Nam Ja Rap</c:v>
                </c:pt>
                <c:pt idx="152">
                  <c:v>Pan Wa (Saw Zam) camp </c:v>
                </c:pt>
                <c:pt idx="153">
                  <c:v>Lana Zup Ja</c:v>
                </c:pt>
              </c:strCache>
            </c:strRef>
          </c:cat>
          <c:val>
            <c:numRef>
              <c:f>SituationAnalysis!$AB$84:$AB$238</c:f>
              <c:numCache>
                <c:formatCode>0%</c:formatCode>
                <c:ptCount val="154"/>
                <c:pt idx="0">
                  <c:v>0.27777777777777779</c:v>
                </c:pt>
                <c:pt idx="1">
                  <c:v>0.89411764705882357</c:v>
                </c:pt>
                <c:pt idx="2">
                  <c:v>0.5977011494252874</c:v>
                </c:pt>
                <c:pt idx="3">
                  <c:v>0.53191489361702127</c:v>
                </c:pt>
                <c:pt idx="4">
                  <c:v>0.8875739644970414</c:v>
                </c:pt>
                <c:pt idx="5">
                  <c:v>1</c:v>
                </c:pt>
                <c:pt idx="6">
                  <c:v>0.98684210526315785</c:v>
                </c:pt>
                <c:pt idx="7">
                  <c:v>1</c:v>
                </c:pt>
                <c:pt idx="8">
                  <c:v>1</c:v>
                </c:pt>
                <c:pt idx="9">
                  <c:v>0.91743119266055051</c:v>
                </c:pt>
                <c:pt idx="10">
                  <c:v>1</c:v>
                </c:pt>
                <c:pt idx="11">
                  <c:v>1</c:v>
                </c:pt>
                <c:pt idx="12">
                  <c:v>1</c:v>
                </c:pt>
                <c:pt idx="13">
                  <c:v>1</c:v>
                </c:pt>
                <c:pt idx="14">
                  <c:v>1</c:v>
                </c:pt>
                <c:pt idx="15">
                  <c:v>1</c:v>
                </c:pt>
                <c:pt idx="16">
                  <c:v>0.5725190839694656</c:v>
                </c:pt>
                <c:pt idx="17">
                  <c:v>1</c:v>
                </c:pt>
                <c:pt idx="18">
                  <c:v>1</c:v>
                </c:pt>
                <c:pt idx="19">
                  <c:v>0.7407407407407407</c:v>
                </c:pt>
                <c:pt idx="20">
                  <c:v>1</c:v>
                </c:pt>
                <c:pt idx="21">
                  <c:v>0.76923076923076927</c:v>
                </c:pt>
                <c:pt idx="22">
                  <c:v>1</c:v>
                </c:pt>
                <c:pt idx="23">
                  <c:v>1</c:v>
                </c:pt>
                <c:pt idx="24">
                  <c:v>1</c:v>
                </c:pt>
                <c:pt idx="25">
                  <c:v>1</c:v>
                </c:pt>
                <c:pt idx="26">
                  <c:v>1</c:v>
                </c:pt>
                <c:pt idx="27">
                  <c:v>0.61657032755298646</c:v>
                </c:pt>
                <c:pt idx="28">
                  <c:v>1</c:v>
                </c:pt>
                <c:pt idx="29">
                  <c:v>1</c:v>
                </c:pt>
                <c:pt idx="30">
                  <c:v>0.76271186440677963</c:v>
                </c:pt>
                <c:pt idx="31">
                  <c:v>1</c:v>
                </c:pt>
                <c:pt idx="32">
                  <c:v>0.85470085470085466</c:v>
                </c:pt>
                <c:pt idx="33">
                  <c:v>0.91743119266055051</c:v>
                </c:pt>
                <c:pt idx="34">
                  <c:v>1</c:v>
                </c:pt>
                <c:pt idx="35">
                  <c:v>1</c:v>
                </c:pt>
                <c:pt idx="36">
                  <c:v>1</c:v>
                </c:pt>
                <c:pt idx="37">
                  <c:v>1</c:v>
                </c:pt>
                <c:pt idx="38">
                  <c:v>0.40540540540540543</c:v>
                </c:pt>
                <c:pt idx="39">
                  <c:v>1</c:v>
                </c:pt>
                <c:pt idx="40">
                  <c:v>0.88888888888888884</c:v>
                </c:pt>
                <c:pt idx="41">
                  <c:v>1</c:v>
                </c:pt>
                <c:pt idx="42">
                  <c:v>0</c:v>
                </c:pt>
                <c:pt idx="43">
                  <c:v>0.28503562945368172</c:v>
                </c:pt>
                <c:pt idx="44">
                  <c:v>0.88235294117647056</c:v>
                </c:pt>
                <c:pt idx="45">
                  <c:v>0.6097560975609756</c:v>
                </c:pt>
                <c:pt idx="46">
                  <c:v>1</c:v>
                </c:pt>
                <c:pt idx="47">
                  <c:v>0.88748019017432644</c:v>
                </c:pt>
                <c:pt idx="48">
                  <c:v>1</c:v>
                </c:pt>
                <c:pt idx="49">
                  <c:v>1</c:v>
                </c:pt>
                <c:pt idx="50">
                  <c:v>0.86105675146771032</c:v>
                </c:pt>
                <c:pt idx="51">
                  <c:v>1</c:v>
                </c:pt>
                <c:pt idx="52">
                  <c:v>0.59782608695652173</c:v>
                </c:pt>
                <c:pt idx="53">
                  <c:v>0.54919908466819223</c:v>
                </c:pt>
                <c:pt idx="54">
                  <c:v>1</c:v>
                </c:pt>
                <c:pt idx="55">
                  <c:v>1</c:v>
                </c:pt>
                <c:pt idx="56">
                  <c:v>0.94915254237288138</c:v>
                </c:pt>
                <c:pt idx="57">
                  <c:v>1</c:v>
                </c:pt>
                <c:pt idx="58">
                  <c:v>0.5714285714285714</c:v>
                </c:pt>
                <c:pt idx="59">
                  <c:v>1</c:v>
                </c:pt>
                <c:pt idx="60">
                  <c:v>1</c:v>
                </c:pt>
                <c:pt idx="61">
                  <c:v>0.97560975609756095</c:v>
                </c:pt>
                <c:pt idx="62">
                  <c:v>0.77795786061588335</c:v>
                </c:pt>
                <c:pt idx="63">
                  <c:v>1</c:v>
                </c:pt>
                <c:pt idx="64">
                  <c:v>1</c:v>
                </c:pt>
                <c:pt idx="65">
                  <c:v>0.94763092269326688</c:v>
                </c:pt>
                <c:pt idx="66">
                  <c:v>0.84033613445378152</c:v>
                </c:pt>
                <c:pt idx="67">
                  <c:v>0.75235109717868343</c:v>
                </c:pt>
                <c:pt idx="68">
                  <c:v>0.86294416243654826</c:v>
                </c:pt>
                <c:pt idx="69">
                  <c:v>0.80428954423592491</c:v>
                </c:pt>
                <c:pt idx="70">
                  <c:v>1</c:v>
                </c:pt>
                <c:pt idx="71">
                  <c:v>0.47058823529411764</c:v>
                </c:pt>
                <c:pt idx="72">
                  <c:v>1</c:v>
                </c:pt>
                <c:pt idx="73">
                  <c:v>1</c:v>
                </c:pt>
                <c:pt idx="74">
                  <c:v>1</c:v>
                </c:pt>
                <c:pt idx="75">
                  <c:v>1</c:v>
                </c:pt>
                <c:pt idx="76">
                  <c:v>1</c:v>
                </c:pt>
                <c:pt idx="77">
                  <c:v>0.86830680173661356</c:v>
                </c:pt>
                <c:pt idx="78">
                  <c:v>1</c:v>
                </c:pt>
                <c:pt idx="79">
                  <c:v>1</c:v>
                </c:pt>
                <c:pt idx="80">
                  <c:v>1</c:v>
                </c:pt>
                <c:pt idx="81">
                  <c:v>1</c:v>
                </c:pt>
                <c:pt idx="82">
                  <c:v>0.68493150684931503</c:v>
                </c:pt>
                <c:pt idx="83">
                  <c:v>1</c:v>
                </c:pt>
                <c:pt idx="84">
                  <c:v>1</c:v>
                </c:pt>
                <c:pt idx="85">
                  <c:v>1</c:v>
                </c:pt>
                <c:pt idx="86">
                  <c:v>1</c:v>
                </c:pt>
                <c:pt idx="87">
                  <c:v>0.83333333333333337</c:v>
                </c:pt>
                <c:pt idx="88">
                  <c:v>0.87431693989071035</c:v>
                </c:pt>
                <c:pt idx="89">
                  <c:v>0.98765432098765427</c:v>
                </c:pt>
                <c:pt idx="90">
                  <c:v>0.52770448548812665</c:v>
                </c:pt>
                <c:pt idx="91">
                  <c:v>1</c:v>
                </c:pt>
                <c:pt idx="92">
                  <c:v>1</c:v>
                </c:pt>
                <c:pt idx="93">
                  <c:v>1</c:v>
                </c:pt>
                <c:pt idx="94">
                  <c:v>1</c:v>
                </c:pt>
                <c:pt idx="95">
                  <c:v>1</c:v>
                </c:pt>
                <c:pt idx="96">
                  <c:v>1</c:v>
                </c:pt>
                <c:pt idx="97">
                  <c:v>1</c:v>
                </c:pt>
                <c:pt idx="98">
                  <c:v>0.73529411764705888</c:v>
                </c:pt>
                <c:pt idx="99">
                  <c:v>0.20408163265306123</c:v>
                </c:pt>
                <c:pt idx="100">
                  <c:v>1</c:v>
                </c:pt>
                <c:pt idx="101">
                  <c:v>0.45977011494252873</c:v>
                </c:pt>
                <c:pt idx="102">
                  <c:v>1</c:v>
                </c:pt>
                <c:pt idx="103">
                  <c:v>1</c:v>
                </c:pt>
                <c:pt idx="104">
                  <c:v>1</c:v>
                </c:pt>
                <c:pt idx="105">
                  <c:v>1</c:v>
                </c:pt>
                <c:pt idx="106">
                  <c:v>0.69868995633187769</c:v>
                </c:pt>
                <c:pt idx="107">
                  <c:v>1</c:v>
                </c:pt>
                <c:pt idx="108">
                  <c:v>1</c:v>
                </c:pt>
                <c:pt idx="109">
                  <c:v>1</c:v>
                </c:pt>
                <c:pt idx="110">
                  <c:v>1</c:v>
                </c:pt>
                <c:pt idx="111">
                  <c:v>1</c:v>
                </c:pt>
                <c:pt idx="112">
                  <c:v>0.99071207430340558</c:v>
                </c:pt>
                <c:pt idx="113">
                  <c:v>0.93023255813953487</c:v>
                </c:pt>
                <c:pt idx="114">
                  <c:v>1</c:v>
                </c:pt>
                <c:pt idx="115">
                  <c:v>0.7857142857142857</c:v>
                </c:pt>
                <c:pt idx="116">
                  <c:v>1</c:v>
                </c:pt>
                <c:pt idx="117">
                  <c:v>0.82840236686390534</c:v>
                </c:pt>
                <c:pt idx="118">
                  <c:v>1</c:v>
                </c:pt>
                <c:pt idx="119">
                  <c:v>1</c:v>
                </c:pt>
                <c:pt idx="120">
                  <c:v>0.76741130091984233</c:v>
                </c:pt>
                <c:pt idx="121">
                  <c:v>1</c:v>
                </c:pt>
                <c:pt idx="122">
                  <c:v>0.75</c:v>
                </c:pt>
                <c:pt idx="123">
                  <c:v>0.76923076923076927</c:v>
                </c:pt>
                <c:pt idx="124">
                  <c:v>1</c:v>
                </c:pt>
                <c:pt idx="125">
                  <c:v>1</c:v>
                </c:pt>
                <c:pt idx="126">
                  <c:v>1</c:v>
                </c:pt>
                <c:pt idx="127">
                  <c:v>0.75294117647058822</c:v>
                </c:pt>
                <c:pt idx="128">
                  <c:v>1</c:v>
                </c:pt>
                <c:pt idx="129">
                  <c:v>1</c:v>
                </c:pt>
                <c:pt idx="130">
                  <c:v>1</c:v>
                </c:pt>
                <c:pt idx="131">
                  <c:v>0.77519379844961245</c:v>
                </c:pt>
                <c:pt idx="132">
                  <c:v>1</c:v>
                </c:pt>
                <c:pt idx="133">
                  <c:v>1</c:v>
                </c:pt>
                <c:pt idx="134">
                  <c:v>1</c:v>
                </c:pt>
                <c:pt idx="135">
                  <c:v>1</c:v>
                </c:pt>
                <c:pt idx="136">
                  <c:v>0.84690553745928343</c:v>
                </c:pt>
                <c:pt idx="137">
                  <c:v>0.67039106145251393</c:v>
                </c:pt>
                <c:pt idx="138">
                  <c:v>1</c:v>
                </c:pt>
                <c:pt idx="139">
                  <c:v>0.94736842105263153</c:v>
                </c:pt>
                <c:pt idx="140">
                  <c:v>1</c:v>
                </c:pt>
                <c:pt idx="141">
                  <c:v>1</c:v>
                </c:pt>
                <c:pt idx="142">
                  <c:v>1</c:v>
                </c:pt>
                <c:pt idx="143">
                  <c:v>1</c:v>
                </c:pt>
                <c:pt idx="144">
                  <c:v>1</c:v>
                </c:pt>
                <c:pt idx="145">
                  <c:v>1</c:v>
                </c:pt>
                <c:pt idx="146">
                  <c:v>1</c:v>
                </c:pt>
                <c:pt idx="147">
                  <c:v>1</c:v>
                </c:pt>
                <c:pt idx="148">
                  <c:v>1</c:v>
                </c:pt>
                <c:pt idx="149">
                  <c:v>0.5357142857142857</c:v>
                </c:pt>
                <c:pt idx="150">
                  <c:v>0.84388185654008441</c:v>
                </c:pt>
                <c:pt idx="151">
                  <c:v>0.36036036036036034</c:v>
                </c:pt>
                <c:pt idx="152">
                  <c:v>0.48484848484848486</c:v>
                </c:pt>
                <c:pt idx="153">
                  <c:v>0.71846934791097228</c:v>
                </c:pt>
              </c:numCache>
            </c:numRef>
          </c:val>
        </c:ser>
        <c:ser>
          <c:idx val="2"/>
          <c:order val="2"/>
          <c:tx>
            <c:strRef>
              <c:f>SituationAnalysis!$AC$83</c:f>
              <c:strCache>
                <c:ptCount val="1"/>
                <c:pt idx="0">
                  <c:v>% Bathroom need coverage</c:v>
                </c:pt>
              </c:strCache>
            </c:strRef>
          </c:tx>
          <c:spPr>
            <a:solidFill>
              <a:schemeClr val="accent3"/>
            </a:solidFill>
            <a:ln>
              <a:noFill/>
            </a:ln>
            <a:effectLst/>
          </c:spPr>
          <c:invertIfNegative val="0"/>
          <c:cat>
            <c:strRef>
              <c:f>SituationAnalysis!$Z$84:$Z$238</c:f>
              <c:strCache>
                <c:ptCount val="154"/>
                <c:pt idx="0">
                  <c:v>5 Ward Baptist Church(lon Khin)</c:v>
                </c:pt>
                <c:pt idx="1">
                  <c:v>5 Ward RC Church(lon Khin)</c:v>
                </c:pt>
                <c:pt idx="2">
                  <c:v>AD-2000 Extension camp</c:v>
                </c:pt>
                <c:pt idx="3">
                  <c:v>AD-2000 Tharthana Compound*</c:v>
                </c:pt>
                <c:pt idx="4">
                  <c:v>AG Church, Hmaw Si Sa</c:v>
                </c:pt>
                <c:pt idx="5">
                  <c:v>AG Church, Maw Wan</c:v>
                </c:pt>
                <c:pt idx="6">
                  <c:v>Agritural Compound (KBC)</c:v>
                </c:pt>
                <c:pt idx="7">
                  <c:v>Aung Thar Church</c:v>
                </c:pt>
                <c:pt idx="8">
                  <c:v>Bang Lung</c:v>
                </c:pt>
                <c:pt idx="9">
                  <c:v>Baptist Church, Hmaw Si Sar(Lon Khin)</c:v>
                </c:pt>
                <c:pt idx="10">
                  <c:v>Baptist Church, Naung Hmee VT</c:v>
                </c:pt>
                <c:pt idx="11">
                  <c:v>Baptist Church, Sai Ra village</c:v>
                </c:pt>
                <c:pt idx="12">
                  <c:v>Border Post 8</c:v>
                </c:pt>
                <c:pt idx="13">
                  <c:v>Bum Tsit Pa * (1)</c:v>
                </c:pt>
                <c:pt idx="14">
                  <c:v>Bum Tsit Pa * (2)</c:v>
                </c:pt>
                <c:pt idx="15">
                  <c:v>Chin Church, Seik Mu</c:v>
                </c:pt>
                <c:pt idx="16">
                  <c:v>Chipwi KBC camp</c:v>
                </c:pt>
                <c:pt idx="17">
                  <c:v>Clutural Compound</c:v>
                </c:pt>
                <c:pt idx="18">
                  <c:v>Dhama Rakhita, Nyein Chan Tar Yar Ward(Lon Khin)</c:v>
                </c:pt>
                <c:pt idx="19">
                  <c:v>Du Kahtawng Qtr. 14</c:v>
                </c:pt>
                <c:pt idx="20">
                  <c:v>Du Kahtawng Qtr. 4</c:v>
                </c:pt>
                <c:pt idx="21">
                  <c:v>Du Kahtawng Qtr. 5</c:v>
                </c:pt>
                <c:pt idx="22">
                  <c:v>Dum Bung </c:v>
                </c:pt>
                <c:pt idx="23">
                  <c:v>Hkat Cho </c:v>
                </c:pt>
                <c:pt idx="24">
                  <c:v>Hkau Shau (BP 12)</c:v>
                </c:pt>
                <c:pt idx="25">
                  <c:v>Hlaing Naung Baptist</c:v>
                </c:pt>
                <c:pt idx="26">
                  <c:v>Hmaw Wan, Anglican</c:v>
                </c:pt>
                <c:pt idx="27">
                  <c:v>Hpakant Baptist Church, Nam Ma Hpit</c:v>
                </c:pt>
                <c:pt idx="28">
                  <c:v>Hpare Hkyer - BP6</c:v>
                </c:pt>
                <c:pt idx="29">
                  <c:v>Hpun Lum Yang </c:v>
                </c:pt>
                <c:pt idx="30">
                  <c:v>Htoi San Church*</c:v>
                </c:pt>
                <c:pt idx="31">
                  <c:v>Jan Mai Kawng Baptist Church</c:v>
                </c:pt>
                <c:pt idx="32">
                  <c:v>Jan Mai Kawng Catholic Church</c:v>
                </c:pt>
                <c:pt idx="33">
                  <c:v>Jaw 2</c:v>
                </c:pt>
                <c:pt idx="34">
                  <c:v>Je Yang Hka </c:v>
                </c:pt>
                <c:pt idx="35">
                  <c:v>Kachin Su Baptist Church (ECCD)</c:v>
                </c:pt>
                <c:pt idx="36">
                  <c:v>Khar Nan (1) Baptist Church</c:v>
                </c:pt>
                <c:pt idx="37">
                  <c:v>Kone Khem Camp</c:v>
                </c:pt>
                <c:pt idx="38">
                  <c:v>Kutkai downtown (KBC Church)</c:v>
                </c:pt>
                <c:pt idx="39">
                  <c:v>Kutkai downtown (RC Church)</c:v>
                </c:pt>
                <c:pt idx="40">
                  <c:v>Kyun Pin Thar Baptist Church</c:v>
                </c:pt>
                <c:pt idx="41">
                  <c:v>Kyun Taw Baptist Church </c:v>
                </c:pt>
                <c:pt idx="42">
                  <c:v>La Ja</c:v>
                </c:pt>
                <c:pt idx="43">
                  <c:v>Laiza Market 3 / Laiza Gat</c:v>
                </c:pt>
                <c:pt idx="44">
                  <c:v>Lawk Awng Mare D. (Sinbo Area)</c:v>
                </c:pt>
                <c:pt idx="45">
                  <c:v>Le Kone Bethlehem Church</c:v>
                </c:pt>
                <c:pt idx="46">
                  <c:v>Le Kone Ziun Baptist Church </c:v>
                </c:pt>
                <c:pt idx="47">
                  <c:v>Lhaovao Baptist Church (LBC)</c:v>
                </c:pt>
                <c:pt idx="48">
                  <c:v>Lisu Baptist Church, Maw Shan Vil,. Seik Mu</c:v>
                </c:pt>
                <c:pt idx="49">
                  <c:v>Lisu Baptist Church, Maw Wan Ward</c:v>
                </c:pt>
                <c:pt idx="50">
                  <c:v>Lisu Boarding-House</c:v>
                </c:pt>
                <c:pt idx="51">
                  <c:v>Loi Je Baptist Church</c:v>
                </c:pt>
                <c:pt idx="52">
                  <c:v>Loi Je Catholic Church</c:v>
                </c:pt>
                <c:pt idx="53">
                  <c:v>Loi Je Lisu  (1) Camp</c:v>
                </c:pt>
                <c:pt idx="54">
                  <c:v>Loi Je Lisu  (2) Camp</c:v>
                </c:pt>
                <c:pt idx="55">
                  <c:v>Loi Je Lisu  (3) Camp</c:v>
                </c:pt>
                <c:pt idx="56">
                  <c:v>Loi Je Nyaung Na Pin </c:v>
                </c:pt>
                <c:pt idx="57">
                  <c:v>Loi Je Seng Ja </c:v>
                </c:pt>
                <c:pt idx="58">
                  <c:v>Machanbaw-KBC</c:v>
                </c:pt>
                <c:pt idx="59">
                  <c:v>Mading Baptist Church</c:v>
                </c:pt>
                <c:pt idx="60">
                  <c:v>Maga Yang </c:v>
                </c:pt>
                <c:pt idx="61">
                  <c:v>Maina AG Church</c:v>
                </c:pt>
                <c:pt idx="62">
                  <c:v>Maina Catholic Church (St. Joseph)</c:v>
                </c:pt>
                <c:pt idx="63">
                  <c:v>Maina KBC (Bawng Ring)</c:v>
                </c:pt>
                <c:pt idx="64">
                  <c:v>Maina Lawang Baptist Church</c:v>
                </c:pt>
                <c:pt idx="65">
                  <c:v>Maing Khaung Baptist Church</c:v>
                </c:pt>
                <c:pt idx="66">
                  <c:v>Maing Khaung Catholic Church</c:v>
                </c:pt>
                <c:pt idx="67">
                  <c:v>Maliyang Baptist Church</c:v>
                </c:pt>
                <c:pt idx="68">
                  <c:v>Man Bung Catholic compound</c:v>
                </c:pt>
                <c:pt idx="69">
                  <c:v>Man Bung Edin Baptist Church</c:v>
                </c:pt>
                <c:pt idx="70">
                  <c:v>Man Hkring Baptist Church</c:v>
                </c:pt>
                <c:pt idx="71">
                  <c:v>Man Wing Baptist Church*</c:v>
                </c:pt>
                <c:pt idx="72">
                  <c:v>Man Wing Catholic Church*</c:v>
                </c:pt>
                <c:pt idx="73">
                  <c:v>Mandalay Monestry</c:v>
                </c:pt>
                <c:pt idx="74">
                  <c:v>Mandung - Jinghpaw</c:v>
                </c:pt>
                <c:pt idx="75">
                  <c:v>Mandung - RC</c:v>
                </c:pt>
                <c:pt idx="76">
                  <c:v>Mang Hawng Baptist Church</c:v>
                </c:pt>
                <c:pt idx="77">
                  <c:v>Mansi Baptist Church*</c:v>
                </c:pt>
                <c:pt idx="78">
                  <c:v>Maw Hpawng Hka Nan Baptist Church</c:v>
                </c:pt>
                <c:pt idx="79">
                  <c:v>Maw Hpawng Lhaovo Baptist Church</c:v>
                </c:pt>
                <c:pt idx="80">
                  <c:v>Maw Wan, Mu-yin Baptist Church</c:v>
                </c:pt>
                <c:pt idx="81">
                  <c:v>Mine Yu Lay village</c:v>
                </c:pt>
                <c:pt idx="82">
                  <c:v>Momauk Baptist Church</c:v>
                </c:pt>
                <c:pt idx="83">
                  <c:v>Mungji Pa Dabang (Baptist Church)         </c:v>
                </c:pt>
                <c:pt idx="84">
                  <c:v>Mungji Pa Dabang (RC Church)         </c:v>
                </c:pt>
                <c:pt idx="85">
                  <c:v>Muse KBC Church</c:v>
                </c:pt>
                <c:pt idx="86">
                  <c:v>Muse RC Church</c:v>
                </c:pt>
                <c:pt idx="87">
                  <c:v>Mu-yin Baptist Church</c:v>
                </c:pt>
                <c:pt idx="88">
                  <c:v>MWG -RC2</c:v>
                </c:pt>
                <c:pt idx="89">
                  <c:v>Nam Hkam - Nay Win Ni (Palawng)</c:v>
                </c:pt>
                <c:pt idx="90">
                  <c:v>Nam Hkam (KBC Jaw Wang)</c:v>
                </c:pt>
                <c:pt idx="91">
                  <c:v>Nam Hkam Catholic Church ( St. Thomas I)</c:v>
                </c:pt>
                <c:pt idx="92">
                  <c:v>Nam Hkawng/Manaung kaung</c:v>
                </c:pt>
                <c:pt idx="93">
                  <c:v>Nam Hpak Ka Mare </c:v>
                </c:pt>
                <c:pt idx="94">
                  <c:v>Nam Ma Phyit, COC</c:v>
                </c:pt>
                <c:pt idx="95">
                  <c:v>Namtu Baptist</c:v>
                </c:pt>
                <c:pt idx="96">
                  <c:v>Nan Kway St. John Catholic Church</c:v>
                </c:pt>
                <c:pt idx="97">
                  <c:v>Nant Hlaing Church</c:v>
                </c:pt>
                <c:pt idx="98">
                  <c:v>Nant Ma Hpit Catholic Church</c:v>
                </c:pt>
                <c:pt idx="99">
                  <c:v>Narte</c:v>
                </c:pt>
                <c:pt idx="100">
                  <c:v>Nat Gyi Kone Baptist Church </c:v>
                </c:pt>
                <c:pt idx="101">
                  <c:v>Naung Khaing</c:v>
                </c:pt>
                <c:pt idx="102">
                  <c:v>Nawng Hee Village</c:v>
                </c:pt>
                <c:pt idx="103">
                  <c:v>Nawng Ing (Indawgyi) Baptist Church  </c:v>
                </c:pt>
                <c:pt idx="104">
                  <c:v>Nhkawng Pa </c:v>
                </c:pt>
                <c:pt idx="105">
                  <c:v>Ni Thaw Ka Monestry</c:v>
                </c:pt>
                <c:pt idx="106">
                  <c:v>Njang Dung Baptist Church </c:v>
                </c:pt>
                <c:pt idx="107">
                  <c:v>Pa Dauk Myaing(Pa La Na)</c:v>
                </c:pt>
                <c:pt idx="108">
                  <c:v>Pa Kahtawng 1 A</c:v>
                </c:pt>
                <c:pt idx="109">
                  <c:v>Pa Kahtawng 1B</c:v>
                </c:pt>
                <c:pt idx="110">
                  <c:v>Pa Kahtawng 2</c:v>
                </c:pt>
                <c:pt idx="111">
                  <c:v>Pajau / Jan Mai</c:v>
                </c:pt>
                <c:pt idx="112">
                  <c:v>Pan Wa</c:v>
                </c:pt>
                <c:pt idx="113">
                  <c:v>Phan Khar Kone*</c:v>
                </c:pt>
                <c:pt idx="114">
                  <c:v>Post 6 Camp</c:v>
                </c:pt>
                <c:pt idx="115">
                  <c:v>Qtr. 2 Lhaovo Baptist Church</c:v>
                </c:pt>
                <c:pt idx="116">
                  <c:v>Qtr. 2 Myoma Baptist Church</c:v>
                </c:pt>
                <c:pt idx="117">
                  <c:v>Qtr. 3 Mu-yin  Baptist Church</c:v>
                </c:pt>
                <c:pt idx="118">
                  <c:v>Qtr. 4 Monestry (Thargaya Thayett Taw)</c:v>
                </c:pt>
                <c:pt idx="119">
                  <c:v>Rawan Baptist Church, Maw Shan Vil., Seik Mu</c:v>
                </c:pt>
                <c:pt idx="120">
                  <c:v>Robert Church*</c:v>
                </c:pt>
                <c:pt idx="121">
                  <c:v>Sai Nai Baptish Church, Maw Shan Vil., Seki Mu</c:v>
                </c:pt>
                <c:pt idx="122">
                  <c:v>Shatapru Sut Ngai Tawng</c:v>
                </c:pt>
                <c:pt idx="123">
                  <c:v>Shatapru Thida Aye Baptist Church</c:v>
                </c:pt>
                <c:pt idx="124">
                  <c:v>Shing Jai</c:v>
                </c:pt>
                <c:pt idx="125">
                  <c:v>Shwe Gu Baptist Church</c:v>
                </c:pt>
                <c:pt idx="126">
                  <c:v>Shwe Gu Catholic Church</c:v>
                </c:pt>
                <c:pt idx="127">
                  <c:v>Shwe Zet Baptist Church</c:v>
                </c:pt>
                <c:pt idx="128">
                  <c:v>St. Patrick Catholic Church </c:v>
                </c:pt>
                <c:pt idx="129">
                  <c:v>Ta Gun Taing Monastery (Shwe Kyi Na)</c:v>
                </c:pt>
                <c:pt idx="130">
                  <c:v>Tat Kone (Ra Da Kawng)</c:v>
                </c:pt>
                <c:pt idx="131">
                  <c:v>Tat Kone Baptist Church</c:v>
                </c:pt>
                <c:pt idx="132">
                  <c:v>Tat Kone COC Baptist / Tat Kone Htoi San</c:v>
                </c:pt>
                <c:pt idx="133">
                  <c:v>Tat Kone Emanuel Church</c:v>
                </c:pt>
                <c:pt idx="134">
                  <c:v>Tat Kone Galile Baptist Church</c:v>
                </c:pt>
                <c:pt idx="135">
                  <c:v>Tat Kone San Pya Baptist Church</c:v>
                </c:pt>
                <c:pt idx="136">
                  <c:v>Thargaya Lisu Baptist Church</c:v>
                </c:pt>
                <c:pt idx="137">
                  <c:v>Waingmaw AG Church</c:v>
                </c:pt>
                <c:pt idx="138">
                  <c:v>Waingmaw Baptist Zonal Office</c:v>
                </c:pt>
                <c:pt idx="139">
                  <c:v>Ward 2 Sai Taung Baptist Church, Seik Mu </c:v>
                </c:pt>
                <c:pt idx="140">
                  <c:v>Woi Chyai </c:v>
                </c:pt>
                <c:pt idx="141">
                  <c:v>Wun Tho Buddhist Monastery</c:v>
                </c:pt>
                <c:pt idx="142">
                  <c:v>Yoe Kyi Monastery</c:v>
                </c:pt>
                <c:pt idx="143">
                  <c:v>Yumar Baptist Church</c:v>
                </c:pt>
                <c:pt idx="144">
                  <c:v>Zai Awng / Mung Ga Zup</c:v>
                </c:pt>
                <c:pt idx="145">
                  <c:v>Zup Aung Camp</c:v>
                </c:pt>
                <c:pt idx="146">
                  <c:v>Woi Chyai (Mong Lai)</c:v>
                </c:pt>
                <c:pt idx="147">
                  <c:v>Lone Sut</c:v>
                </c:pt>
                <c:pt idx="148">
                  <c:v>Bum Tsit Pa * (3)</c:v>
                </c:pt>
                <c:pt idx="149">
                  <c:v>Ku Day Maw KBC</c:v>
                </c:pt>
                <c:pt idx="150">
                  <c:v>Loi Je Lisu  (4) Camp</c:v>
                </c:pt>
                <c:pt idx="151">
                  <c:v>Nam Ja Rap</c:v>
                </c:pt>
                <c:pt idx="152">
                  <c:v>Pan Wa (Saw Zam) camp </c:v>
                </c:pt>
                <c:pt idx="153">
                  <c:v>Lana Zup Ja</c:v>
                </c:pt>
              </c:strCache>
            </c:strRef>
          </c:cat>
          <c:val>
            <c:numRef>
              <c:f>SituationAnalysis!$AC$84:$AC$238</c:f>
              <c:numCache>
                <c:formatCode>0%</c:formatCode>
                <c:ptCount val="154"/>
                <c:pt idx="0">
                  <c:v>0.55555555555555558</c:v>
                </c:pt>
                <c:pt idx="1">
                  <c:v>0.47058823529411764</c:v>
                </c:pt>
                <c:pt idx="2">
                  <c:v>0.22988505747126436</c:v>
                </c:pt>
                <c:pt idx="3">
                  <c:v>0.21276595744680851</c:v>
                </c:pt>
                <c:pt idx="4">
                  <c:v>0.59171597633136097</c:v>
                </c:pt>
                <c:pt idx="5">
                  <c:v>1</c:v>
                </c:pt>
                <c:pt idx="6">
                  <c:v>0.49342105263157893</c:v>
                </c:pt>
                <c:pt idx="7">
                  <c:v>0</c:v>
                </c:pt>
                <c:pt idx="8">
                  <c:v>1</c:v>
                </c:pt>
                <c:pt idx="9">
                  <c:v>0.91743119266055051</c:v>
                </c:pt>
                <c:pt idx="10">
                  <c:v>1</c:v>
                </c:pt>
                <c:pt idx="11">
                  <c:v>1</c:v>
                </c:pt>
                <c:pt idx="12">
                  <c:v>0.15503875968992248</c:v>
                </c:pt>
                <c:pt idx="13">
                  <c:v>0.53908355795148244</c:v>
                </c:pt>
                <c:pt idx="14">
                  <c:v>0.34168564920273348</c:v>
                </c:pt>
                <c:pt idx="15">
                  <c:v>1</c:v>
                </c:pt>
                <c:pt idx="16">
                  <c:v>0.76335877862595425</c:v>
                </c:pt>
                <c:pt idx="17">
                  <c:v>0.96899224806201545</c:v>
                </c:pt>
                <c:pt idx="18">
                  <c:v>0.89552238805970152</c:v>
                </c:pt>
                <c:pt idx="19">
                  <c:v>1</c:v>
                </c:pt>
                <c:pt idx="20">
                  <c:v>1</c:v>
                </c:pt>
                <c:pt idx="21">
                  <c:v>1</c:v>
                </c:pt>
                <c:pt idx="22">
                  <c:v>0.64516129032258063</c:v>
                </c:pt>
                <c:pt idx="23">
                  <c:v>0.79207920792079212</c:v>
                </c:pt>
                <c:pt idx="24">
                  <c:v>0.25951557093425603</c:v>
                </c:pt>
                <c:pt idx="25">
                  <c:v>1</c:v>
                </c:pt>
                <c:pt idx="26">
                  <c:v>1</c:v>
                </c:pt>
                <c:pt idx="27">
                  <c:v>0.5780346820809249</c:v>
                </c:pt>
                <c:pt idx="28">
                  <c:v>0.45819014891179838</c:v>
                </c:pt>
                <c:pt idx="29">
                  <c:v>0.26223776223776224</c:v>
                </c:pt>
                <c:pt idx="30">
                  <c:v>0.84745762711864403</c:v>
                </c:pt>
                <c:pt idx="31">
                  <c:v>0.41067761806981518</c:v>
                </c:pt>
                <c:pt idx="32">
                  <c:v>0.21367521367521367</c:v>
                </c:pt>
                <c:pt idx="33">
                  <c:v>1</c:v>
                </c:pt>
                <c:pt idx="34">
                  <c:v>0.75199508901166356</c:v>
                </c:pt>
                <c:pt idx="35">
                  <c:v>1</c:v>
                </c:pt>
                <c:pt idx="36">
                  <c:v>1</c:v>
                </c:pt>
                <c:pt idx="37">
                  <c:v>0.30769230769230771</c:v>
                </c:pt>
                <c:pt idx="38">
                  <c:v>0.67567567567567566</c:v>
                </c:pt>
                <c:pt idx="39">
                  <c:v>1</c:v>
                </c:pt>
                <c:pt idx="40">
                  <c:v>1</c:v>
                </c:pt>
                <c:pt idx="41">
                  <c:v>1</c:v>
                </c:pt>
                <c:pt idx="42">
                  <c:v>0</c:v>
                </c:pt>
                <c:pt idx="43">
                  <c:v>0.47505938242280282</c:v>
                </c:pt>
                <c:pt idx="44">
                  <c:v>0</c:v>
                </c:pt>
                <c:pt idx="45">
                  <c:v>0.3048780487804878</c:v>
                </c:pt>
                <c:pt idx="46">
                  <c:v>0.64935064935064934</c:v>
                </c:pt>
                <c:pt idx="47">
                  <c:v>1</c:v>
                </c:pt>
                <c:pt idx="48">
                  <c:v>1</c:v>
                </c:pt>
                <c:pt idx="49">
                  <c:v>1</c:v>
                </c:pt>
                <c:pt idx="50">
                  <c:v>0.78277886497064575</c:v>
                </c:pt>
                <c:pt idx="51">
                  <c:v>0.57471264367816088</c:v>
                </c:pt>
                <c:pt idx="52">
                  <c:v>0.54347826086956519</c:v>
                </c:pt>
                <c:pt idx="53">
                  <c:v>0.2288329519450801</c:v>
                </c:pt>
                <c:pt idx="54">
                  <c:v>0.49504950495049505</c:v>
                </c:pt>
                <c:pt idx="55">
                  <c:v>1</c:v>
                </c:pt>
                <c:pt idx="56">
                  <c:v>1</c:v>
                </c:pt>
                <c:pt idx="57">
                  <c:v>1</c:v>
                </c:pt>
                <c:pt idx="58">
                  <c:v>0</c:v>
                </c:pt>
                <c:pt idx="59">
                  <c:v>0.91743119266055051</c:v>
                </c:pt>
                <c:pt idx="60">
                  <c:v>0.92526690391459077</c:v>
                </c:pt>
                <c:pt idx="61">
                  <c:v>1</c:v>
                </c:pt>
                <c:pt idx="62">
                  <c:v>0</c:v>
                </c:pt>
                <c:pt idx="63">
                  <c:v>0.28887818969667789</c:v>
                </c:pt>
                <c:pt idx="64">
                  <c:v>1</c:v>
                </c:pt>
                <c:pt idx="65">
                  <c:v>0.49875311720698257</c:v>
                </c:pt>
                <c:pt idx="66">
                  <c:v>0.50420168067226889</c:v>
                </c:pt>
                <c:pt idx="67">
                  <c:v>0.62695924764890287</c:v>
                </c:pt>
                <c:pt idx="68">
                  <c:v>0.59221658206429784</c:v>
                </c:pt>
                <c:pt idx="69">
                  <c:v>0.80428954423592491</c:v>
                </c:pt>
                <c:pt idx="70">
                  <c:v>0.22123893805309736</c:v>
                </c:pt>
                <c:pt idx="71">
                  <c:v>0.29411764705882354</c:v>
                </c:pt>
                <c:pt idx="72">
                  <c:v>0.33698399326032014</c:v>
                </c:pt>
                <c:pt idx="73">
                  <c:v>1</c:v>
                </c:pt>
                <c:pt idx="74">
                  <c:v>0</c:v>
                </c:pt>
                <c:pt idx="75">
                  <c:v>1</c:v>
                </c:pt>
                <c:pt idx="76">
                  <c:v>1</c:v>
                </c:pt>
                <c:pt idx="77">
                  <c:v>0.86830680173661356</c:v>
                </c:pt>
                <c:pt idx="78">
                  <c:v>1</c:v>
                </c:pt>
                <c:pt idx="79">
                  <c:v>1</c:v>
                </c:pt>
                <c:pt idx="80">
                  <c:v>1</c:v>
                </c:pt>
                <c:pt idx="81">
                  <c:v>0</c:v>
                </c:pt>
                <c:pt idx="82">
                  <c:v>0.54794520547945202</c:v>
                </c:pt>
                <c:pt idx="83">
                  <c:v>0</c:v>
                </c:pt>
                <c:pt idx="84">
                  <c:v>0.5714285714285714</c:v>
                </c:pt>
                <c:pt idx="85">
                  <c:v>1</c:v>
                </c:pt>
                <c:pt idx="86">
                  <c:v>1</c:v>
                </c:pt>
                <c:pt idx="87">
                  <c:v>1</c:v>
                </c:pt>
                <c:pt idx="88">
                  <c:v>0.36429872495446264</c:v>
                </c:pt>
                <c:pt idx="89">
                  <c:v>0.61728395061728392</c:v>
                </c:pt>
                <c:pt idx="90">
                  <c:v>0.52770448548812665</c:v>
                </c:pt>
                <c:pt idx="91">
                  <c:v>0.94339622641509435</c:v>
                </c:pt>
                <c:pt idx="92">
                  <c:v>1</c:v>
                </c:pt>
                <c:pt idx="93">
                  <c:v>0.74349442379182151</c:v>
                </c:pt>
                <c:pt idx="94">
                  <c:v>1</c:v>
                </c:pt>
                <c:pt idx="95">
                  <c:v>1</c:v>
                </c:pt>
                <c:pt idx="96">
                  <c:v>0.97402597402597402</c:v>
                </c:pt>
                <c:pt idx="97">
                  <c:v>1</c:v>
                </c:pt>
                <c:pt idx="98">
                  <c:v>0.73529411764705888</c:v>
                </c:pt>
                <c:pt idx="99">
                  <c:v>0</c:v>
                </c:pt>
                <c:pt idx="100">
                  <c:v>1</c:v>
                </c:pt>
                <c:pt idx="101">
                  <c:v>0</c:v>
                </c:pt>
                <c:pt idx="102">
                  <c:v>1</c:v>
                </c:pt>
                <c:pt idx="103">
                  <c:v>1</c:v>
                </c:pt>
                <c:pt idx="104">
                  <c:v>0.42865890998162892</c:v>
                </c:pt>
                <c:pt idx="105">
                  <c:v>1</c:v>
                </c:pt>
                <c:pt idx="106">
                  <c:v>0.8733624454148472</c:v>
                </c:pt>
                <c:pt idx="107">
                  <c:v>1</c:v>
                </c:pt>
                <c:pt idx="108">
                  <c:v>0.14903129657228018</c:v>
                </c:pt>
                <c:pt idx="109">
                  <c:v>0.39840637450199201</c:v>
                </c:pt>
                <c:pt idx="110">
                  <c:v>0.74349442379182151</c:v>
                </c:pt>
                <c:pt idx="111">
                  <c:v>0.77922077922077926</c:v>
                </c:pt>
                <c:pt idx="112">
                  <c:v>0.61919504643962853</c:v>
                </c:pt>
                <c:pt idx="113">
                  <c:v>0.85679314565483478</c:v>
                </c:pt>
                <c:pt idx="114">
                  <c:v>0.3125</c:v>
                </c:pt>
                <c:pt idx="115">
                  <c:v>1</c:v>
                </c:pt>
                <c:pt idx="116">
                  <c:v>1</c:v>
                </c:pt>
                <c:pt idx="117">
                  <c:v>1</c:v>
                </c:pt>
                <c:pt idx="118">
                  <c:v>1</c:v>
                </c:pt>
                <c:pt idx="119">
                  <c:v>1</c:v>
                </c:pt>
                <c:pt idx="120">
                  <c:v>0.26281208935611039</c:v>
                </c:pt>
                <c:pt idx="121">
                  <c:v>1</c:v>
                </c:pt>
                <c:pt idx="122">
                  <c:v>0.5</c:v>
                </c:pt>
                <c:pt idx="123">
                  <c:v>1</c:v>
                </c:pt>
                <c:pt idx="124">
                  <c:v>0.68807339449541283</c:v>
                </c:pt>
                <c:pt idx="125">
                  <c:v>1</c:v>
                </c:pt>
                <c:pt idx="126">
                  <c:v>1</c:v>
                </c:pt>
                <c:pt idx="127">
                  <c:v>0.23529411764705882</c:v>
                </c:pt>
                <c:pt idx="128">
                  <c:v>1</c:v>
                </c:pt>
                <c:pt idx="129">
                  <c:v>1</c:v>
                </c:pt>
                <c:pt idx="130">
                  <c:v>1</c:v>
                </c:pt>
                <c:pt idx="131">
                  <c:v>0.77519379844961245</c:v>
                </c:pt>
                <c:pt idx="132">
                  <c:v>1</c:v>
                </c:pt>
                <c:pt idx="133">
                  <c:v>1</c:v>
                </c:pt>
                <c:pt idx="134">
                  <c:v>1</c:v>
                </c:pt>
                <c:pt idx="135">
                  <c:v>0.83333333333333337</c:v>
                </c:pt>
                <c:pt idx="136">
                  <c:v>1</c:v>
                </c:pt>
                <c:pt idx="137">
                  <c:v>1</c:v>
                </c:pt>
                <c:pt idx="138">
                  <c:v>1</c:v>
                </c:pt>
                <c:pt idx="139">
                  <c:v>1</c:v>
                </c:pt>
                <c:pt idx="140">
                  <c:v>1</c:v>
                </c:pt>
                <c:pt idx="141">
                  <c:v>1</c:v>
                </c:pt>
                <c:pt idx="142">
                  <c:v>1</c:v>
                </c:pt>
                <c:pt idx="143">
                  <c:v>1</c:v>
                </c:pt>
                <c:pt idx="144">
                  <c:v>0.49180327868852458</c:v>
                </c:pt>
                <c:pt idx="145">
                  <c:v>0</c:v>
                </c:pt>
                <c:pt idx="146">
                  <c:v>1</c:v>
                </c:pt>
                <c:pt idx="147">
                  <c:v>0</c:v>
                </c:pt>
                <c:pt idx="148">
                  <c:v>1</c:v>
                </c:pt>
                <c:pt idx="149">
                  <c:v>0.44642857142857145</c:v>
                </c:pt>
                <c:pt idx="150">
                  <c:v>0.84388185654008441</c:v>
                </c:pt>
                <c:pt idx="151">
                  <c:v>0</c:v>
                </c:pt>
                <c:pt idx="152">
                  <c:v>0</c:v>
                </c:pt>
                <c:pt idx="153">
                  <c:v>3.9047247169074581E-2</c:v>
                </c:pt>
              </c:numCache>
            </c:numRef>
          </c:val>
        </c:ser>
        <c:dLbls>
          <c:showLegendKey val="0"/>
          <c:showVal val="0"/>
          <c:showCatName val="0"/>
          <c:showSerName val="0"/>
          <c:showPercent val="0"/>
          <c:showBubbleSize val="0"/>
        </c:dLbls>
        <c:gapWidth val="219"/>
        <c:overlap val="-27"/>
        <c:axId val="106064128"/>
        <c:axId val="106082304"/>
      </c:barChart>
      <c:catAx>
        <c:axId val="10606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82304"/>
        <c:crosses val="autoZero"/>
        <c:auto val="1"/>
        <c:lblAlgn val="ctr"/>
        <c:lblOffset val="100"/>
        <c:noMultiLvlLbl val="0"/>
      </c:catAx>
      <c:valAx>
        <c:axId val="1060823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64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a:t>HRP</a:t>
            </a:r>
            <a:r>
              <a:rPr lang="en-US" sz="600"/>
              <a:t> target population:</a:t>
            </a:r>
          </a:p>
          <a:p>
            <a:pPr>
              <a:defRPr sz="600" b="0" i="0" u="none" strike="noStrike" kern="1200" spc="0" baseline="0">
                <a:solidFill>
                  <a:schemeClr val="tx1">
                    <a:lumMod val="65000"/>
                    <a:lumOff val="35000"/>
                  </a:schemeClr>
                </a:solidFill>
                <a:latin typeface="+mn-lt"/>
                <a:ea typeface="+mn-ea"/>
                <a:cs typeface="+mn-cs"/>
              </a:defRPr>
            </a:pPr>
            <a:r>
              <a:rPr lang="en-US" sz="600" b="0" i="1"/>
              <a:t>119,500</a:t>
            </a:r>
          </a:p>
          <a:p>
            <a:pPr>
              <a:defRPr sz="600" b="0" i="0" u="none" strike="noStrike" kern="1200" spc="0" baseline="0">
                <a:solidFill>
                  <a:schemeClr val="tx1">
                    <a:lumMod val="65000"/>
                    <a:lumOff val="35000"/>
                  </a:schemeClr>
                </a:solidFill>
                <a:latin typeface="+mn-lt"/>
                <a:ea typeface="+mn-ea"/>
                <a:cs typeface="+mn-cs"/>
              </a:defRPr>
            </a:pPr>
            <a:r>
              <a:rPr lang="en-US" sz="600"/>
              <a:t>Receive</a:t>
            </a:r>
            <a:r>
              <a:rPr lang="en-US" sz="600" baseline="0"/>
              <a:t> Wash services</a:t>
            </a:r>
            <a:r>
              <a:rPr lang="en-US" sz="600"/>
              <a:t>:</a:t>
            </a:r>
          </a:p>
        </c:rich>
      </c:tx>
      <c:layout>
        <c:manualLayout>
          <c:xMode val="edge"/>
          <c:yMode val="edge"/>
          <c:x val="0.14390662253882924"/>
          <c:y val="0.50728388906635458"/>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5.7287410567956533E-2"/>
                  <c:y val="0.18179937822794959"/>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indicator'!$C$38:$C$41</c:f>
              <c:numCache>
                <c:formatCode>0%</c:formatCode>
                <c:ptCount val="4"/>
                <c:pt idx="0">
                  <c:v>0.77131990664707406</c:v>
                </c:pt>
                <c:pt idx="1">
                  <c:v>0.22868009335292594</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Lit>
              <c:formatCode>General</c:formatCode>
              <c:ptCount val="4"/>
              <c:pt idx="0">
                <c:v>0.4</c:v>
              </c:pt>
              <c:pt idx="1">
                <c:v>0.3</c:v>
              </c:pt>
              <c:pt idx="2">
                <c:v>0.3</c:v>
              </c:pt>
              <c:pt idx="3">
                <c:v>1</c:v>
              </c:pt>
            </c:numLit>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2015.xlsx]SituationAnalysis!PivotTable19</c:name>
    <c:fmtId val="2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Latrine Type coverage</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SituationAnalysis!$C$282</c:f>
              <c:strCache>
                <c:ptCount val="1"/>
                <c:pt idx="0">
                  <c:v>% Coverage Permanent Latrine</c:v>
                </c:pt>
              </c:strCache>
            </c:strRef>
          </c:tx>
          <c:spPr>
            <a:solidFill>
              <a:schemeClr val="accent1"/>
            </a:solidFill>
            <a:ln>
              <a:noFill/>
            </a:ln>
            <a:effectLst/>
            <a:sp3d/>
          </c:spPr>
          <c:invertIfNegative val="0"/>
          <c:cat>
            <c:strRef>
              <c:f>SituationAnalysis!$B$283:$B$293</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SituationAnalysis!$C$283:$C$293</c:f>
              <c:numCache>
                <c:formatCode>0%</c:formatCode>
                <c:ptCount val="10"/>
                <c:pt idx="0">
                  <c:v>0.73387978142076504</c:v>
                </c:pt>
                <c:pt idx="1">
                  <c:v>0.82089912987431513</c:v>
                </c:pt>
                <c:pt idx="2">
                  <c:v>1</c:v>
                </c:pt>
                <c:pt idx="3">
                  <c:v>0.52525514616848301</c:v>
                </c:pt>
                <c:pt idx="4">
                  <c:v>0.52200886262924673</c:v>
                </c:pt>
                <c:pt idx="5">
                  <c:v>0.69408495434696305</c:v>
                </c:pt>
                <c:pt idx="6">
                  <c:v>0.40580624802776899</c:v>
                </c:pt>
                <c:pt idx="7">
                  <c:v>0.16550522648083624</c:v>
                </c:pt>
                <c:pt idx="8">
                  <c:v>0.40712468193384221</c:v>
                </c:pt>
                <c:pt idx="9">
                  <c:v>0.34344172451589333</c:v>
                </c:pt>
              </c:numCache>
            </c:numRef>
          </c:val>
        </c:ser>
        <c:ser>
          <c:idx val="1"/>
          <c:order val="1"/>
          <c:tx>
            <c:strRef>
              <c:f>SituationAnalysis!$D$282</c:f>
              <c:strCache>
                <c:ptCount val="1"/>
                <c:pt idx="0">
                  <c:v>%  Coverage Emergency latrine</c:v>
                </c:pt>
              </c:strCache>
            </c:strRef>
          </c:tx>
          <c:spPr>
            <a:solidFill>
              <a:schemeClr val="accent2"/>
            </a:solidFill>
            <a:ln>
              <a:noFill/>
            </a:ln>
            <a:effectLst/>
            <a:sp3d/>
          </c:spPr>
          <c:invertIfNegative val="0"/>
          <c:cat>
            <c:strRef>
              <c:f>SituationAnalysis!$B$283:$B$293</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SituationAnalysis!$D$283:$D$293</c:f>
              <c:numCache>
                <c:formatCode>0%</c:formatCode>
                <c:ptCount val="10"/>
                <c:pt idx="0">
                  <c:v>6.2295081967213117E-2</c:v>
                </c:pt>
                <c:pt idx="1">
                  <c:v>8.5723493393490169E-2</c:v>
                </c:pt>
                <c:pt idx="2">
                  <c:v>0</c:v>
                </c:pt>
                <c:pt idx="3">
                  <c:v>0.27893098079916967</c:v>
                </c:pt>
                <c:pt idx="4">
                  <c:v>0.46317085179714429</c:v>
                </c:pt>
                <c:pt idx="5">
                  <c:v>0.20460500198491466</c:v>
                </c:pt>
                <c:pt idx="6">
                  <c:v>0.49479331019248973</c:v>
                </c:pt>
                <c:pt idx="7">
                  <c:v>0.65156794425087106</c:v>
                </c:pt>
                <c:pt idx="8">
                  <c:v>0.59287531806615779</c:v>
                </c:pt>
                <c:pt idx="9">
                  <c:v>0.48776032151991233</c:v>
                </c:pt>
              </c:numCache>
            </c:numRef>
          </c:val>
        </c:ser>
        <c:dLbls>
          <c:showLegendKey val="0"/>
          <c:showVal val="0"/>
          <c:showCatName val="0"/>
          <c:showSerName val="0"/>
          <c:showPercent val="0"/>
          <c:showBubbleSize val="0"/>
        </c:dLbls>
        <c:gapWidth val="150"/>
        <c:shape val="box"/>
        <c:axId val="106715008"/>
        <c:axId val="106716544"/>
        <c:axId val="0"/>
      </c:bar3DChart>
      <c:catAx>
        <c:axId val="1067150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716544"/>
        <c:crosses val="autoZero"/>
        <c:auto val="1"/>
        <c:lblAlgn val="ctr"/>
        <c:lblOffset val="100"/>
        <c:noMultiLvlLbl val="0"/>
      </c:catAx>
      <c:valAx>
        <c:axId val="1067165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715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2015.xlsx]SituationAnalysis!PivotTable15</c:name>
    <c:fmtId val="1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Number of latrine missing</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SituationAnalysis!$C$194:$C$195</c:f>
              <c:strCache>
                <c:ptCount val="1"/>
                <c:pt idx="0">
                  <c:v>GCA</c:v>
                </c:pt>
              </c:strCache>
            </c:strRef>
          </c:tx>
          <c:spPr>
            <a:solidFill>
              <a:schemeClr val="accent1"/>
            </a:solidFill>
            <a:ln>
              <a:noFill/>
            </a:ln>
            <a:effectLst/>
            <a:sp3d/>
          </c:spPr>
          <c:invertIfNegative val="0"/>
          <c:cat>
            <c:strRef>
              <c:f>SituationAnalysis!$B$196:$B$215</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SituationAnalysis!$C$196:$C$215</c:f>
              <c:numCache>
                <c:formatCode>0</c:formatCode>
                <c:ptCount val="19"/>
                <c:pt idx="0">
                  <c:v>222.2</c:v>
                </c:pt>
                <c:pt idx="1">
                  <c:v>35.4</c:v>
                </c:pt>
                <c:pt idx="2">
                  <c:v>48.7</c:v>
                </c:pt>
                <c:pt idx="3">
                  <c:v>0.85</c:v>
                </c:pt>
                <c:pt idx="4">
                  <c:v>128.05000000000001</c:v>
                </c:pt>
                <c:pt idx="5">
                  <c:v>1.75</c:v>
                </c:pt>
                <c:pt idx="6">
                  <c:v>233.34999999999997</c:v>
                </c:pt>
                <c:pt idx="7">
                  <c:v>15.299999999999999</c:v>
                </c:pt>
                <c:pt idx="8">
                  <c:v>0</c:v>
                </c:pt>
                <c:pt idx="9">
                  <c:v>0</c:v>
                </c:pt>
                <c:pt idx="10">
                  <c:v>192.25</c:v>
                </c:pt>
                <c:pt idx="11">
                  <c:v>27.299999999999997</c:v>
                </c:pt>
                <c:pt idx="12">
                  <c:v>46.349999999999994</c:v>
                </c:pt>
                <c:pt idx="13">
                  <c:v>55.05</c:v>
                </c:pt>
                <c:pt idx="14">
                  <c:v>2.35</c:v>
                </c:pt>
                <c:pt idx="15">
                  <c:v>14.249999999999998</c:v>
                </c:pt>
                <c:pt idx="16">
                  <c:v>4.9000000000000004</c:v>
                </c:pt>
                <c:pt idx="17">
                  <c:v>64.400000000000006</c:v>
                </c:pt>
                <c:pt idx="18">
                  <c:v>26.700000000000003</c:v>
                </c:pt>
              </c:numCache>
            </c:numRef>
          </c:val>
        </c:ser>
        <c:ser>
          <c:idx val="1"/>
          <c:order val="1"/>
          <c:tx>
            <c:strRef>
              <c:f>SituationAnalysis!$D$194:$D$195</c:f>
              <c:strCache>
                <c:ptCount val="1"/>
                <c:pt idx="0">
                  <c:v>NGCA</c:v>
                </c:pt>
              </c:strCache>
            </c:strRef>
          </c:tx>
          <c:spPr>
            <a:solidFill>
              <a:schemeClr val="accent2"/>
            </a:solidFill>
            <a:ln>
              <a:noFill/>
            </a:ln>
            <a:effectLst/>
            <a:sp3d/>
          </c:spPr>
          <c:invertIfNegative val="0"/>
          <c:cat>
            <c:strRef>
              <c:f>SituationAnalysis!$B$196:$B$215</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SituationAnalysis!$D$196:$D$215</c:f>
              <c:numCache>
                <c:formatCode>0</c:formatCode>
                <c:ptCount val="19"/>
                <c:pt idx="1">
                  <c:v>43.65</c:v>
                </c:pt>
                <c:pt idx="6">
                  <c:v>93.050000000000011</c:v>
                </c:pt>
                <c:pt idx="7">
                  <c:v>22.3</c:v>
                </c:pt>
                <c:pt idx="10">
                  <c:v>81.8</c:v>
                </c:pt>
                <c:pt idx="12">
                  <c:v>0.39999999999999991</c:v>
                </c:pt>
                <c:pt idx="17">
                  <c:v>496.8</c:v>
                </c:pt>
              </c:numCache>
            </c:numRef>
          </c:val>
        </c:ser>
        <c:dLbls>
          <c:showLegendKey val="0"/>
          <c:showVal val="0"/>
          <c:showCatName val="0"/>
          <c:showSerName val="0"/>
          <c:showPercent val="0"/>
          <c:showBubbleSize val="0"/>
        </c:dLbls>
        <c:gapWidth val="150"/>
        <c:shape val="box"/>
        <c:axId val="106104320"/>
        <c:axId val="106105856"/>
        <c:axId val="0"/>
      </c:bar3DChart>
      <c:catAx>
        <c:axId val="1061043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105856"/>
        <c:crosses val="autoZero"/>
        <c:auto val="1"/>
        <c:lblAlgn val="ctr"/>
        <c:lblOffset val="100"/>
        <c:noMultiLvlLbl val="0"/>
      </c:catAx>
      <c:valAx>
        <c:axId val="106105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104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2015.xlsx]Funds analysis!PivotTable2</c:name>
    <c:fmtId val="8"/>
  </c:pivotSource>
  <c:chart>
    <c:title>
      <c:tx>
        <c:rich>
          <a:bodyPr/>
          <a:lstStyle/>
          <a:p>
            <a:pPr>
              <a:defRPr sz="1400"/>
            </a:pPr>
            <a:r>
              <a:rPr lang="en-US" sz="1400"/>
              <a:t>DONORS</a:t>
            </a:r>
            <a:r>
              <a:rPr lang="en-US" sz="1400" baseline="0"/>
              <a:t> FUNDING</a:t>
            </a:r>
            <a:endParaRPr lang="en-US" sz="1400">
              <a:solidFill>
                <a:srgbClr val="FF0000"/>
              </a:solidFill>
            </a:endParaRP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dLbl>
          <c:idx val="0"/>
          <c:layout>
            <c:manualLayout>
              <c:x val="5.946545414217589E-2"/>
              <c:y val="-0.1189238845144357"/>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3"/>
        <c:dLbl>
          <c:idx val="0"/>
          <c:layout>
            <c:manualLayout>
              <c:x val="6.6003659753798377E-2"/>
              <c:y val="-1.5044088590049839E-2"/>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4"/>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5"/>
        <c:dLbl>
          <c:idx val="0"/>
          <c:layout>
            <c:manualLayout>
              <c:x val="5.946545414217589E-2"/>
              <c:y val="-0.1189238845144357"/>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16"/>
        <c:dLbl>
          <c:idx val="0"/>
          <c:layout>
            <c:manualLayout>
              <c:x val="-0.10547935324878284"/>
              <c:y val="-0.10599319572803956"/>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17"/>
        <c:dLbl>
          <c:idx val="0"/>
          <c:layout>
            <c:manualLayout>
              <c:x val="0.13221509286530023"/>
              <c:y val="-0.14823952615611244"/>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18"/>
        <c:dLbl>
          <c:idx val="0"/>
          <c:layout>
            <c:manualLayout>
              <c:x val="1.3367944941996755E-2"/>
              <c:y val="3.7459007768794947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9"/>
        <c:dLbl>
          <c:idx val="0"/>
          <c:layout>
            <c:manualLayout>
              <c:x val="5.2573781330768767E-2"/>
              <c:y val="0.20311584799116147"/>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0"/>
        <c:dLbl>
          <c:idx val="0"/>
          <c:layout>
            <c:manualLayout>
              <c:x val="-8.6406804111318052E-3"/>
              <c:y val="0.19588981638987768"/>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1"/>
        <c:dLbl>
          <c:idx val="0"/>
          <c:layout>
            <c:manualLayout>
              <c:x val="0.13819829296147143"/>
              <c:y val="-6.9367842800273569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2"/>
        <c:dLbl>
          <c:idx val="0"/>
          <c:layout>
            <c:manualLayout>
              <c:x val="-8.9854691350604074E-2"/>
              <c:y val="-0.23238254739315725"/>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3"/>
        <c:dLbl>
          <c:idx val="0"/>
          <c:layout>
            <c:manualLayout>
              <c:x val="-4.5496483741059093E-2"/>
              <c:y val="0.11570484716693265"/>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4"/>
        <c:dLbl>
          <c:idx val="0"/>
          <c:layout>
            <c:manualLayout>
              <c:x val="-0.10028911462403077"/>
              <c:y val="-6.9890658155481126E-3"/>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5"/>
        <c:dLbl>
          <c:idx val="0"/>
          <c:layout>
            <c:manualLayout>
              <c:x val="6.3101520706858205E-2"/>
              <c:y val="-0.16302632271188819"/>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6"/>
        <c:dLbl>
          <c:idx val="0"/>
          <c:layout>
            <c:manualLayout>
              <c:x val="1.3842038829115826E-2"/>
              <c:y val="8.3047629903723053E-2"/>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7"/>
        <c:dLbl>
          <c:idx val="0"/>
          <c:layout>
            <c:manualLayout>
              <c:x val="4.5852467391957683E-2"/>
              <c:y val="3.6941891868193535E-2"/>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8"/>
        <c:dLbl>
          <c:idx val="0"/>
          <c:layout>
            <c:manualLayout>
              <c:x val="9.2312315922341761E-3"/>
              <c:y val="-0.17308432562299422"/>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9"/>
        <c:dLbl>
          <c:idx val="0"/>
          <c:layout>
            <c:manualLayout>
              <c:x val="1.3397547634789926E-2"/>
              <c:y val="-0.12856588569524577"/>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30"/>
        <c:dLbl>
          <c:idx val="0"/>
          <c:layout>
            <c:manualLayout>
              <c:x val="-5.9089529362264831E-2"/>
              <c:y val="0.10295363274468197"/>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6592816742977551"/>
          <c:y val="0.25175345913052627"/>
          <c:w val="0.74775786005472722"/>
          <c:h val="0.61369520690754775"/>
        </c:manualLayout>
      </c:layout>
      <c:pie3DChart>
        <c:varyColors val="1"/>
        <c:ser>
          <c:idx val="0"/>
          <c:order val="0"/>
          <c:tx>
            <c:strRef>
              <c:f>'Funds analysis'!$C$8:$C$9</c:f>
              <c:strCache>
                <c:ptCount val="1"/>
                <c:pt idx="0">
                  <c:v>Total</c:v>
                </c:pt>
              </c:strCache>
            </c:strRef>
          </c:tx>
          <c:explosion val="25"/>
          <c:dLbls>
            <c:dLbl>
              <c:idx val="0"/>
              <c:layout>
                <c:manualLayout>
                  <c:x val="1.3397547634789926E-2"/>
                  <c:y val="-0.1285658856952457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5.946545414217589E-2"/>
                  <c:y val="-0.118923884514435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layout>
                <c:manualLayout>
                  <c:x val="1.3842038829115826E-2"/>
                  <c:y val="8.304762990372305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4.5852467391957683E-2"/>
                  <c:y val="3.694189186819353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5.2573781330768767E-2"/>
                  <c:y val="0.2031158479911614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8.6406804111318052E-3"/>
                  <c:y val="0.19588981638987768"/>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4.5496483741059093E-2"/>
                  <c:y val="0.1157048471669326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5.9089529362264831E-2"/>
                  <c:y val="0.1029536327446819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0.10028911462403077"/>
                  <c:y val="-6.9890658155481126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0.10547935324878284"/>
                  <c:y val="-0.10599319572803956"/>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8.9854691350604074E-2"/>
                  <c:y val="-0.2323825473931572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1"/>
              <c:layout>
                <c:manualLayout>
                  <c:x val="9.2312315922341761E-3"/>
                  <c:y val="-0.1730843256229942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2"/>
              <c:layout>
                <c:manualLayout>
                  <c:x val="6.3101520706858205E-2"/>
                  <c:y val="-0.16302632271188819"/>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3"/>
              <c:layout>
                <c:manualLayout>
                  <c:x val="0.13221509286530023"/>
                  <c:y val="-0.14823952615611244"/>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a:pPr>
                <a:endParaRPr lang="en-US"/>
              </a:p>
            </c:txPr>
            <c:showLegendKey val="0"/>
            <c:showVal val="1"/>
            <c:showCatName val="1"/>
            <c:showSerName val="0"/>
            <c:showPercent val="1"/>
            <c:showBubbleSize val="0"/>
            <c:separator>
</c:separator>
            <c:showLeaderLines val="1"/>
          </c:dLbls>
          <c:cat>
            <c:strRef>
              <c:f>'Funds analysis'!$B$10:$B$26</c:f>
              <c:strCache>
                <c:ptCount val="16"/>
                <c:pt idx="0">
                  <c:v>ECHO</c:v>
                </c:pt>
                <c:pt idx="1">
                  <c:v>Germany</c:v>
                </c:pt>
                <c:pt idx="2">
                  <c:v>OFDA</c:v>
                </c:pt>
                <c:pt idx="3">
                  <c:v>CERF</c:v>
                </c:pt>
                <c:pt idx="4">
                  <c:v>Canada</c:v>
                </c:pt>
                <c:pt idx="5">
                  <c:v>Australian</c:v>
                </c:pt>
                <c:pt idx="6">
                  <c:v>France</c:v>
                </c:pt>
                <c:pt idx="7">
                  <c:v>Irland</c:v>
                </c:pt>
                <c:pt idx="8">
                  <c:v>Sweden</c:v>
                </c:pt>
                <c:pt idx="9">
                  <c:v>CIDA</c:v>
                </c:pt>
                <c:pt idx="10">
                  <c:v>Japan</c:v>
                </c:pt>
                <c:pt idx="11">
                  <c:v>SC seed funding</c:v>
                </c:pt>
                <c:pt idx="12">
                  <c:v>SIDA</c:v>
                </c:pt>
                <c:pt idx="13">
                  <c:v>Start fund</c:v>
                </c:pt>
                <c:pt idx="14">
                  <c:v>DFAT</c:v>
                </c:pt>
                <c:pt idx="15">
                  <c:v>ERF</c:v>
                </c:pt>
              </c:strCache>
            </c:strRef>
          </c:cat>
          <c:val>
            <c:numRef>
              <c:f>'Funds analysis'!$C$10:$C$26</c:f>
              <c:numCache>
                <c:formatCode>#,##0</c:formatCode>
                <c:ptCount val="16"/>
                <c:pt idx="0">
                  <c:v>4322539</c:v>
                </c:pt>
                <c:pt idx="1">
                  <c:v>338770</c:v>
                </c:pt>
                <c:pt idx="2">
                  <c:v>3761179</c:v>
                </c:pt>
                <c:pt idx="3">
                  <c:v>2195052.61</c:v>
                </c:pt>
                <c:pt idx="4">
                  <c:v>292113</c:v>
                </c:pt>
                <c:pt idx="5">
                  <c:v>515029</c:v>
                </c:pt>
                <c:pt idx="6">
                  <c:v>197000</c:v>
                </c:pt>
                <c:pt idx="7">
                  <c:v>245165</c:v>
                </c:pt>
                <c:pt idx="8">
                  <c:v>156270</c:v>
                </c:pt>
                <c:pt idx="9">
                  <c:v>191487</c:v>
                </c:pt>
                <c:pt idx="10">
                  <c:v>750000</c:v>
                </c:pt>
                <c:pt idx="11">
                  <c:v>17000</c:v>
                </c:pt>
                <c:pt idx="12">
                  <c:v>80400</c:v>
                </c:pt>
                <c:pt idx="13">
                  <c:v>43482</c:v>
                </c:pt>
                <c:pt idx="14">
                  <c:v>1520909.0013263728</c:v>
                </c:pt>
                <c:pt idx="15">
                  <c:v>346135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2015.xlsx]Funds analysis!PivotTable3</c:name>
    <c:fmtId val="3"/>
  </c:pivotSource>
  <c:chart>
    <c:title>
      <c:tx>
        <c:rich>
          <a:bodyPr/>
          <a:lstStyle/>
          <a:p>
            <a:pPr>
              <a:defRPr sz="1400"/>
            </a:pPr>
            <a:r>
              <a:rPr lang="en-US" sz="1400"/>
              <a:t>FUNDS REPARTITION BY SUB-SECTOR</a:t>
            </a: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dLbl>
          <c:idx val="0"/>
          <c:layout>
            <c:manualLayout>
              <c:x val="6.8367719857802605E-3"/>
              <c:y val="-0.18528857791739767"/>
            </c:manualLayout>
          </c:layout>
          <c:showLegendKey val="0"/>
          <c:showVal val="0"/>
          <c:showCatName val="1"/>
          <c:showSerName val="0"/>
          <c:showPercent val="1"/>
          <c:showBubbleSize val="0"/>
          <c:extLst>
            <c:ext xmlns:c15="http://schemas.microsoft.com/office/drawing/2012/chart" uri="{CE6537A1-D6FC-4f65-9D91-7224C49458BB}"/>
          </c:extLst>
        </c:dLbl>
      </c:pivotFmt>
      <c:pivotFmt>
        <c:idx val="2"/>
        <c:dLbl>
          <c:idx val="0"/>
          <c:layout>
            <c:manualLayout>
              <c:x val="5.1789407714310023E-2"/>
              <c:y val="-3.4154288952517081E-3"/>
            </c:manualLayout>
          </c:layou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3"/>
        <c:dLbl>
          <c:idx val="0"/>
          <c:layout>
            <c:manualLayout>
              <c:x val="-0.23264034794902508"/>
              <c:y val="-2.0951518134096875E-2"/>
            </c:manualLayout>
          </c:layou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4"/>
        <c:dLbl>
          <c:idx val="0"/>
          <c:layout>
            <c:manualLayout>
              <c:x val="-2.5536879585812373E-2"/>
              <c:y val="-4.3686620138391793E-2"/>
            </c:manualLayout>
          </c:layou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marker>
          <c:symbol val="none"/>
        </c:marker>
        <c:dLbl>
          <c:idx val="0"/>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5.1789407714310023E-2"/>
              <c:y val="-3.4154288952517081E-3"/>
            </c:manualLayout>
          </c:layout>
          <c:showLegendKey val="0"/>
          <c:showVal val="0"/>
          <c:showCatName val="1"/>
          <c:showSerName val="0"/>
          <c:showPercent val="0"/>
          <c:showBubbleSize val="0"/>
          <c:extLst>
            <c:ext xmlns:c15="http://schemas.microsoft.com/office/drawing/2012/chart" uri="{CE6537A1-D6FC-4f65-9D91-7224C49458BB}"/>
          </c:extLst>
        </c:dLbl>
      </c:pivotFmt>
      <c:pivotFmt>
        <c:idx val="8"/>
        <c:dLbl>
          <c:idx val="0"/>
          <c:layout>
            <c:manualLayout>
              <c:x val="0.12652030784287549"/>
              <c:y val="-0.18303412589143458"/>
            </c:manualLayout>
          </c:layout>
          <c:showLegendKey val="0"/>
          <c:showVal val="0"/>
          <c:showCatName val="1"/>
          <c:showSerName val="0"/>
          <c:showPercent val="0"/>
          <c:showBubbleSize val="0"/>
          <c:extLst>
            <c:ext xmlns:c15="http://schemas.microsoft.com/office/drawing/2012/chart" uri="{CE6537A1-D6FC-4f65-9D91-7224C49458BB}"/>
          </c:extLst>
        </c:dLbl>
      </c:pivotFmt>
      <c:pivotFmt>
        <c:idx val="9"/>
        <c:dLbl>
          <c:idx val="0"/>
          <c:layout>
            <c:manualLayout>
              <c:x val="-2.5536879585812373E-2"/>
              <c:y val="-4.3686620138391793E-2"/>
            </c:manualLayout>
          </c:layout>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pie3DChart>
        <c:varyColors val="1"/>
        <c:ser>
          <c:idx val="0"/>
          <c:order val="0"/>
          <c:tx>
            <c:strRef>
              <c:f>'Funds analysis'!$C$140</c:f>
              <c:strCache>
                <c:ptCount val="1"/>
                <c:pt idx="0">
                  <c:v>Total</c:v>
                </c:pt>
              </c:strCache>
            </c:strRef>
          </c:tx>
          <c:explosion val="25"/>
          <c:dLbls>
            <c:dLbl>
              <c:idx val="0"/>
              <c:layout>
                <c:manualLayout>
                  <c:x val="5.1789407714310023E-2"/>
                  <c:y val="-3.4154288952517081E-3"/>
                </c:manualLayout>
              </c:layout>
              <c:showLegendKey val="0"/>
              <c:showVal val="0"/>
              <c:showCatName val="1"/>
              <c:showSerName val="0"/>
              <c:showPercent val="0"/>
              <c:showBubbleSize val="0"/>
              <c:extLst>
                <c:ext xmlns:c15="http://schemas.microsoft.com/office/drawing/2012/chart" uri="{CE6537A1-D6FC-4f65-9D91-7224C49458BB}"/>
              </c:extLst>
            </c:dLbl>
            <c:dLbl>
              <c:idx val="1"/>
              <c:layout>
                <c:manualLayout>
                  <c:x val="0.12652030784287549"/>
                  <c:y val="-0.18303412589143458"/>
                </c:manualLayout>
              </c:layout>
              <c:showLegendKey val="0"/>
              <c:showVal val="0"/>
              <c:showCatName val="1"/>
              <c:showSerName val="0"/>
              <c:showPercent val="0"/>
              <c:showBubbleSize val="0"/>
              <c:extLst>
                <c:ext xmlns:c15="http://schemas.microsoft.com/office/drawing/2012/chart" uri="{CE6537A1-D6FC-4f65-9D91-7224C49458BB}"/>
              </c:extLst>
            </c:dLbl>
            <c:dLbl>
              <c:idx val="2"/>
              <c:layout>
                <c:manualLayout>
                  <c:x val="-2.5536879585812373E-2"/>
                  <c:y val="-4.3686620138391793E-2"/>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a:lstStyle/>
              <a:p>
                <a:pPr>
                  <a:defRPr/>
                </a:pPr>
                <a:endParaRPr lang="en-US"/>
              </a:p>
            </c:txPr>
            <c:showLegendKey val="0"/>
            <c:showVal val="0"/>
            <c:showCatName val="1"/>
            <c:showSerName val="0"/>
            <c:showPercent val="0"/>
            <c:showBubbleSize val="0"/>
            <c:showLeaderLines val="1"/>
          </c:dLbls>
          <c:cat>
            <c:strRef>
              <c:f>'Funds analysis'!$B$141:$B$143</c:f>
              <c:strCache>
                <c:ptCount val="3"/>
                <c:pt idx="0">
                  <c:v>Average of Approximate % of fund dedicated to sanitation</c:v>
                </c:pt>
                <c:pt idx="1">
                  <c:v>Average of Approximate % fund dedicated to Water access</c:v>
                </c:pt>
                <c:pt idx="2">
                  <c:v>Average of Approximate % of fund dedicated to HP</c:v>
                </c:pt>
              </c:strCache>
            </c:strRef>
          </c:cat>
          <c:val>
            <c:numRef>
              <c:f>'Funds analysis'!$C$141:$C$143</c:f>
              <c:numCache>
                <c:formatCode>0%</c:formatCode>
                <c:ptCount val="3"/>
                <c:pt idx="0">
                  <c:v>0.34715623545359831</c:v>
                </c:pt>
                <c:pt idx="1">
                  <c:v>0.27921906465916041</c:v>
                </c:pt>
                <c:pt idx="2">
                  <c:v>0.35199596326395943</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2015.xlsx]Funds analysis!PivotTable6</c:name>
    <c:fmtId val="2"/>
  </c:pivotSource>
  <c:chart>
    <c:title>
      <c:tx>
        <c:rich>
          <a:bodyPr/>
          <a:lstStyle/>
          <a:p>
            <a:pPr>
              <a:defRPr sz="1400"/>
            </a:pPr>
            <a:r>
              <a:rPr lang="en-US" sz="1400"/>
              <a:t>NB OF BENEFICIARIES PER SUB-SECTOR</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s>
    <c:view3D>
      <c:rotX val="15"/>
      <c:rotY val="20"/>
      <c:rAngAx val="1"/>
    </c:view3D>
    <c:floor>
      <c:thickness val="0"/>
      <c:spPr>
        <a:solidFill>
          <a:schemeClr val="bg1">
            <a:lumMod val="85000"/>
          </a:schemeClr>
        </a:solidFill>
      </c:spPr>
    </c:floor>
    <c:sideWall>
      <c:thickness val="0"/>
      <c:spPr>
        <a:solidFill>
          <a:schemeClr val="bg1">
            <a:lumMod val="85000"/>
          </a:schemeClr>
        </a:solidFill>
      </c:spPr>
    </c:sideWall>
    <c:backWall>
      <c:thickness val="0"/>
      <c:spPr>
        <a:solidFill>
          <a:schemeClr val="bg1">
            <a:lumMod val="85000"/>
          </a:schemeClr>
        </a:solidFill>
      </c:spPr>
    </c:backWall>
    <c:plotArea>
      <c:layout/>
      <c:bar3DChart>
        <c:barDir val="col"/>
        <c:grouping val="clustered"/>
        <c:varyColors val="0"/>
        <c:ser>
          <c:idx val="0"/>
          <c:order val="0"/>
          <c:tx>
            <c:strRef>
              <c:f>'Funds analysis'!$C$153:$C$154</c:f>
              <c:strCache>
                <c:ptCount val="1"/>
                <c:pt idx="0">
                  <c:v>2012</c:v>
                </c:pt>
              </c:strCache>
            </c:strRef>
          </c:tx>
          <c:invertIfNegative val="0"/>
          <c:cat>
            <c:strRef>
              <c:f>'Funds analysis'!$B$155:$B$157</c:f>
              <c:strCache>
                <c:ptCount val="3"/>
                <c:pt idx="0">
                  <c:v>Number of sanitation beneficiaries</c:v>
                </c:pt>
                <c:pt idx="1">
                  <c:v>Number of water access beneficiaries</c:v>
                </c:pt>
                <c:pt idx="2">
                  <c:v> Number of beneficiairies for HE</c:v>
                </c:pt>
              </c:strCache>
            </c:strRef>
          </c:cat>
          <c:val>
            <c:numRef>
              <c:f>'Funds analysis'!$C$155:$C$157</c:f>
              <c:numCache>
                <c:formatCode>0</c:formatCode>
                <c:ptCount val="3"/>
                <c:pt idx="0">
                  <c:v>273381</c:v>
                </c:pt>
                <c:pt idx="1">
                  <c:v>269017</c:v>
                </c:pt>
                <c:pt idx="2">
                  <c:v>292077</c:v>
                </c:pt>
              </c:numCache>
            </c:numRef>
          </c:val>
        </c:ser>
        <c:ser>
          <c:idx val="1"/>
          <c:order val="1"/>
          <c:tx>
            <c:strRef>
              <c:f>'Funds analysis'!$D$153:$D$154</c:f>
              <c:strCache>
                <c:ptCount val="1"/>
                <c:pt idx="0">
                  <c:v>2013</c:v>
                </c:pt>
              </c:strCache>
            </c:strRef>
          </c:tx>
          <c:invertIfNegative val="0"/>
          <c:cat>
            <c:strRef>
              <c:f>'Funds analysis'!$B$155:$B$157</c:f>
              <c:strCache>
                <c:ptCount val="3"/>
                <c:pt idx="0">
                  <c:v>Number of sanitation beneficiaries</c:v>
                </c:pt>
                <c:pt idx="1">
                  <c:v>Number of water access beneficiaries</c:v>
                </c:pt>
                <c:pt idx="2">
                  <c:v> Number of beneficiairies for HE</c:v>
                </c:pt>
              </c:strCache>
            </c:strRef>
          </c:cat>
          <c:val>
            <c:numRef>
              <c:f>'Funds analysis'!$D$155:$D$157</c:f>
              <c:numCache>
                <c:formatCode>0</c:formatCode>
                <c:ptCount val="3"/>
                <c:pt idx="0">
                  <c:v>57928</c:v>
                </c:pt>
                <c:pt idx="1">
                  <c:v>72891</c:v>
                </c:pt>
                <c:pt idx="2">
                  <c:v>79187</c:v>
                </c:pt>
              </c:numCache>
            </c:numRef>
          </c:val>
        </c:ser>
        <c:ser>
          <c:idx val="2"/>
          <c:order val="2"/>
          <c:tx>
            <c:strRef>
              <c:f>'Funds analysis'!$E$153:$E$154</c:f>
              <c:strCache>
                <c:ptCount val="1"/>
                <c:pt idx="0">
                  <c:v>2014</c:v>
                </c:pt>
              </c:strCache>
            </c:strRef>
          </c:tx>
          <c:invertIfNegative val="0"/>
          <c:cat>
            <c:strRef>
              <c:f>'Funds analysis'!$B$155:$B$157</c:f>
              <c:strCache>
                <c:ptCount val="3"/>
                <c:pt idx="0">
                  <c:v>Number of sanitation beneficiaries</c:v>
                </c:pt>
                <c:pt idx="1">
                  <c:v>Number of water access beneficiaries</c:v>
                </c:pt>
                <c:pt idx="2">
                  <c:v> Number of beneficiairies for HE</c:v>
                </c:pt>
              </c:strCache>
            </c:strRef>
          </c:cat>
          <c:val>
            <c:numRef>
              <c:f>'Funds analysis'!$E$155:$E$157</c:f>
              <c:numCache>
                <c:formatCode>0</c:formatCode>
                <c:ptCount val="3"/>
                <c:pt idx="0">
                  <c:v>136152</c:v>
                </c:pt>
                <c:pt idx="1">
                  <c:v>139508</c:v>
                </c:pt>
                <c:pt idx="2">
                  <c:v>141595</c:v>
                </c:pt>
              </c:numCache>
            </c:numRef>
          </c:val>
        </c:ser>
        <c:ser>
          <c:idx val="3"/>
          <c:order val="3"/>
          <c:tx>
            <c:strRef>
              <c:f>'Funds analysis'!$F$153:$F$154</c:f>
              <c:strCache>
                <c:ptCount val="1"/>
                <c:pt idx="0">
                  <c:v>2015</c:v>
                </c:pt>
              </c:strCache>
            </c:strRef>
          </c:tx>
          <c:invertIfNegative val="0"/>
          <c:cat>
            <c:strRef>
              <c:f>'Funds analysis'!$B$155:$B$157</c:f>
              <c:strCache>
                <c:ptCount val="3"/>
                <c:pt idx="0">
                  <c:v>Number of sanitation beneficiaries</c:v>
                </c:pt>
                <c:pt idx="1">
                  <c:v>Number of water access beneficiaries</c:v>
                </c:pt>
                <c:pt idx="2">
                  <c:v> Number of beneficiairies for HE</c:v>
                </c:pt>
              </c:strCache>
            </c:strRef>
          </c:cat>
          <c:val>
            <c:numRef>
              <c:f>'Funds analysis'!$F$155:$F$157</c:f>
              <c:numCache>
                <c:formatCode>0</c:formatCode>
                <c:ptCount val="3"/>
                <c:pt idx="0">
                  <c:v>31962</c:v>
                </c:pt>
                <c:pt idx="1">
                  <c:v>31962</c:v>
                </c:pt>
                <c:pt idx="2">
                  <c:v>31962</c:v>
                </c:pt>
              </c:numCache>
            </c:numRef>
          </c:val>
        </c:ser>
        <c:dLbls>
          <c:showLegendKey val="0"/>
          <c:showVal val="0"/>
          <c:showCatName val="0"/>
          <c:showSerName val="0"/>
          <c:showPercent val="0"/>
          <c:showBubbleSize val="0"/>
        </c:dLbls>
        <c:gapWidth val="150"/>
        <c:shape val="box"/>
        <c:axId val="107069824"/>
        <c:axId val="107071360"/>
        <c:axId val="0"/>
      </c:bar3DChart>
      <c:catAx>
        <c:axId val="107069824"/>
        <c:scaling>
          <c:orientation val="minMax"/>
        </c:scaling>
        <c:delete val="0"/>
        <c:axPos val="b"/>
        <c:numFmt formatCode="General" sourceLinked="0"/>
        <c:majorTickMark val="out"/>
        <c:minorTickMark val="none"/>
        <c:tickLblPos val="nextTo"/>
        <c:crossAx val="107071360"/>
        <c:crosses val="autoZero"/>
        <c:auto val="1"/>
        <c:lblAlgn val="ctr"/>
        <c:lblOffset val="100"/>
        <c:noMultiLvlLbl val="0"/>
      </c:catAx>
      <c:valAx>
        <c:axId val="107071360"/>
        <c:scaling>
          <c:orientation val="minMax"/>
        </c:scaling>
        <c:delete val="0"/>
        <c:axPos val="l"/>
        <c:majorGridlines/>
        <c:numFmt formatCode="0" sourceLinked="1"/>
        <c:majorTickMark val="out"/>
        <c:minorTickMark val="none"/>
        <c:tickLblPos val="nextTo"/>
        <c:crossAx val="107069824"/>
        <c:crosses val="autoZero"/>
        <c:crossBetween val="between"/>
      </c:valAx>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2015.xlsx]Funds analysis!PivotTable7</c:name>
    <c:fmtId val="3"/>
  </c:pivotSource>
  <c:chart>
    <c:title>
      <c:tx>
        <c:rich>
          <a:bodyPr/>
          <a:lstStyle/>
          <a:p>
            <a:pPr>
              <a:defRPr sz="1400"/>
            </a:pPr>
            <a:r>
              <a:rPr lang="en-US" sz="1400"/>
              <a:t>NB OF BENEFICIARIES</a:t>
            </a:r>
            <a:r>
              <a:rPr lang="en-US" sz="1400" baseline="0"/>
              <a:t> IN HOST COMMUNITIES</a:t>
            </a:r>
            <a:endParaRPr lang="en-US" sz="1400"/>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s>
    <c:view3D>
      <c:rotX val="15"/>
      <c:rotY val="20"/>
      <c:rAngAx val="1"/>
    </c:view3D>
    <c:floor>
      <c:thickness val="0"/>
      <c:spPr>
        <a:solidFill>
          <a:schemeClr val="bg1">
            <a:lumMod val="85000"/>
          </a:schemeClr>
        </a:solidFill>
      </c:spPr>
    </c:floor>
    <c:sideWall>
      <c:thickness val="0"/>
    </c:sideWall>
    <c:backWall>
      <c:thickness val="0"/>
      <c:spPr>
        <a:solidFill>
          <a:schemeClr val="bg1">
            <a:lumMod val="85000"/>
          </a:schemeClr>
        </a:solidFill>
      </c:spPr>
    </c:backWall>
    <c:plotArea>
      <c:layout/>
      <c:bar3DChart>
        <c:barDir val="col"/>
        <c:grouping val="clustered"/>
        <c:varyColors val="0"/>
        <c:ser>
          <c:idx val="0"/>
          <c:order val="0"/>
          <c:tx>
            <c:strRef>
              <c:f>'Funds analysis'!$C$169:$C$170</c:f>
              <c:strCache>
                <c:ptCount val="1"/>
                <c:pt idx="0">
                  <c:v>2012</c:v>
                </c:pt>
              </c:strCache>
            </c:strRef>
          </c:tx>
          <c:invertIfNegative val="0"/>
          <c:cat>
            <c:strRef>
              <c:f>'Funds analysis'!$B$171:$B$173</c:f>
              <c:strCache>
                <c:ptCount val="3"/>
                <c:pt idx="0">
                  <c:v> Nb of sanitation beneficiaries</c:v>
                </c:pt>
                <c:pt idx="1">
                  <c:v>Nb of water access beneficiaries</c:v>
                </c:pt>
                <c:pt idx="2">
                  <c:v>Nb of beneficiairies for HE in host</c:v>
                </c:pt>
              </c:strCache>
            </c:strRef>
          </c:cat>
          <c:val>
            <c:numRef>
              <c:f>'Funds analysis'!$C$171:$C$173</c:f>
              <c:numCache>
                <c:formatCode>0</c:formatCode>
                <c:ptCount val="3"/>
                <c:pt idx="0">
                  <c:v>2500</c:v>
                </c:pt>
                <c:pt idx="1">
                  <c:v>2500</c:v>
                </c:pt>
                <c:pt idx="2">
                  <c:v>2500</c:v>
                </c:pt>
              </c:numCache>
            </c:numRef>
          </c:val>
        </c:ser>
        <c:ser>
          <c:idx val="1"/>
          <c:order val="1"/>
          <c:tx>
            <c:strRef>
              <c:f>'Funds analysis'!$D$169:$D$170</c:f>
              <c:strCache>
                <c:ptCount val="1"/>
                <c:pt idx="0">
                  <c:v>2013</c:v>
                </c:pt>
              </c:strCache>
            </c:strRef>
          </c:tx>
          <c:invertIfNegative val="0"/>
          <c:cat>
            <c:strRef>
              <c:f>'Funds analysis'!$B$171:$B$173</c:f>
              <c:strCache>
                <c:ptCount val="3"/>
                <c:pt idx="0">
                  <c:v> Nb of sanitation beneficiaries</c:v>
                </c:pt>
                <c:pt idx="1">
                  <c:v>Nb of water access beneficiaries</c:v>
                </c:pt>
                <c:pt idx="2">
                  <c:v>Nb of beneficiairies for HE in host</c:v>
                </c:pt>
              </c:strCache>
            </c:strRef>
          </c:cat>
          <c:val>
            <c:numRef>
              <c:f>'Funds analysis'!$D$171:$D$173</c:f>
              <c:numCache>
                <c:formatCode>0</c:formatCode>
                <c:ptCount val="3"/>
                <c:pt idx="0">
                  <c:v>22000</c:v>
                </c:pt>
                <c:pt idx="1">
                  <c:v>8788</c:v>
                </c:pt>
                <c:pt idx="2">
                  <c:v>30788</c:v>
                </c:pt>
              </c:numCache>
            </c:numRef>
          </c:val>
        </c:ser>
        <c:ser>
          <c:idx val="2"/>
          <c:order val="2"/>
          <c:tx>
            <c:strRef>
              <c:f>'Funds analysis'!$E$169:$E$170</c:f>
              <c:strCache>
                <c:ptCount val="1"/>
                <c:pt idx="0">
                  <c:v>2014</c:v>
                </c:pt>
              </c:strCache>
            </c:strRef>
          </c:tx>
          <c:invertIfNegative val="0"/>
          <c:cat>
            <c:strRef>
              <c:f>'Funds analysis'!$B$171:$B$173</c:f>
              <c:strCache>
                <c:ptCount val="3"/>
                <c:pt idx="0">
                  <c:v> Nb of sanitation beneficiaries</c:v>
                </c:pt>
                <c:pt idx="1">
                  <c:v>Nb of water access beneficiaries</c:v>
                </c:pt>
                <c:pt idx="2">
                  <c:v>Nb of beneficiairies for HE in host</c:v>
                </c:pt>
              </c:strCache>
            </c:strRef>
          </c:cat>
          <c:val>
            <c:numRef>
              <c:f>'Funds analysis'!$E$171:$E$173</c:f>
              <c:numCache>
                <c:formatCode>0</c:formatCode>
                <c:ptCount val="3"/>
                <c:pt idx="0">
                  <c:v>0</c:v>
                </c:pt>
                <c:pt idx="1">
                  <c:v>0</c:v>
                </c:pt>
                <c:pt idx="2">
                  <c:v>2418</c:v>
                </c:pt>
              </c:numCache>
            </c:numRef>
          </c:val>
        </c:ser>
        <c:ser>
          <c:idx val="3"/>
          <c:order val="3"/>
          <c:tx>
            <c:strRef>
              <c:f>'Funds analysis'!$F$169:$F$170</c:f>
              <c:strCache>
                <c:ptCount val="1"/>
                <c:pt idx="0">
                  <c:v>2015</c:v>
                </c:pt>
              </c:strCache>
            </c:strRef>
          </c:tx>
          <c:invertIfNegative val="0"/>
          <c:cat>
            <c:strRef>
              <c:f>'Funds analysis'!$B$171:$B$173</c:f>
              <c:strCache>
                <c:ptCount val="3"/>
                <c:pt idx="0">
                  <c:v> Nb of sanitation beneficiaries</c:v>
                </c:pt>
                <c:pt idx="1">
                  <c:v>Nb of water access beneficiaries</c:v>
                </c:pt>
                <c:pt idx="2">
                  <c:v>Nb of beneficiairies for HE in host</c:v>
                </c:pt>
              </c:strCache>
            </c:strRef>
          </c:cat>
          <c:val>
            <c:numRef>
              <c:f>'Funds analysis'!$F$171:$F$173</c:f>
              <c:numCache>
                <c:formatCode>0</c:formatCode>
                <c:ptCount val="3"/>
                <c:pt idx="0">
                  <c:v>1910</c:v>
                </c:pt>
                <c:pt idx="1">
                  <c:v>1910</c:v>
                </c:pt>
                <c:pt idx="2">
                  <c:v>1910</c:v>
                </c:pt>
              </c:numCache>
            </c:numRef>
          </c:val>
        </c:ser>
        <c:dLbls>
          <c:showLegendKey val="0"/>
          <c:showVal val="0"/>
          <c:showCatName val="0"/>
          <c:showSerName val="0"/>
          <c:showPercent val="0"/>
          <c:showBubbleSize val="0"/>
        </c:dLbls>
        <c:gapWidth val="150"/>
        <c:shape val="box"/>
        <c:axId val="107176704"/>
        <c:axId val="107178240"/>
        <c:axId val="0"/>
      </c:bar3DChart>
      <c:catAx>
        <c:axId val="107176704"/>
        <c:scaling>
          <c:orientation val="minMax"/>
        </c:scaling>
        <c:delete val="0"/>
        <c:axPos val="b"/>
        <c:numFmt formatCode="General" sourceLinked="0"/>
        <c:majorTickMark val="out"/>
        <c:minorTickMark val="none"/>
        <c:tickLblPos val="nextTo"/>
        <c:crossAx val="107178240"/>
        <c:crosses val="autoZero"/>
        <c:auto val="1"/>
        <c:lblAlgn val="ctr"/>
        <c:lblOffset val="100"/>
        <c:noMultiLvlLbl val="0"/>
      </c:catAx>
      <c:valAx>
        <c:axId val="107178240"/>
        <c:scaling>
          <c:orientation val="minMax"/>
        </c:scaling>
        <c:delete val="0"/>
        <c:axPos val="l"/>
        <c:majorGridlines/>
        <c:numFmt formatCode="0" sourceLinked="1"/>
        <c:majorTickMark val="out"/>
        <c:minorTickMark val="none"/>
        <c:tickLblPos val="nextTo"/>
        <c:crossAx val="107176704"/>
        <c:crosses val="autoZero"/>
        <c:crossBetween val="between"/>
      </c:valAx>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2015.xlsx]Funds analysis!PivotTable9</c:name>
    <c:fmtId val="18"/>
  </c:pivotSource>
  <c:chart>
    <c:title>
      <c:tx>
        <c:rich>
          <a:bodyPr/>
          <a:lstStyle/>
          <a:p>
            <a:pPr>
              <a:defRPr sz="1400"/>
            </a:pPr>
            <a:r>
              <a:rPr lang="en-US" sz="1400"/>
              <a:t>GEOGRAPHIC FUND REPARTITION</a:t>
            </a:r>
          </a:p>
        </c:rich>
      </c:tx>
      <c:layout>
        <c:manualLayout>
          <c:xMode val="edge"/>
          <c:yMode val="edge"/>
          <c:x val="0.29850830967484726"/>
          <c:y val="6.7460317460317457E-2"/>
        </c:manualLayout>
      </c:layout>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dLbl>
          <c:idx val="0"/>
          <c:layout>
            <c:manualLayout>
              <c:x val="0.11104427968349607"/>
              <c:y val="0.16601674790651169"/>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0.11104427968349607"/>
              <c:y val="0.16601674790651169"/>
            </c:manualLayout>
          </c:layout>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6.9129453448780326E-2"/>
          <c:y val="0.24709286339207598"/>
          <c:w val="0.52417359288422283"/>
          <c:h val="0.75199107425401612"/>
        </c:manualLayout>
      </c:layout>
      <c:pie3DChart>
        <c:varyColors val="1"/>
        <c:ser>
          <c:idx val="0"/>
          <c:order val="0"/>
          <c:tx>
            <c:strRef>
              <c:f>'Funds analysis'!$C$108</c:f>
              <c:strCache>
                <c:ptCount val="1"/>
                <c:pt idx="0">
                  <c:v>Total</c:v>
                </c:pt>
              </c:strCache>
            </c:strRef>
          </c:tx>
          <c:dPt>
            <c:idx val="0"/>
            <c:bubble3D val="0"/>
            <c:explosion val="14"/>
          </c:dPt>
          <c:dLbls>
            <c:dLbl>
              <c:idx val="0"/>
              <c:layout>
                <c:manualLayout>
                  <c:x val="0.11104427968349607"/>
                  <c:y val="0.16601674790651169"/>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showLeaderLines val="1"/>
          </c:dLbls>
          <c:cat>
            <c:strRef>
              <c:f>'Funds analysis'!$B$109:$B$110</c:f>
              <c:strCache>
                <c:ptCount val="2"/>
                <c:pt idx="0">
                  <c:v>Average of Approximative % of NGCA beneficiaries</c:v>
                </c:pt>
                <c:pt idx="1">
                  <c:v>Average of Approximative % of GCA beneficiaries</c:v>
                </c:pt>
              </c:strCache>
            </c:strRef>
          </c:cat>
          <c:val>
            <c:numRef>
              <c:f>'Funds analysis'!$C$109:$C$110</c:f>
              <c:numCache>
                <c:formatCode>0%</c:formatCode>
                <c:ptCount val="2"/>
                <c:pt idx="0">
                  <c:v>0.47836433430035491</c:v>
                </c:pt>
                <c:pt idx="1">
                  <c:v>0.53245637532847023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2015.xlsx]Funds analysis!PivotTable4</c:name>
    <c:fmtId val="11"/>
  </c:pivotSource>
  <c:chart>
    <c:title>
      <c:tx>
        <c:rich>
          <a:bodyPr/>
          <a:lstStyle/>
          <a:p>
            <a:pPr>
              <a:defRPr sz="1400"/>
            </a:pPr>
            <a:r>
              <a:rPr lang="en-US" sz="1400"/>
              <a:t>FUND RECEIVED PER YEAR (US$)</a:t>
            </a:r>
          </a:p>
        </c:rich>
      </c:tx>
      <c:overlay val="0"/>
    </c:title>
    <c:autoTitleDeleted val="0"/>
    <c:pivotFmts>
      <c:pivotFmt>
        <c:idx val="0"/>
        <c:marker>
          <c:symbol val="none"/>
        </c:marker>
      </c:pivotFmt>
      <c:pivotFmt>
        <c:idx val="1"/>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8.2545079592323711E-2"/>
          <c:y val="0.18514552024487241"/>
          <c:w val="0.89364539659815267"/>
          <c:h val="0.58800975709061298"/>
        </c:manualLayout>
      </c:layout>
      <c:bar3DChart>
        <c:barDir val="col"/>
        <c:grouping val="stacked"/>
        <c:varyColors val="0"/>
        <c:ser>
          <c:idx val="0"/>
          <c:order val="0"/>
          <c:tx>
            <c:strRef>
              <c:f>'Funds analysis'!$C$56:$C$57</c:f>
              <c:strCache>
                <c:ptCount val="1"/>
                <c:pt idx="0">
                  <c:v>Total</c:v>
                </c:pt>
              </c:strCache>
            </c:strRef>
          </c:tx>
          <c:invertIfNegative val="0"/>
          <c:cat>
            <c:strRef>
              <c:f>'Funds analysis'!$B$58:$B$62</c:f>
              <c:strCache>
                <c:ptCount val="4"/>
                <c:pt idx="0">
                  <c:v>2012</c:v>
                </c:pt>
                <c:pt idx="1">
                  <c:v>2013</c:v>
                </c:pt>
                <c:pt idx="2">
                  <c:v>2014</c:v>
                </c:pt>
                <c:pt idx="3">
                  <c:v>2015</c:v>
                </c:pt>
              </c:strCache>
            </c:strRef>
          </c:cat>
          <c:val>
            <c:numRef>
              <c:f>'Funds analysis'!$C$58:$C$62</c:f>
              <c:numCache>
                <c:formatCode>#,##0</c:formatCode>
                <c:ptCount val="4"/>
                <c:pt idx="0">
                  <c:v>3335112.61</c:v>
                </c:pt>
                <c:pt idx="1">
                  <c:v>4596720</c:v>
                </c:pt>
                <c:pt idx="2">
                  <c:v>5504514.0013263728</c:v>
                </c:pt>
                <c:pt idx="3">
                  <c:v>1536184</c:v>
                </c:pt>
              </c:numCache>
            </c:numRef>
          </c:val>
        </c:ser>
        <c:dLbls>
          <c:showLegendKey val="0"/>
          <c:showVal val="0"/>
          <c:showCatName val="0"/>
          <c:showSerName val="0"/>
          <c:showPercent val="0"/>
          <c:showBubbleSize val="0"/>
        </c:dLbls>
        <c:gapWidth val="150"/>
        <c:shape val="box"/>
        <c:axId val="107307392"/>
        <c:axId val="107308928"/>
        <c:axId val="0"/>
      </c:bar3DChart>
      <c:catAx>
        <c:axId val="107307392"/>
        <c:scaling>
          <c:orientation val="minMax"/>
        </c:scaling>
        <c:delete val="0"/>
        <c:axPos val="b"/>
        <c:numFmt formatCode="General" sourceLinked="1"/>
        <c:majorTickMark val="out"/>
        <c:minorTickMark val="none"/>
        <c:tickLblPos val="nextTo"/>
        <c:txPr>
          <a:bodyPr/>
          <a:lstStyle/>
          <a:p>
            <a:pPr>
              <a:defRPr sz="1000"/>
            </a:pPr>
            <a:endParaRPr lang="en-US"/>
          </a:p>
        </c:txPr>
        <c:crossAx val="107308928"/>
        <c:crosses val="autoZero"/>
        <c:auto val="0"/>
        <c:lblAlgn val="ctr"/>
        <c:lblOffset val="100"/>
        <c:noMultiLvlLbl val="0"/>
      </c:catAx>
      <c:valAx>
        <c:axId val="107308928"/>
        <c:scaling>
          <c:orientation val="minMax"/>
          <c:max val="6000000"/>
        </c:scaling>
        <c:delete val="0"/>
        <c:axPos val="l"/>
        <c:majorGridlines/>
        <c:numFmt formatCode="#,##0" sourceLinked="1"/>
        <c:majorTickMark val="out"/>
        <c:minorTickMark val="none"/>
        <c:tickLblPos val="nextTo"/>
        <c:txPr>
          <a:bodyPr/>
          <a:lstStyle/>
          <a:p>
            <a:pPr>
              <a:defRPr sz="1000"/>
            </a:pPr>
            <a:endParaRPr lang="en-US"/>
          </a:p>
        </c:txPr>
        <c:crossAx val="107307392"/>
        <c:crosses val="autoZero"/>
        <c:crossBetween val="between"/>
      </c:valAx>
      <c:spPr>
        <a:noFill/>
        <a:ln w="25400">
          <a:noFill/>
        </a:ln>
      </c:spPr>
    </c:plotArea>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2015.xlsx]Funds analysis!PivotTable5</c:name>
    <c:fmtId val="8"/>
  </c:pivotSource>
  <c:chart>
    <c:title>
      <c:tx>
        <c:rich>
          <a:bodyPr/>
          <a:lstStyle/>
          <a:p>
            <a:pPr>
              <a:defRPr sz="1400"/>
            </a:pPr>
            <a:r>
              <a:rPr lang="en-US" sz="1400"/>
              <a:t>APPROXIMATE FUND USE/ENGAGED PER YEAR</a:t>
            </a:r>
            <a:r>
              <a:rPr lang="en-US" sz="1400" baseline="0"/>
              <a:t>(US$)</a:t>
            </a:r>
            <a:endParaRPr lang="en-US" sz="1400"/>
          </a:p>
        </c:rich>
      </c:tx>
      <c:overlay val="0"/>
    </c:title>
    <c:autoTitleDeleted val="0"/>
    <c:pivotFmts>
      <c:pivotFmt>
        <c:idx val="0"/>
        <c:marker>
          <c:symbol val="none"/>
        </c:marker>
      </c:pivotFmt>
      <c:pivotFmt>
        <c:idx val="1"/>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8.2545079592323711E-2"/>
          <c:y val="0.18514552024487241"/>
          <c:w val="0.89364539659815267"/>
          <c:h val="0.58800975709061298"/>
        </c:manualLayout>
      </c:layout>
      <c:bar3DChart>
        <c:barDir val="col"/>
        <c:grouping val="stacked"/>
        <c:varyColors val="0"/>
        <c:ser>
          <c:idx val="0"/>
          <c:order val="0"/>
          <c:tx>
            <c:strRef>
              <c:f>'Funds analysis'!$C$69:$C$70</c:f>
              <c:strCache>
                <c:ptCount val="1"/>
                <c:pt idx="0">
                  <c:v>ECHO</c:v>
                </c:pt>
              </c:strCache>
            </c:strRef>
          </c:tx>
          <c:invertIfNegative val="0"/>
          <c:cat>
            <c:strRef>
              <c:f>'Funds analysis'!$B$71:$B$73</c:f>
              <c:strCache>
                <c:ptCount val="3"/>
                <c:pt idx="0">
                  <c:v>Before 2014</c:v>
                </c:pt>
                <c:pt idx="1">
                  <c:v>2014</c:v>
                </c:pt>
                <c:pt idx="2">
                  <c:v>2015</c:v>
                </c:pt>
              </c:strCache>
            </c:strRef>
          </c:cat>
          <c:val>
            <c:numRef>
              <c:f>'Funds analysis'!$C$71:$C$73</c:f>
              <c:numCache>
                <c:formatCode>#,##0</c:formatCode>
                <c:ptCount val="3"/>
                <c:pt idx="0">
                  <c:v>2174530.0636635181</c:v>
                </c:pt>
                <c:pt idx="1">
                  <c:v>1331418.2826844642</c:v>
                </c:pt>
                <c:pt idx="2">
                  <c:v>816590.65365201782</c:v>
                </c:pt>
              </c:numCache>
            </c:numRef>
          </c:val>
        </c:ser>
        <c:ser>
          <c:idx val="1"/>
          <c:order val="1"/>
          <c:tx>
            <c:strRef>
              <c:f>'Funds analysis'!$D$69:$D$70</c:f>
              <c:strCache>
                <c:ptCount val="1"/>
                <c:pt idx="0">
                  <c:v>Germany</c:v>
                </c:pt>
              </c:strCache>
            </c:strRef>
          </c:tx>
          <c:invertIfNegative val="0"/>
          <c:cat>
            <c:strRef>
              <c:f>'Funds analysis'!$B$71:$B$73</c:f>
              <c:strCache>
                <c:ptCount val="3"/>
                <c:pt idx="0">
                  <c:v>Before 2014</c:v>
                </c:pt>
                <c:pt idx="1">
                  <c:v>2014</c:v>
                </c:pt>
                <c:pt idx="2">
                  <c:v>2015</c:v>
                </c:pt>
              </c:strCache>
            </c:strRef>
          </c:cat>
          <c:val>
            <c:numRef>
              <c:f>'Funds analysis'!$D$71:$D$73</c:f>
              <c:numCache>
                <c:formatCode>#,##0</c:formatCode>
                <c:ptCount val="3"/>
                <c:pt idx="0">
                  <c:v>338770</c:v>
                </c:pt>
                <c:pt idx="1">
                  <c:v>0</c:v>
                </c:pt>
                <c:pt idx="2">
                  <c:v>0</c:v>
                </c:pt>
              </c:numCache>
            </c:numRef>
          </c:val>
        </c:ser>
        <c:ser>
          <c:idx val="2"/>
          <c:order val="2"/>
          <c:tx>
            <c:strRef>
              <c:f>'Funds analysis'!$E$69:$E$70</c:f>
              <c:strCache>
                <c:ptCount val="1"/>
                <c:pt idx="0">
                  <c:v>OFDA</c:v>
                </c:pt>
              </c:strCache>
            </c:strRef>
          </c:tx>
          <c:invertIfNegative val="0"/>
          <c:cat>
            <c:strRef>
              <c:f>'Funds analysis'!$B$71:$B$73</c:f>
              <c:strCache>
                <c:ptCount val="3"/>
                <c:pt idx="0">
                  <c:v>Before 2014</c:v>
                </c:pt>
                <c:pt idx="1">
                  <c:v>2014</c:v>
                </c:pt>
                <c:pt idx="2">
                  <c:v>2015</c:v>
                </c:pt>
              </c:strCache>
            </c:strRef>
          </c:cat>
          <c:val>
            <c:numRef>
              <c:f>'Funds analysis'!$E$71:$E$73</c:f>
              <c:numCache>
                <c:formatCode>#,##0</c:formatCode>
                <c:ptCount val="3"/>
                <c:pt idx="0">
                  <c:v>1067394.5833333333</c:v>
                </c:pt>
                <c:pt idx="1">
                  <c:v>968695.31498302927</c:v>
                </c:pt>
                <c:pt idx="2">
                  <c:v>1725089.1016836374</c:v>
                </c:pt>
              </c:numCache>
            </c:numRef>
          </c:val>
        </c:ser>
        <c:ser>
          <c:idx val="3"/>
          <c:order val="3"/>
          <c:tx>
            <c:strRef>
              <c:f>'Funds analysis'!$F$69:$F$70</c:f>
              <c:strCache>
                <c:ptCount val="1"/>
                <c:pt idx="0">
                  <c:v>CERF</c:v>
                </c:pt>
              </c:strCache>
            </c:strRef>
          </c:tx>
          <c:invertIfNegative val="0"/>
          <c:cat>
            <c:strRef>
              <c:f>'Funds analysis'!$B$71:$B$73</c:f>
              <c:strCache>
                <c:ptCount val="3"/>
                <c:pt idx="0">
                  <c:v>Before 2014</c:v>
                </c:pt>
                <c:pt idx="1">
                  <c:v>2014</c:v>
                </c:pt>
                <c:pt idx="2">
                  <c:v>2015</c:v>
                </c:pt>
              </c:strCache>
            </c:strRef>
          </c:cat>
          <c:val>
            <c:numRef>
              <c:f>'Funds analysis'!$F$71:$F$73</c:f>
              <c:numCache>
                <c:formatCode>#,##0</c:formatCode>
                <c:ptCount val="3"/>
                <c:pt idx="0">
                  <c:v>1172664.4566898956</c:v>
                </c:pt>
                <c:pt idx="1">
                  <c:v>1022388.1533101045</c:v>
                </c:pt>
                <c:pt idx="2">
                  <c:v>0</c:v>
                </c:pt>
              </c:numCache>
            </c:numRef>
          </c:val>
        </c:ser>
        <c:ser>
          <c:idx val="4"/>
          <c:order val="4"/>
          <c:tx>
            <c:strRef>
              <c:f>'Funds analysis'!$G$69:$G$70</c:f>
              <c:strCache>
                <c:ptCount val="1"/>
                <c:pt idx="0">
                  <c:v>Canada</c:v>
                </c:pt>
              </c:strCache>
            </c:strRef>
          </c:tx>
          <c:invertIfNegative val="0"/>
          <c:cat>
            <c:strRef>
              <c:f>'Funds analysis'!$B$71:$B$73</c:f>
              <c:strCache>
                <c:ptCount val="3"/>
                <c:pt idx="0">
                  <c:v>Before 2014</c:v>
                </c:pt>
                <c:pt idx="1">
                  <c:v>2014</c:v>
                </c:pt>
                <c:pt idx="2">
                  <c:v>2015</c:v>
                </c:pt>
              </c:strCache>
            </c:strRef>
          </c:cat>
          <c:val>
            <c:numRef>
              <c:f>'Funds analysis'!$G$71:$G$73</c:f>
              <c:numCache>
                <c:formatCode>#,##0</c:formatCode>
                <c:ptCount val="3"/>
                <c:pt idx="0">
                  <c:v>292113</c:v>
                </c:pt>
                <c:pt idx="1">
                  <c:v>0</c:v>
                </c:pt>
                <c:pt idx="2">
                  <c:v>0</c:v>
                </c:pt>
              </c:numCache>
            </c:numRef>
          </c:val>
        </c:ser>
        <c:ser>
          <c:idx val="5"/>
          <c:order val="5"/>
          <c:tx>
            <c:strRef>
              <c:f>'Funds analysis'!$H$69:$H$70</c:f>
              <c:strCache>
                <c:ptCount val="1"/>
                <c:pt idx="0">
                  <c:v>Australian</c:v>
                </c:pt>
              </c:strCache>
            </c:strRef>
          </c:tx>
          <c:invertIfNegative val="0"/>
          <c:cat>
            <c:strRef>
              <c:f>'Funds analysis'!$B$71:$B$73</c:f>
              <c:strCache>
                <c:ptCount val="3"/>
                <c:pt idx="0">
                  <c:v>Before 2014</c:v>
                </c:pt>
                <c:pt idx="1">
                  <c:v>2014</c:v>
                </c:pt>
                <c:pt idx="2">
                  <c:v>2015</c:v>
                </c:pt>
              </c:strCache>
            </c:strRef>
          </c:cat>
          <c:val>
            <c:numRef>
              <c:f>'Funds analysis'!$H$71:$H$73</c:f>
              <c:numCache>
                <c:formatCode>#,##0</c:formatCode>
                <c:ptCount val="3"/>
                <c:pt idx="0">
                  <c:v>414065.16519823787</c:v>
                </c:pt>
                <c:pt idx="1">
                  <c:v>100963.83480176212</c:v>
                </c:pt>
                <c:pt idx="2">
                  <c:v>0</c:v>
                </c:pt>
              </c:numCache>
            </c:numRef>
          </c:val>
        </c:ser>
        <c:ser>
          <c:idx val="6"/>
          <c:order val="6"/>
          <c:tx>
            <c:strRef>
              <c:f>'Funds analysis'!$I$69:$I$70</c:f>
              <c:strCache>
                <c:ptCount val="1"/>
                <c:pt idx="0">
                  <c:v>France</c:v>
                </c:pt>
              </c:strCache>
            </c:strRef>
          </c:tx>
          <c:invertIfNegative val="0"/>
          <c:cat>
            <c:strRef>
              <c:f>'Funds analysis'!$B$71:$B$73</c:f>
              <c:strCache>
                <c:ptCount val="3"/>
                <c:pt idx="0">
                  <c:v>Before 2014</c:v>
                </c:pt>
                <c:pt idx="1">
                  <c:v>2014</c:v>
                </c:pt>
                <c:pt idx="2">
                  <c:v>2015</c:v>
                </c:pt>
              </c:strCache>
            </c:strRef>
          </c:cat>
          <c:val>
            <c:numRef>
              <c:f>'Funds analysis'!$I$71:$I$73</c:f>
              <c:numCache>
                <c:formatCode>#,##0</c:formatCode>
                <c:ptCount val="3"/>
                <c:pt idx="0">
                  <c:v>197000</c:v>
                </c:pt>
                <c:pt idx="1">
                  <c:v>0</c:v>
                </c:pt>
                <c:pt idx="2">
                  <c:v>0</c:v>
                </c:pt>
              </c:numCache>
            </c:numRef>
          </c:val>
        </c:ser>
        <c:ser>
          <c:idx val="7"/>
          <c:order val="7"/>
          <c:tx>
            <c:strRef>
              <c:f>'Funds analysis'!$J$69:$J$70</c:f>
              <c:strCache>
                <c:ptCount val="1"/>
                <c:pt idx="0">
                  <c:v>Irland</c:v>
                </c:pt>
              </c:strCache>
            </c:strRef>
          </c:tx>
          <c:invertIfNegative val="0"/>
          <c:cat>
            <c:strRef>
              <c:f>'Funds analysis'!$B$71:$B$73</c:f>
              <c:strCache>
                <c:ptCount val="3"/>
                <c:pt idx="0">
                  <c:v>Before 2014</c:v>
                </c:pt>
                <c:pt idx="1">
                  <c:v>2014</c:v>
                </c:pt>
                <c:pt idx="2">
                  <c:v>2015</c:v>
                </c:pt>
              </c:strCache>
            </c:strRef>
          </c:cat>
          <c:val>
            <c:numRef>
              <c:f>'Funds analysis'!$J$71:$J$73</c:f>
              <c:numCache>
                <c:formatCode>#,##0</c:formatCode>
                <c:ptCount val="3"/>
                <c:pt idx="0">
                  <c:v>165239.41391941393</c:v>
                </c:pt>
                <c:pt idx="1">
                  <c:v>79925.586080586087</c:v>
                </c:pt>
                <c:pt idx="2">
                  <c:v>0</c:v>
                </c:pt>
              </c:numCache>
            </c:numRef>
          </c:val>
        </c:ser>
        <c:ser>
          <c:idx val="8"/>
          <c:order val="8"/>
          <c:tx>
            <c:strRef>
              <c:f>'Funds analysis'!$K$69:$K$70</c:f>
              <c:strCache>
                <c:ptCount val="1"/>
                <c:pt idx="0">
                  <c:v>Sweden</c:v>
                </c:pt>
              </c:strCache>
            </c:strRef>
          </c:tx>
          <c:invertIfNegative val="0"/>
          <c:cat>
            <c:strRef>
              <c:f>'Funds analysis'!$B$71:$B$73</c:f>
              <c:strCache>
                <c:ptCount val="3"/>
                <c:pt idx="0">
                  <c:v>Before 2014</c:v>
                </c:pt>
                <c:pt idx="1">
                  <c:v>2014</c:v>
                </c:pt>
                <c:pt idx="2">
                  <c:v>2015</c:v>
                </c:pt>
              </c:strCache>
            </c:strRef>
          </c:cat>
          <c:val>
            <c:numRef>
              <c:f>'Funds analysis'!$K$71:$K$73</c:f>
              <c:numCache>
                <c:formatCode>#,##0</c:formatCode>
                <c:ptCount val="3"/>
                <c:pt idx="0">
                  <c:v>106270</c:v>
                </c:pt>
                <c:pt idx="1">
                  <c:v>50000</c:v>
                </c:pt>
                <c:pt idx="2">
                  <c:v>0</c:v>
                </c:pt>
              </c:numCache>
            </c:numRef>
          </c:val>
        </c:ser>
        <c:ser>
          <c:idx val="9"/>
          <c:order val="9"/>
          <c:tx>
            <c:strRef>
              <c:f>'Funds analysis'!$L$69:$L$70</c:f>
              <c:strCache>
                <c:ptCount val="1"/>
                <c:pt idx="0">
                  <c:v>CIDA</c:v>
                </c:pt>
              </c:strCache>
            </c:strRef>
          </c:tx>
          <c:invertIfNegative val="0"/>
          <c:cat>
            <c:strRef>
              <c:f>'Funds analysis'!$B$71:$B$73</c:f>
              <c:strCache>
                <c:ptCount val="3"/>
                <c:pt idx="0">
                  <c:v>Before 2014</c:v>
                </c:pt>
                <c:pt idx="1">
                  <c:v>2014</c:v>
                </c:pt>
                <c:pt idx="2">
                  <c:v>2015</c:v>
                </c:pt>
              </c:strCache>
            </c:strRef>
          </c:cat>
          <c:val>
            <c:numRef>
              <c:f>'Funds analysis'!$L$71:$L$73</c:f>
              <c:numCache>
                <c:formatCode>#,##0</c:formatCode>
                <c:ptCount val="3"/>
                <c:pt idx="0">
                  <c:v>153948.79955947137</c:v>
                </c:pt>
                <c:pt idx="1">
                  <c:v>37538.200440528635</c:v>
                </c:pt>
                <c:pt idx="2">
                  <c:v>0</c:v>
                </c:pt>
              </c:numCache>
            </c:numRef>
          </c:val>
        </c:ser>
        <c:ser>
          <c:idx val="10"/>
          <c:order val="10"/>
          <c:tx>
            <c:strRef>
              <c:f>'Funds analysis'!$M$69:$M$70</c:f>
              <c:strCache>
                <c:ptCount val="1"/>
                <c:pt idx="0">
                  <c:v>Japan</c:v>
                </c:pt>
              </c:strCache>
            </c:strRef>
          </c:tx>
          <c:invertIfNegative val="0"/>
          <c:cat>
            <c:strRef>
              <c:f>'Funds analysis'!$B$71:$B$73</c:f>
              <c:strCache>
                <c:ptCount val="3"/>
                <c:pt idx="0">
                  <c:v>Before 2014</c:v>
                </c:pt>
                <c:pt idx="1">
                  <c:v>2014</c:v>
                </c:pt>
                <c:pt idx="2">
                  <c:v>2015</c:v>
                </c:pt>
              </c:strCache>
            </c:strRef>
          </c:cat>
          <c:val>
            <c:numRef>
              <c:f>'Funds analysis'!$M$71:$M$73</c:f>
              <c:numCache>
                <c:formatCode>#,##0</c:formatCode>
                <c:ptCount val="3"/>
                <c:pt idx="0">
                  <c:v>0</c:v>
                </c:pt>
                <c:pt idx="1">
                  <c:v>564560.43956043955</c:v>
                </c:pt>
                <c:pt idx="2">
                  <c:v>185439.56043956045</c:v>
                </c:pt>
              </c:numCache>
            </c:numRef>
          </c:val>
        </c:ser>
        <c:ser>
          <c:idx val="11"/>
          <c:order val="11"/>
          <c:tx>
            <c:strRef>
              <c:f>'Funds analysis'!$N$69:$N$70</c:f>
              <c:strCache>
                <c:ptCount val="1"/>
                <c:pt idx="0">
                  <c:v>SC seed funding</c:v>
                </c:pt>
              </c:strCache>
            </c:strRef>
          </c:tx>
          <c:invertIfNegative val="0"/>
          <c:cat>
            <c:strRef>
              <c:f>'Funds analysis'!$B$71:$B$73</c:f>
              <c:strCache>
                <c:ptCount val="3"/>
                <c:pt idx="0">
                  <c:v>Before 2014</c:v>
                </c:pt>
                <c:pt idx="1">
                  <c:v>2014</c:v>
                </c:pt>
                <c:pt idx="2">
                  <c:v>2015</c:v>
                </c:pt>
              </c:strCache>
            </c:strRef>
          </c:cat>
          <c:val>
            <c:numRef>
              <c:f>'Funds analysis'!$N$71:$N$73</c:f>
              <c:numCache>
                <c:formatCode>#,##0</c:formatCode>
                <c:ptCount val="3"/>
                <c:pt idx="0">
                  <c:v>0</c:v>
                </c:pt>
                <c:pt idx="1">
                  <c:v>17000</c:v>
                </c:pt>
                <c:pt idx="2">
                  <c:v>0</c:v>
                </c:pt>
              </c:numCache>
            </c:numRef>
          </c:val>
        </c:ser>
        <c:ser>
          <c:idx val="12"/>
          <c:order val="12"/>
          <c:tx>
            <c:strRef>
              <c:f>'Funds analysis'!$O$69:$O$70</c:f>
              <c:strCache>
                <c:ptCount val="1"/>
                <c:pt idx="0">
                  <c:v>SIDA</c:v>
                </c:pt>
              </c:strCache>
            </c:strRef>
          </c:tx>
          <c:invertIfNegative val="0"/>
          <c:cat>
            <c:strRef>
              <c:f>'Funds analysis'!$B$71:$B$73</c:f>
              <c:strCache>
                <c:ptCount val="3"/>
                <c:pt idx="0">
                  <c:v>Before 2014</c:v>
                </c:pt>
                <c:pt idx="1">
                  <c:v>2014</c:v>
                </c:pt>
                <c:pt idx="2">
                  <c:v>2015</c:v>
                </c:pt>
              </c:strCache>
            </c:strRef>
          </c:cat>
          <c:val>
            <c:numRef>
              <c:f>'Funds analysis'!$O$71:$O$73</c:f>
              <c:numCache>
                <c:formatCode>#,##0</c:formatCode>
                <c:ptCount val="3"/>
                <c:pt idx="0">
                  <c:v>0</c:v>
                </c:pt>
                <c:pt idx="1">
                  <c:v>80400</c:v>
                </c:pt>
                <c:pt idx="2">
                  <c:v>0</c:v>
                </c:pt>
              </c:numCache>
            </c:numRef>
          </c:val>
        </c:ser>
        <c:ser>
          <c:idx val="13"/>
          <c:order val="13"/>
          <c:tx>
            <c:strRef>
              <c:f>'Funds analysis'!$P$69:$P$70</c:f>
              <c:strCache>
                <c:ptCount val="1"/>
                <c:pt idx="0">
                  <c:v>Start fund</c:v>
                </c:pt>
              </c:strCache>
            </c:strRef>
          </c:tx>
          <c:invertIfNegative val="0"/>
          <c:cat>
            <c:strRef>
              <c:f>'Funds analysis'!$B$71:$B$73</c:f>
              <c:strCache>
                <c:ptCount val="3"/>
                <c:pt idx="0">
                  <c:v>Before 2014</c:v>
                </c:pt>
                <c:pt idx="1">
                  <c:v>2014</c:v>
                </c:pt>
                <c:pt idx="2">
                  <c:v>2015</c:v>
                </c:pt>
              </c:strCache>
            </c:strRef>
          </c:cat>
          <c:val>
            <c:numRef>
              <c:f>'Funds analysis'!$P$71:$P$73</c:f>
              <c:numCache>
                <c:formatCode>#,##0</c:formatCode>
                <c:ptCount val="3"/>
                <c:pt idx="0">
                  <c:v>0</c:v>
                </c:pt>
                <c:pt idx="1">
                  <c:v>43482</c:v>
                </c:pt>
                <c:pt idx="2">
                  <c:v>0</c:v>
                </c:pt>
              </c:numCache>
            </c:numRef>
          </c:val>
        </c:ser>
        <c:ser>
          <c:idx val="14"/>
          <c:order val="14"/>
          <c:tx>
            <c:strRef>
              <c:f>'Funds analysis'!$Q$69:$Q$70</c:f>
              <c:strCache>
                <c:ptCount val="1"/>
                <c:pt idx="0">
                  <c:v>DFAT</c:v>
                </c:pt>
              </c:strCache>
            </c:strRef>
          </c:tx>
          <c:invertIfNegative val="0"/>
          <c:cat>
            <c:strRef>
              <c:f>'Funds analysis'!$B$71:$B$73</c:f>
              <c:strCache>
                <c:ptCount val="3"/>
                <c:pt idx="0">
                  <c:v>Before 2014</c:v>
                </c:pt>
                <c:pt idx="1">
                  <c:v>2014</c:v>
                </c:pt>
                <c:pt idx="2">
                  <c:v>2015</c:v>
                </c:pt>
              </c:strCache>
            </c:strRef>
          </c:cat>
          <c:val>
            <c:numRef>
              <c:f>'Funds analysis'!$Q$71:$Q$73</c:f>
              <c:numCache>
                <c:formatCode>#,##0</c:formatCode>
                <c:ptCount val="3"/>
                <c:pt idx="0">
                  <c:v>0</c:v>
                </c:pt>
                <c:pt idx="1">
                  <c:v>939498.21854084812</c:v>
                </c:pt>
                <c:pt idx="2">
                  <c:v>581410.78278552473</c:v>
                </c:pt>
              </c:numCache>
            </c:numRef>
          </c:val>
        </c:ser>
        <c:ser>
          <c:idx val="15"/>
          <c:order val="15"/>
          <c:tx>
            <c:strRef>
              <c:f>'Funds analysis'!$R$69:$R$70</c:f>
              <c:strCache>
                <c:ptCount val="1"/>
                <c:pt idx="0">
                  <c:v>ERF</c:v>
                </c:pt>
              </c:strCache>
            </c:strRef>
          </c:tx>
          <c:invertIfNegative val="0"/>
          <c:cat>
            <c:strRef>
              <c:f>'Funds analysis'!$B$71:$B$73</c:f>
              <c:strCache>
                <c:ptCount val="3"/>
                <c:pt idx="0">
                  <c:v>Before 2014</c:v>
                </c:pt>
                <c:pt idx="1">
                  <c:v>2014</c:v>
                </c:pt>
                <c:pt idx="2">
                  <c:v>2015</c:v>
                </c:pt>
              </c:strCache>
            </c:strRef>
          </c:cat>
          <c:val>
            <c:numRef>
              <c:f>'Funds analysis'!$R$71:$R$73</c:f>
              <c:numCache>
                <c:formatCode>#,##0</c:formatCode>
                <c:ptCount val="3"/>
                <c:pt idx="0">
                  <c:v>0</c:v>
                </c:pt>
                <c:pt idx="1">
                  <c:v>161000.81218274112</c:v>
                </c:pt>
                <c:pt idx="2">
                  <c:v>185134.18781725888</c:v>
                </c:pt>
              </c:numCache>
            </c:numRef>
          </c:val>
        </c:ser>
        <c:dLbls>
          <c:showLegendKey val="0"/>
          <c:showVal val="0"/>
          <c:showCatName val="0"/>
          <c:showSerName val="0"/>
          <c:showPercent val="0"/>
          <c:showBubbleSize val="0"/>
        </c:dLbls>
        <c:gapWidth val="150"/>
        <c:shape val="box"/>
        <c:axId val="107673472"/>
        <c:axId val="107675008"/>
        <c:axId val="0"/>
      </c:bar3DChart>
      <c:catAx>
        <c:axId val="107673472"/>
        <c:scaling>
          <c:orientation val="minMax"/>
        </c:scaling>
        <c:delete val="0"/>
        <c:axPos val="b"/>
        <c:numFmt formatCode="General" sourceLinked="1"/>
        <c:majorTickMark val="out"/>
        <c:minorTickMark val="none"/>
        <c:tickLblPos val="nextTo"/>
        <c:txPr>
          <a:bodyPr/>
          <a:lstStyle/>
          <a:p>
            <a:pPr>
              <a:defRPr sz="1000"/>
            </a:pPr>
            <a:endParaRPr lang="en-US"/>
          </a:p>
        </c:txPr>
        <c:crossAx val="107675008"/>
        <c:crosses val="autoZero"/>
        <c:auto val="0"/>
        <c:lblAlgn val="ctr"/>
        <c:lblOffset val="100"/>
        <c:noMultiLvlLbl val="0"/>
      </c:catAx>
      <c:valAx>
        <c:axId val="107675008"/>
        <c:scaling>
          <c:orientation val="minMax"/>
          <c:max val="8000000"/>
        </c:scaling>
        <c:delete val="0"/>
        <c:axPos val="l"/>
        <c:majorGridlines/>
        <c:numFmt formatCode="#,##0" sourceLinked="1"/>
        <c:majorTickMark val="out"/>
        <c:minorTickMark val="none"/>
        <c:tickLblPos val="nextTo"/>
        <c:txPr>
          <a:bodyPr/>
          <a:lstStyle/>
          <a:p>
            <a:pPr>
              <a:defRPr sz="1000"/>
            </a:pPr>
            <a:endParaRPr lang="en-US"/>
          </a:p>
        </c:txPr>
        <c:crossAx val="107673472"/>
        <c:crosses val="autoZero"/>
        <c:crossBetween val="between"/>
      </c:valAx>
      <c:spPr>
        <a:noFill/>
        <a:ln w="25400">
          <a:noFill/>
        </a:ln>
      </c:spPr>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2015.xlsx]Funds analysis!PivotTable8</c:name>
    <c:fmtId val="4"/>
  </c:pivotSource>
  <c:chart>
    <c:title>
      <c:tx>
        <c:rich>
          <a:bodyPr/>
          <a:lstStyle/>
          <a:p>
            <a:pPr>
              <a:defRPr sz="1400"/>
            </a:pPr>
            <a:r>
              <a:rPr lang="en-US" sz="1400"/>
              <a:t>GEOGRAPHIC FUND REPARTITION</a:t>
            </a:r>
          </a:p>
        </c:rich>
      </c:tx>
      <c:layout>
        <c:manualLayout>
          <c:xMode val="edge"/>
          <c:yMode val="edge"/>
          <c:x val="0.29358796296296297"/>
          <c:y val="8.3333333333333329E-2"/>
        </c:manualLayout>
      </c:layout>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dLbl>
          <c:idx val="0"/>
          <c:layout>
            <c:manualLayout>
              <c:x val="-2.3360126859142606E-2"/>
              <c:y val="2.6588863892013499E-2"/>
            </c:manualLayout>
          </c:layout>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5.6913431061166593E-2"/>
              <c:y val="-3.5505547602004292E-2"/>
            </c:manualLayout>
          </c:layout>
          <c:showLegendKey val="0"/>
          <c:showVal val="0"/>
          <c:showCatName val="1"/>
          <c:showSerName val="0"/>
          <c:showPercent val="0"/>
          <c:showBubbleSize val="0"/>
          <c:extLst>
            <c:ext xmlns:c15="http://schemas.microsoft.com/office/drawing/2012/chart" uri="{CE6537A1-D6FC-4f65-9D91-7224C49458BB}"/>
          </c:extLst>
        </c:dLbl>
      </c:pivotFmt>
      <c:pivotFmt>
        <c:idx val="8"/>
        <c:dLbl>
          <c:idx val="0"/>
          <c:layout>
            <c:manualLayout>
              <c:x val="-6.8190231842442425E-2"/>
              <c:y val="6.6817775283657468E-2"/>
            </c:manualLayout>
          </c:layout>
          <c:showLegendKey val="0"/>
          <c:showVal val="0"/>
          <c:showCatName val="1"/>
          <c:showSerName val="0"/>
          <c:showPercent val="0"/>
          <c:showBubbleSize val="0"/>
          <c:extLst>
            <c:ext xmlns:c15="http://schemas.microsoft.com/office/drawing/2012/chart" uri="{CE6537A1-D6FC-4f65-9D91-7224C49458BB}"/>
          </c:extLst>
        </c:dLbl>
      </c:pivotFmt>
      <c:pivotFmt>
        <c:idx val="9"/>
        <c:dLbl>
          <c:idx val="0"/>
          <c:layout>
            <c:manualLayout>
              <c:x val="0.10603588696956626"/>
              <c:y val="5.63553303053154E-2"/>
            </c:manualLayout>
          </c:layout>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pie3DChart>
        <c:varyColors val="1"/>
        <c:ser>
          <c:idx val="0"/>
          <c:order val="0"/>
          <c:tx>
            <c:strRef>
              <c:f>'Funds analysis'!$C$94</c:f>
              <c:strCache>
                <c:ptCount val="1"/>
                <c:pt idx="0">
                  <c:v>Total</c:v>
                </c:pt>
              </c:strCache>
            </c:strRef>
          </c:tx>
          <c:explosion val="17"/>
          <c:dLbls>
            <c:dLbl>
              <c:idx val="0"/>
              <c:layout>
                <c:manualLayout>
                  <c:x val="0.10603588696956626"/>
                  <c:y val="5.63553303053154E-2"/>
                </c:manualLayout>
              </c:layout>
              <c:showLegendKey val="0"/>
              <c:showVal val="0"/>
              <c:showCatName val="1"/>
              <c:showSerName val="0"/>
              <c:showPercent val="0"/>
              <c:showBubbleSize val="0"/>
              <c:extLst>
                <c:ext xmlns:c15="http://schemas.microsoft.com/office/drawing/2012/chart" uri="{CE6537A1-D6FC-4f65-9D91-7224C49458BB}"/>
              </c:extLst>
            </c:dLbl>
            <c:dLbl>
              <c:idx val="1"/>
              <c:layout>
                <c:manualLayout>
                  <c:x val="5.6913431061166593E-2"/>
                  <c:y val="-3.5505547602004292E-2"/>
                </c:manualLayout>
              </c:layout>
              <c:showLegendKey val="0"/>
              <c:showVal val="0"/>
              <c:showCatName val="1"/>
              <c:showSerName val="0"/>
              <c:showPercent val="0"/>
              <c:showBubbleSize val="0"/>
              <c:extLst>
                <c:ext xmlns:c15="http://schemas.microsoft.com/office/drawing/2012/chart" uri="{CE6537A1-D6FC-4f65-9D91-7224C49458BB}"/>
              </c:extLst>
            </c:dLbl>
            <c:dLbl>
              <c:idx val="2"/>
              <c:layout>
                <c:manualLayout>
                  <c:x val="-6.8190231842442425E-2"/>
                  <c:y val="6.6817775283657468E-2"/>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showLeaderLines val="1"/>
          </c:dLbls>
          <c:cat>
            <c:strRef>
              <c:f>'Funds analysis'!$B$95:$B$97</c:f>
              <c:strCache>
                <c:ptCount val="3"/>
                <c:pt idx="0">
                  <c:v>% fund attributed for Northern Shan</c:v>
                </c:pt>
                <c:pt idx="1">
                  <c:v> % fund attributed for South Kachin</c:v>
                </c:pt>
                <c:pt idx="2">
                  <c:v> % funds attributed for North kachin</c:v>
                </c:pt>
              </c:strCache>
            </c:strRef>
          </c:cat>
          <c:val>
            <c:numRef>
              <c:f>'Funds analysis'!$C$95:$C$97</c:f>
              <c:numCache>
                <c:formatCode>0%</c:formatCode>
                <c:ptCount val="3"/>
                <c:pt idx="0">
                  <c:v>0.16593350534053763</c:v>
                </c:pt>
                <c:pt idx="1">
                  <c:v>0.55868231804587043</c:v>
                </c:pt>
                <c:pt idx="2">
                  <c:v>0.28535852944395074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i="0" baseline="0">
                <a:effectLst/>
              </a:rPr>
              <a:t>HRP</a:t>
            </a:r>
            <a:r>
              <a:rPr lang="en-US" sz="600" b="0" i="0" baseline="0">
                <a:effectLst/>
              </a:rPr>
              <a:t> Water target pop.:</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1" baseline="0">
                <a:effectLst/>
              </a:rPr>
              <a:t>99,500</a:t>
            </a:r>
            <a:endParaRPr lang="en-US" sz="600" b="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Water 100% covered:</a:t>
            </a:r>
            <a:endParaRPr lang="en-US" sz="600">
              <a:effectLst/>
            </a:endParaRPr>
          </a:p>
        </c:rich>
      </c:tx>
      <c:layout>
        <c:manualLayout>
          <c:xMode val="edge"/>
          <c:yMode val="edge"/>
          <c:x val="0.14390662253882924"/>
          <c:y val="0.50728388906635458"/>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6.8831427358592615E-2"/>
                  <c:y val="0.1950663557806414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indicator'!$C$46:$C$49</c:f>
              <c:numCache>
                <c:formatCode>0%</c:formatCode>
                <c:ptCount val="4"/>
                <c:pt idx="0">
                  <c:v>0.86663580417310015</c:v>
                </c:pt>
                <c:pt idx="1">
                  <c:v>0.13336419582689985</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Lit>
              <c:formatCode>General</c:formatCode>
              <c:ptCount val="4"/>
              <c:pt idx="0">
                <c:v>0.4</c:v>
              </c:pt>
              <c:pt idx="1">
                <c:v>0.3</c:v>
              </c:pt>
              <c:pt idx="2">
                <c:v>0.3</c:v>
              </c:pt>
              <c:pt idx="3">
                <c:v>1</c:v>
              </c:pt>
            </c:numLit>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2015.xlsx]Funds analysis!PivotTable1</c:name>
    <c:fmtId val="6"/>
  </c:pivotSource>
  <c:chart>
    <c:title>
      <c:tx>
        <c:rich>
          <a:bodyPr/>
          <a:lstStyle/>
          <a:p>
            <a:pPr>
              <a:defRPr sz="1400"/>
            </a:pPr>
            <a:r>
              <a:rPr lang="en-US" sz="1400"/>
              <a:t>TYPOLOGY OF THE BENEFICIARIES TARGETTED</a:t>
            </a:r>
          </a:p>
        </c:rich>
      </c:tx>
      <c:layout>
        <c:manualLayout>
          <c:xMode val="edge"/>
          <c:yMode val="edge"/>
          <c:x val="0.2591588160854893"/>
          <c:y val="7.1216061954364446E-2"/>
        </c:manualLayout>
      </c:layout>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dLbl>
          <c:idx val="0"/>
          <c:layout>
            <c:manualLayout>
              <c:x val="-0.39169113981490949"/>
              <c:y val="0.17380657421940873"/>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dLbl>
          <c:idx val="0"/>
          <c:layout>
            <c:manualLayout>
              <c:x val="0.17055760430514366"/>
              <c:y val="6.3487657123584409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8"/>
        <c:dLbl>
          <c:idx val="0"/>
          <c:layout>
            <c:manualLayout>
              <c:x val="-0.39169113981490949"/>
              <c:y val="0.17380657421940873"/>
            </c:manualLayout>
          </c:layout>
          <c:showLegendKey val="0"/>
          <c:showVal val="0"/>
          <c:showCatName val="1"/>
          <c:showSerName val="0"/>
          <c:showPercent val="0"/>
          <c:showBubbleSize val="0"/>
          <c:extLst>
            <c:ext xmlns:c15="http://schemas.microsoft.com/office/drawing/2012/chart" uri="{CE6537A1-D6FC-4f65-9D91-7224C49458BB}"/>
          </c:extLst>
        </c:dLbl>
      </c:pivotFmt>
      <c:pivotFmt>
        <c:idx val="9"/>
        <c:dLbl>
          <c:idx val="0"/>
          <c:layout>
            <c:manualLayout>
              <c:x val="0.17055760430514366"/>
              <c:y val="6.3487657123584409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9.2938311688311695E-2"/>
          <c:y val="0.30739015942611786"/>
          <c:w val="0.8303571428571429"/>
          <c:h val="0.69036795132898343"/>
        </c:manualLayout>
      </c:layout>
      <c:pie3DChart>
        <c:varyColors val="1"/>
        <c:ser>
          <c:idx val="0"/>
          <c:order val="0"/>
          <c:tx>
            <c:strRef>
              <c:f>'Funds analysis'!$C$124</c:f>
              <c:strCache>
                <c:ptCount val="1"/>
                <c:pt idx="0">
                  <c:v>Total</c:v>
                </c:pt>
              </c:strCache>
            </c:strRef>
          </c:tx>
          <c:dPt>
            <c:idx val="1"/>
            <c:bubble3D val="0"/>
            <c:explosion val="15"/>
          </c:dPt>
          <c:dLbls>
            <c:dLbl>
              <c:idx val="0"/>
              <c:layout>
                <c:manualLayout>
                  <c:x val="-0.39169113981490949"/>
                  <c:y val="0.17380657421940873"/>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showLeaderLines val="1"/>
          </c:dLbls>
          <c:cat>
            <c:strRef>
              <c:f>'Funds analysis'!$B$125:$B$126</c:f>
              <c:strCache>
                <c:ptCount val="2"/>
                <c:pt idx="0">
                  <c:v>Average of Approximate % of beneficiaries in host community</c:v>
                </c:pt>
                <c:pt idx="1">
                  <c:v>Average of Approximate % of beneficiaries in camps</c:v>
                </c:pt>
              </c:strCache>
            </c:strRef>
          </c:cat>
          <c:val>
            <c:numRef>
              <c:f>'Funds analysis'!$C$125:$C$126</c:f>
              <c:numCache>
                <c:formatCode>0%</c:formatCode>
                <c:ptCount val="2"/>
                <c:pt idx="0">
                  <c:v>0.04</c:v>
                </c:pt>
                <c:pt idx="1">
                  <c:v>0.95979166666666671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2015.xlsx]Funds analysis!PivotTable10</c:name>
    <c:fmtId val="57"/>
  </c:pivotSource>
  <c:chart>
    <c:title>
      <c:tx>
        <c:rich>
          <a:bodyPr/>
          <a:lstStyle/>
          <a:p>
            <a:pPr>
              <a:defRPr sz="1400"/>
            </a:pPr>
            <a:r>
              <a:rPr lang="en-US" sz="1400"/>
              <a:t>DONORS</a:t>
            </a:r>
            <a:r>
              <a:rPr lang="en-US" sz="1400" baseline="0"/>
              <a:t> FUNDING </a:t>
            </a:r>
            <a:r>
              <a:rPr lang="en-US" sz="1400" baseline="0">
                <a:solidFill>
                  <a:srgbClr val="FF0000"/>
                </a:solidFill>
              </a:rPr>
              <a:t>in 2014 (up to July)</a:t>
            </a:r>
            <a:endParaRPr lang="en-US" sz="1400">
              <a:solidFill>
                <a:srgbClr val="FF0000"/>
              </a:solidFill>
            </a:endParaRP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dLbl>
          <c:idx val="0"/>
          <c:layout>
            <c:manualLayout>
              <c:x val="5.946545414217589E-2"/>
              <c:y val="-0.1189238845144357"/>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3"/>
        <c:dLbl>
          <c:idx val="0"/>
          <c:layout>
            <c:manualLayout>
              <c:x val="6.6003659753798377E-2"/>
              <c:y val="-1.5044088590049839E-2"/>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4"/>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5"/>
        <c:dLbl>
          <c:idx val="0"/>
          <c:layout>
            <c:manualLayout>
              <c:x val="5.946545414217589E-2"/>
              <c:y val="-0.118923884514435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6"/>
        <c:dLbl>
          <c:idx val="0"/>
          <c:layout>
            <c:manualLayout>
              <c:x val="-7.68534038878943E-2"/>
              <c:y val="-0.1004252669975273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7"/>
        <c:dLbl>
          <c:idx val="0"/>
          <c:layout>
            <c:manualLayout>
              <c:x val="0.14557391593656427"/>
              <c:y val="-0.1398876330603440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8"/>
        <c:dLbl>
          <c:idx val="0"/>
          <c:layout>
            <c:manualLayout>
              <c:x val="-6.5877944834360491E-3"/>
              <c:y val="8.4786339909758465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9"/>
        <c:dLbl>
          <c:idx val="0"/>
          <c:layout>
            <c:manualLayout>
              <c:x val="1.8222563728829654E-2"/>
              <c:y val="0.1641403468775756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0"/>
        <c:dLbl>
          <c:idx val="0"/>
          <c:layout>
            <c:manualLayout>
              <c:x val="-2.9633074034759739E-2"/>
              <c:y val="0.1095869210669379"/>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1"/>
        <c:dLbl>
          <c:idx val="0"/>
          <c:layout>
            <c:manualLayout>
              <c:x val="0.1923360636258496"/>
              <c:y val="-7.49357715307858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2"/>
        <c:dLbl>
          <c:idx val="0"/>
          <c:layout>
            <c:manualLayout>
              <c:x val="-2.4969264405329615E-2"/>
              <c:y val="-4.307293049043030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3"/>
        <c:dLbl>
          <c:idx val="0"/>
          <c:layout>
            <c:manualLayout>
              <c:x val="-6.6488854386159479E-2"/>
              <c:y val="3.2185916209248898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4"/>
        <c:dLbl>
          <c:idx val="0"/>
          <c:layout>
            <c:manualLayout>
              <c:x val="-6.2121231324957622E-2"/>
              <c:y val="-2.3692852007084861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5"/>
        <c:dLbl>
          <c:idx val="0"/>
          <c:layout>
            <c:manualLayout>
              <c:x val="3.2567214309478919E-2"/>
              <c:y val="-0.1101309997720218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6"/>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7"/>
        <c:dLbl>
          <c:idx val="0"/>
          <c:layout>
            <c:manualLayout>
              <c:x val="5.946545414217589E-2"/>
              <c:y val="-0.118923884514435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8"/>
        <c:dLbl>
          <c:idx val="0"/>
          <c:layout>
            <c:manualLayout>
              <c:x val="-6.5877944834360491E-3"/>
              <c:y val="8.4786339909758465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9"/>
        <c:dLbl>
          <c:idx val="0"/>
          <c:layout>
            <c:manualLayout>
              <c:x val="1.8222563728829654E-2"/>
              <c:y val="0.1641403468775756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0"/>
        <c:dLbl>
          <c:idx val="0"/>
          <c:layout>
            <c:manualLayout>
              <c:x val="-2.9633074034759739E-2"/>
              <c:y val="0.1095869210669379"/>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1"/>
        <c:dLbl>
          <c:idx val="0"/>
          <c:layout>
            <c:manualLayout>
              <c:x val="-6.6488854386159479E-2"/>
              <c:y val="3.2185916209248898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2"/>
        <c:dLbl>
          <c:idx val="0"/>
          <c:layout>
            <c:manualLayout>
              <c:x val="-6.2121231324957622E-2"/>
              <c:y val="-2.3692852007084861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3"/>
        <c:dLbl>
          <c:idx val="0"/>
          <c:layout>
            <c:manualLayout>
              <c:x val="-7.68534038878943E-2"/>
              <c:y val="-0.1004252669975273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4"/>
        <c:dLbl>
          <c:idx val="0"/>
          <c:layout>
            <c:manualLayout>
              <c:x val="-2.4969264405329615E-2"/>
              <c:y val="-4.307293049043030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5"/>
        <c:dLbl>
          <c:idx val="0"/>
          <c:layout>
            <c:manualLayout>
              <c:x val="3.2567214309478919E-2"/>
              <c:y val="-0.1101309997720218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6"/>
        <c:dLbl>
          <c:idx val="0"/>
          <c:layout>
            <c:manualLayout>
              <c:x val="0.14557391593656427"/>
              <c:y val="-0.1398876330603440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7"/>
        <c:dLbl>
          <c:idx val="0"/>
          <c:layout>
            <c:manualLayout>
              <c:x val="0.1923360636258496"/>
              <c:y val="-7.49357715307858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40"/>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41"/>
        <c:dLbl>
          <c:idx val="0"/>
          <c:layout>
            <c:manualLayout>
              <c:x val="-2.7511973996734503E-2"/>
              <c:y val="-5.8997246725005698E-2"/>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42"/>
        <c:dLbl>
          <c:idx val="0"/>
          <c:layout>
            <c:manualLayout>
              <c:x val="-2.998614728544137E-2"/>
              <c:y val="-4.2458306297458906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43"/>
        <c:dLbl>
          <c:idx val="0"/>
          <c:layout>
            <c:manualLayout>
              <c:x val="7.7646653166054583E-2"/>
              <c:y val="-5.4857250583098045E-2"/>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44"/>
        <c:dLbl>
          <c:idx val="0"/>
          <c:layout>
            <c:manualLayout>
              <c:x val="1.389760761506958E-2"/>
              <c:y val="-5.3465268400469987E-2"/>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45"/>
        <c:dLbl>
          <c:idx val="0"/>
          <c:layout>
            <c:manualLayout>
              <c:x val="5.8706536730819721E-3"/>
              <c:y val="8.3706574540097861E-2"/>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6592816742977551"/>
          <c:y val="0.25175345913052627"/>
          <c:w val="0.74775786005472722"/>
          <c:h val="0.61369520690754775"/>
        </c:manualLayout>
      </c:layout>
      <c:pie3DChart>
        <c:varyColors val="1"/>
        <c:ser>
          <c:idx val="0"/>
          <c:order val="0"/>
          <c:tx>
            <c:strRef>
              <c:f>'Funds analysis'!$C$33:$C$34</c:f>
              <c:strCache>
                <c:ptCount val="1"/>
                <c:pt idx="0">
                  <c:v>Total</c:v>
                </c:pt>
              </c:strCache>
            </c:strRef>
          </c:tx>
          <c:explosion val="20"/>
          <c:dLbls>
            <c:dLbl>
              <c:idx val="4"/>
              <c:layout>
                <c:manualLayout>
                  <c:x val="5.8706536730819721E-3"/>
                  <c:y val="8.370657454009786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2.7511973996734503E-2"/>
                  <c:y val="-5.8997246725005698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1.389760761506958E-2"/>
                  <c:y val="-5.3465268400469987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7.7646653166054583E-2"/>
                  <c:y val="-5.4857250583098045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showLeaderLines val="1"/>
          </c:dLbls>
          <c:cat>
            <c:strRef>
              <c:f>'Funds analysis'!$B$35:$B$45</c:f>
              <c:strCache>
                <c:ptCount val="10"/>
                <c:pt idx="0">
                  <c:v>ECHO</c:v>
                </c:pt>
                <c:pt idx="1">
                  <c:v>OFDA</c:v>
                </c:pt>
                <c:pt idx="2">
                  <c:v>CERF</c:v>
                </c:pt>
                <c:pt idx="3">
                  <c:v>CIDA</c:v>
                </c:pt>
                <c:pt idx="4">
                  <c:v>Start fund</c:v>
                </c:pt>
                <c:pt idx="5">
                  <c:v>Australian</c:v>
                </c:pt>
                <c:pt idx="6">
                  <c:v>SC seed funding</c:v>
                </c:pt>
                <c:pt idx="7">
                  <c:v>Irland</c:v>
                </c:pt>
                <c:pt idx="8">
                  <c:v>Sweden</c:v>
                </c:pt>
                <c:pt idx="9">
                  <c:v>ERF</c:v>
                </c:pt>
              </c:strCache>
            </c:strRef>
          </c:cat>
          <c:val>
            <c:numRef>
              <c:f>'Funds analysis'!$C$35:$C$45</c:f>
              <c:numCache>
                <c:formatCode>#,##0</c:formatCode>
                <c:ptCount val="10"/>
                <c:pt idx="0">
                  <c:v>723675.93633648218</c:v>
                </c:pt>
                <c:pt idx="1">
                  <c:v>585345.41666666674</c:v>
                </c:pt>
                <c:pt idx="2">
                  <c:v>1022388.1533101045</c:v>
                </c:pt>
                <c:pt idx="3">
                  <c:v>37538.200440528635</c:v>
                </c:pt>
                <c:pt idx="4">
                  <c:v>43482</c:v>
                </c:pt>
                <c:pt idx="5">
                  <c:v>100963.83480176212</c:v>
                </c:pt>
                <c:pt idx="6">
                  <c:v>17000</c:v>
                </c:pt>
                <c:pt idx="7">
                  <c:v>79925.586080586087</c:v>
                </c:pt>
                <c:pt idx="8">
                  <c:v>50000</c:v>
                </c:pt>
                <c:pt idx="9">
                  <c:v>78945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i="0" baseline="0">
                <a:effectLst/>
              </a:rPr>
              <a:t>HRP</a:t>
            </a:r>
            <a:r>
              <a:rPr lang="en-US" sz="600" b="0" i="0" baseline="0">
                <a:effectLst/>
              </a:rPr>
              <a:t> Sanitation target:</a:t>
            </a: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99,500</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Sanitation 100% covered:</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 </a:t>
            </a:r>
            <a:endParaRPr lang="en-US" sz="600">
              <a:effectLst/>
            </a:endParaRPr>
          </a:p>
        </c:rich>
      </c:tx>
      <c:layout>
        <c:manualLayout>
          <c:xMode val="edge"/>
          <c:yMode val="edge"/>
          <c:x val="0.14390662253882924"/>
          <c:y val="0.50728388906635458"/>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6.8930994576686513E-2"/>
                  <c:y val="0.1817993782279496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indicator'!$C$53:$C$56</c:f>
              <c:numCache>
                <c:formatCode>0%</c:formatCode>
                <c:ptCount val="4"/>
                <c:pt idx="0">
                  <c:v>0.81624321419824297</c:v>
                </c:pt>
                <c:pt idx="1">
                  <c:v>0.18375678580175703</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Lit>
              <c:formatCode>General</c:formatCode>
              <c:ptCount val="4"/>
              <c:pt idx="0">
                <c:v>0.4</c:v>
              </c:pt>
              <c:pt idx="1">
                <c:v>0.3</c:v>
              </c:pt>
              <c:pt idx="2">
                <c:v>0.3</c:v>
              </c:pt>
              <c:pt idx="3">
                <c:v>1</c:v>
              </c:pt>
            </c:numLit>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i="0" baseline="0">
                <a:effectLst/>
              </a:rPr>
              <a:t>HRP</a:t>
            </a:r>
            <a:r>
              <a:rPr lang="en-US" sz="600" b="0" i="0" baseline="0">
                <a:effectLst/>
              </a:rPr>
              <a:t> HP target:</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99,500</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HP population covered:</a:t>
            </a:r>
            <a:endParaRPr lang="en-US" sz="600">
              <a:effectLst/>
            </a:endParaRPr>
          </a:p>
        </c:rich>
      </c:tx>
      <c:layout>
        <c:manualLayout>
          <c:xMode val="edge"/>
          <c:yMode val="edge"/>
          <c:x val="0.15545063932946532"/>
          <c:y val="0.52055127947985091"/>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0.16128348100990472"/>
                  <c:y val="0.128731468017182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indicator'!$C$63:$C$66</c:f>
              <c:numCache>
                <c:formatCode>0%</c:formatCode>
                <c:ptCount val="4"/>
                <c:pt idx="0">
                  <c:v>0.54989874231514346</c:v>
                </c:pt>
                <c:pt idx="1">
                  <c:v>0.45010125768485654</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Lit>
              <c:formatCode>General</c:formatCode>
              <c:ptCount val="4"/>
              <c:pt idx="0">
                <c:v>0.4</c:v>
              </c:pt>
              <c:pt idx="1">
                <c:v>0.3</c:v>
              </c:pt>
              <c:pt idx="2">
                <c:v>0.3</c:v>
              </c:pt>
              <c:pt idx="3">
                <c:v>1</c:v>
              </c:pt>
            </c:numLit>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2015.xlsx]SituationAnalysis!PivotTable11</c:name>
    <c:fmtId val="41"/>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Location coverage</a:t>
            </a:r>
          </a:p>
        </c:rich>
      </c:tx>
      <c:layout>
        <c:manualLayout>
          <c:xMode val="edge"/>
          <c:yMode val="edge"/>
          <c:x val="0.38397627461921596"/>
          <c:y val="0"/>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5"/>
        <c:spPr>
          <a:solidFill>
            <a:schemeClr val="accent2"/>
          </a:solidFill>
          <a:ln>
            <a:noFill/>
          </a:ln>
          <a:effectLst/>
          <a:sp3d/>
        </c:spPr>
        <c:marker>
          <c:symbol val="none"/>
        </c:marker>
        <c:dLbl>
          <c:idx val="0"/>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8.497364994729989E-2"/>
          <c:y val="0.14921451891684268"/>
          <c:w val="0.91502635005270005"/>
          <c:h val="0.63521157416298568"/>
        </c:manualLayout>
      </c:layout>
      <c:bar3DChart>
        <c:barDir val="col"/>
        <c:grouping val="stacked"/>
        <c:varyColors val="0"/>
        <c:ser>
          <c:idx val="0"/>
          <c:order val="0"/>
          <c:tx>
            <c:strRef>
              <c:f>SituationAnalysis!$C$589:$C$590</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SituationAnalysis!$B$591:$B$593</c:f>
              <c:strCache>
                <c:ptCount val="2"/>
                <c:pt idx="0">
                  <c:v>GCA</c:v>
                </c:pt>
                <c:pt idx="1">
                  <c:v>NGCA</c:v>
                </c:pt>
              </c:strCache>
            </c:strRef>
          </c:cat>
          <c:val>
            <c:numRef>
              <c:f>SituationAnalysis!$C$591:$C$593</c:f>
              <c:numCache>
                <c:formatCode>0</c:formatCode>
                <c:ptCount val="2"/>
                <c:pt idx="0">
                  <c:v>132</c:v>
                </c:pt>
                <c:pt idx="1">
                  <c:v>26</c:v>
                </c:pt>
              </c:numCache>
            </c:numRef>
          </c:val>
        </c:ser>
        <c:ser>
          <c:idx val="1"/>
          <c:order val="1"/>
          <c:tx>
            <c:strRef>
              <c:f>SituationAnalysis!$D$589:$D$590</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SituationAnalysis!$B$591:$B$593</c:f>
              <c:strCache>
                <c:ptCount val="2"/>
                <c:pt idx="0">
                  <c:v>GCA</c:v>
                </c:pt>
                <c:pt idx="1">
                  <c:v>NGCA</c:v>
                </c:pt>
              </c:strCache>
            </c:strRef>
          </c:cat>
          <c:val>
            <c:numRef>
              <c:f>SituationAnalysis!$D$591:$D$593</c:f>
              <c:numCache>
                <c:formatCode>0</c:formatCode>
                <c:ptCount val="2"/>
                <c:pt idx="0">
                  <c:v>10</c:v>
                </c:pt>
              </c:numCache>
            </c:numRef>
          </c:val>
        </c:ser>
        <c:dLbls>
          <c:showLegendKey val="0"/>
          <c:showVal val="1"/>
          <c:showCatName val="0"/>
          <c:showSerName val="0"/>
          <c:showPercent val="0"/>
          <c:showBubbleSize val="0"/>
        </c:dLbls>
        <c:gapWidth val="150"/>
        <c:shape val="box"/>
        <c:axId val="86417792"/>
        <c:axId val="86419328"/>
        <c:axId val="0"/>
      </c:bar3DChart>
      <c:catAx>
        <c:axId val="864177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86419328"/>
        <c:crosses val="autoZero"/>
        <c:auto val="1"/>
        <c:lblAlgn val="ctr"/>
        <c:lblOffset val="100"/>
        <c:noMultiLvlLbl val="0"/>
      </c:catAx>
      <c:valAx>
        <c:axId val="86419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86417792"/>
        <c:crosses val="autoZero"/>
        <c:crossBetween val="between"/>
      </c:valAx>
      <c:spPr>
        <a:noFill/>
        <a:ln>
          <a:noFill/>
        </a:ln>
        <a:effectLst/>
      </c:spPr>
    </c:plotArea>
    <c:legend>
      <c:legendPos val="b"/>
      <c:layout>
        <c:manualLayout>
          <c:xMode val="edge"/>
          <c:yMode val="edge"/>
          <c:x val="0.28426643519953709"/>
          <c:y val="0.84550967714401548"/>
          <c:w val="0.39997106660879989"/>
          <c:h val="0.1436502144549004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17  4Ws Wash_Matrix_KachinNorth Shan_May 2015.xlsx]SituationAnalysis!PivotTable1</c:name>
    <c:fmtId val="5"/>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Needs Coverage</a:t>
            </a:r>
          </a:p>
        </c:rich>
      </c:tx>
      <c:layout>
        <c:manualLayout>
          <c:xMode val="edge"/>
          <c:yMode val="edge"/>
          <c:x val="0.3826745468274998"/>
          <c:y val="3.7988295498143829E-3"/>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pivotFmt>
      <c:pivotFmt>
        <c:idx val="7"/>
        <c:spPr>
          <a:solidFill>
            <a:schemeClr val="accent2"/>
          </a:solidFill>
          <a:ln>
            <a:noFill/>
          </a:ln>
          <a:effectLst/>
          <a:sp3d/>
        </c:spPr>
        <c:marker>
          <c:symbol val="none"/>
        </c:marker>
      </c:pivotFmt>
      <c:pivotFmt>
        <c:idx val="8"/>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9.2240869603153294E-2"/>
          <c:y val="0.13495147055077236"/>
          <c:w val="0.90775913039684675"/>
          <c:h val="0.63329908391159795"/>
        </c:manualLayout>
      </c:layout>
      <c:bar3DChart>
        <c:barDir val="col"/>
        <c:grouping val="clustered"/>
        <c:varyColors val="0"/>
        <c:ser>
          <c:idx val="0"/>
          <c:order val="0"/>
          <c:tx>
            <c:strRef>
              <c:f>SituationAnalysis!$C$13</c:f>
              <c:strCache>
                <c:ptCount val="1"/>
                <c:pt idx="0">
                  <c:v>% Water coverage</c:v>
                </c:pt>
              </c:strCache>
            </c:strRef>
          </c:tx>
          <c:spPr>
            <a:solidFill>
              <a:schemeClr val="accent1"/>
            </a:solidFill>
            <a:ln>
              <a:noFill/>
            </a:ln>
            <a:effectLst/>
            <a:sp3d/>
          </c:spPr>
          <c:invertIfNegative val="0"/>
          <c:cat>
            <c:strRef>
              <c:f>SituationAnalysis!$B$14:$B$16</c:f>
              <c:strCache>
                <c:ptCount val="2"/>
                <c:pt idx="0">
                  <c:v>GCA</c:v>
                </c:pt>
                <c:pt idx="1">
                  <c:v>NGCA</c:v>
                </c:pt>
              </c:strCache>
            </c:strRef>
          </c:cat>
          <c:val>
            <c:numRef>
              <c:f>SituationAnalysis!$C$14:$C$16</c:f>
              <c:numCache>
                <c:formatCode>0%</c:formatCode>
                <c:ptCount val="2"/>
                <c:pt idx="0">
                  <c:v>0.98990845966813767</c:v>
                </c:pt>
                <c:pt idx="1">
                  <c:v>0.90223539994003399</c:v>
                </c:pt>
              </c:numCache>
            </c:numRef>
          </c:val>
        </c:ser>
        <c:ser>
          <c:idx val="1"/>
          <c:order val="1"/>
          <c:tx>
            <c:strRef>
              <c:f>SituationAnalysis!$D$13</c:f>
              <c:strCache>
                <c:ptCount val="1"/>
                <c:pt idx="0">
                  <c:v>% Latrine coverage</c:v>
                </c:pt>
              </c:strCache>
            </c:strRef>
          </c:tx>
          <c:spPr>
            <a:solidFill>
              <a:schemeClr val="accent2"/>
            </a:solidFill>
            <a:ln>
              <a:noFill/>
            </a:ln>
            <a:effectLst/>
            <a:sp3d/>
          </c:spPr>
          <c:invertIfNegative val="0"/>
          <c:cat>
            <c:strRef>
              <c:f>SituationAnalysis!$B$14:$B$16</c:f>
              <c:strCache>
                <c:ptCount val="2"/>
                <c:pt idx="0">
                  <c:v>GCA</c:v>
                </c:pt>
                <c:pt idx="1">
                  <c:v>NGCA</c:v>
                </c:pt>
              </c:strCache>
            </c:strRef>
          </c:cat>
          <c:val>
            <c:numRef>
              <c:f>SituationAnalysis!$D$14:$D$16</c:f>
              <c:numCache>
                <c:formatCode>0%</c:formatCode>
                <c:ptCount val="2"/>
                <c:pt idx="0">
                  <c:v>0.85278851210756179</c:v>
                </c:pt>
                <c:pt idx="1">
                  <c:v>0.96568611120365122</c:v>
                </c:pt>
              </c:numCache>
            </c:numRef>
          </c:val>
        </c:ser>
        <c:ser>
          <c:idx val="2"/>
          <c:order val="2"/>
          <c:tx>
            <c:strRef>
              <c:f>SituationAnalysis!$E$13</c:f>
              <c:strCache>
                <c:ptCount val="1"/>
                <c:pt idx="0">
                  <c:v>% Bathroom coverage</c:v>
                </c:pt>
              </c:strCache>
            </c:strRef>
          </c:tx>
          <c:spPr>
            <a:solidFill>
              <a:schemeClr val="accent3"/>
            </a:solidFill>
            <a:ln>
              <a:noFill/>
            </a:ln>
            <a:effectLst/>
            <a:sp3d/>
          </c:spPr>
          <c:invertIfNegative val="0"/>
          <c:cat>
            <c:strRef>
              <c:f>SituationAnalysis!$B$14:$B$16</c:f>
              <c:strCache>
                <c:ptCount val="2"/>
                <c:pt idx="0">
                  <c:v>GCA</c:v>
                </c:pt>
                <c:pt idx="1">
                  <c:v>NGCA</c:v>
                </c:pt>
              </c:strCache>
            </c:strRef>
          </c:cat>
          <c:val>
            <c:numRef>
              <c:f>SituationAnalysis!$E$14:$E$16</c:f>
              <c:numCache>
                <c:formatCode>0%</c:formatCode>
                <c:ptCount val="2"/>
                <c:pt idx="0">
                  <c:v>0.55443257951661218</c:v>
                </c:pt>
                <c:pt idx="1">
                  <c:v>0.54145983942432618</c:v>
                </c:pt>
              </c:numCache>
            </c:numRef>
          </c:val>
        </c:ser>
        <c:dLbls>
          <c:showLegendKey val="0"/>
          <c:showVal val="0"/>
          <c:showCatName val="0"/>
          <c:showSerName val="0"/>
          <c:showPercent val="0"/>
          <c:showBubbleSize val="0"/>
        </c:dLbls>
        <c:gapWidth val="150"/>
        <c:shape val="box"/>
        <c:axId val="86447616"/>
        <c:axId val="86449152"/>
        <c:axId val="0"/>
      </c:bar3DChart>
      <c:catAx>
        <c:axId val="864476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86449152"/>
        <c:crosses val="autoZero"/>
        <c:auto val="1"/>
        <c:lblAlgn val="ctr"/>
        <c:lblOffset val="100"/>
        <c:noMultiLvlLbl val="0"/>
      </c:catAx>
      <c:valAx>
        <c:axId val="86449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86447616"/>
        <c:crosses val="autoZero"/>
        <c:crossBetween val="between"/>
        <c:majorUnit val="0.2"/>
      </c:valAx>
      <c:spPr>
        <a:noFill/>
        <a:ln>
          <a:noFill/>
        </a:ln>
        <a:effectLst/>
      </c:spPr>
    </c:plotArea>
    <c:legend>
      <c:legendPos val="b"/>
      <c:layout>
        <c:manualLayout>
          <c:xMode val="edge"/>
          <c:yMode val="edge"/>
          <c:x val="5.8994800668652654E-2"/>
          <c:y val="0.83329923830418273"/>
          <c:w val="0.91804606723201132"/>
          <c:h val="0.1568968325589258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image" Target="../media/image3.emf"/><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chart" Target="../charts/chart1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image" Target="../media/image4.png"/><Relationship Id="rId16" Type="http://schemas.openxmlformats.org/officeDocument/2006/relationships/chart" Target="../charts/chart27.xml"/><Relationship Id="rId20" Type="http://schemas.openxmlformats.org/officeDocument/2006/relationships/chart" Target="../charts/chart31.xml"/><Relationship Id="rId29" Type="http://schemas.openxmlformats.org/officeDocument/2006/relationships/chart" Target="../charts/chart40.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 Id="rId30"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editAs="oneCell">
    <xdr:from>
      <xdr:col>4</xdr:col>
      <xdr:colOff>303062</xdr:colOff>
      <xdr:row>2</xdr:row>
      <xdr:rowOff>183697</xdr:rowOff>
    </xdr:from>
    <xdr:to>
      <xdr:col>10</xdr:col>
      <xdr:colOff>564541</xdr:colOff>
      <xdr:row>30</xdr:row>
      <xdr:rowOff>142874</xdr:rowOff>
    </xdr:to>
    <xdr:pic>
      <xdr:nvPicPr>
        <xdr:cNvPr id="27" name="Picture 2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52348" y="564697"/>
          <a:ext cx="3935407" cy="5293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172780</xdr:colOff>
      <xdr:row>6</xdr:row>
      <xdr:rowOff>152368</xdr:rowOff>
    </xdr:from>
    <xdr:to>
      <xdr:col>10</xdr:col>
      <xdr:colOff>471220</xdr:colOff>
      <xdr:row>10</xdr:row>
      <xdr:rowOff>78384</xdr:rowOff>
    </xdr:to>
    <xdr:pic>
      <xdr:nvPicPr>
        <xdr:cNvPr id="31" name="Picture 3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83673" y="1295368"/>
          <a:ext cx="910761" cy="688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0</xdr:row>
      <xdr:rowOff>19050</xdr:rowOff>
    </xdr:from>
    <xdr:to>
      <xdr:col>2</xdr:col>
      <xdr:colOff>89070</xdr:colOff>
      <xdr:row>2</xdr:row>
      <xdr:rowOff>49530</xdr:rowOff>
    </xdr:to>
    <xdr:pic>
      <xdr:nvPicPr>
        <xdr:cNvPr id="3" name="Picture 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19050"/>
          <a:ext cx="1251120" cy="411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571501</xdr:colOff>
      <xdr:row>0</xdr:row>
      <xdr:rowOff>87313</xdr:rowOff>
    </xdr:from>
    <xdr:to>
      <xdr:col>14</xdr:col>
      <xdr:colOff>1066800</xdr:colOff>
      <xdr:row>1</xdr:row>
      <xdr:rowOff>161989</xdr:rowOff>
    </xdr:to>
    <xdr:sp macro="" textlink="">
      <xdr:nvSpPr>
        <xdr:cNvPr id="4" name="TextBox 3"/>
        <xdr:cNvSpPr txBox="1"/>
      </xdr:nvSpPr>
      <xdr:spPr>
        <a:xfrm>
          <a:off x="1181101" y="87313"/>
          <a:ext cx="8420099" cy="265176"/>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b="1">
              <a:solidFill>
                <a:schemeClr val="bg1"/>
              </a:solidFill>
            </a:rPr>
            <a:t>		MYANMAR</a:t>
          </a:r>
          <a:r>
            <a:rPr lang="en-US" sz="1100" b="1" baseline="0">
              <a:solidFill>
                <a:schemeClr val="bg1"/>
              </a:solidFill>
            </a:rPr>
            <a:t> MONTHLY SNAPSHOT</a:t>
          </a:r>
          <a:r>
            <a:rPr lang="en-US" sz="1100" b="1" i="1" baseline="0">
              <a:solidFill>
                <a:schemeClr val="bg1"/>
              </a:solidFill>
            </a:rPr>
            <a:t>: </a:t>
          </a:r>
          <a:r>
            <a:rPr lang="en-US" sz="1100" b="1" i="1" baseline="0">
              <a:solidFill>
                <a:sysClr val="windowText" lastClr="000000"/>
              </a:solidFill>
            </a:rPr>
            <a:t>KACHIN</a:t>
          </a:r>
          <a:r>
            <a:rPr lang="en-US" sz="1100" b="1" i="1" baseline="0">
              <a:solidFill>
                <a:schemeClr val="bg1"/>
              </a:solidFill>
            </a:rPr>
            <a:t>	</a:t>
          </a:r>
          <a:r>
            <a:rPr lang="en-US" sz="1100" b="1" baseline="0">
              <a:solidFill>
                <a:schemeClr val="bg1"/>
              </a:solidFill>
            </a:rPr>
            <a:t>		June 2015</a:t>
          </a:r>
          <a:endParaRPr lang="en-US" sz="1100" b="1">
            <a:solidFill>
              <a:schemeClr val="bg1"/>
            </a:solidFill>
          </a:endParaRPr>
        </a:p>
      </xdr:txBody>
    </xdr:sp>
    <xdr:clientData/>
  </xdr:twoCellAnchor>
  <xdr:twoCellAnchor>
    <xdr:from>
      <xdr:col>0</xdr:col>
      <xdr:colOff>96838</xdr:colOff>
      <xdr:row>2</xdr:row>
      <xdr:rowOff>60326</xdr:rowOff>
    </xdr:from>
    <xdr:to>
      <xdr:col>4</xdr:col>
      <xdr:colOff>71437</xdr:colOff>
      <xdr:row>3</xdr:row>
      <xdr:rowOff>117476</xdr:rowOff>
    </xdr:to>
    <xdr:sp macro="" textlink="">
      <xdr:nvSpPr>
        <xdr:cNvPr id="5" name="TextBox 4"/>
        <xdr:cNvSpPr txBox="1"/>
      </xdr:nvSpPr>
      <xdr:spPr>
        <a:xfrm>
          <a:off x="96838" y="441326"/>
          <a:ext cx="2412999" cy="247650"/>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HIGHLIGHT OF THE MONTH</a:t>
          </a:r>
          <a:endParaRPr lang="en-US">
            <a:effectLst/>
          </a:endParaRPr>
        </a:p>
        <a:p>
          <a:pPr algn="ctr"/>
          <a:endParaRPr lang="en-US" sz="1100"/>
        </a:p>
      </xdr:txBody>
    </xdr:sp>
    <xdr:clientData/>
  </xdr:twoCellAnchor>
  <xdr:twoCellAnchor>
    <xdr:from>
      <xdr:col>7</xdr:col>
      <xdr:colOff>569913</xdr:colOff>
      <xdr:row>33</xdr:row>
      <xdr:rowOff>166688</xdr:rowOff>
    </xdr:from>
    <xdr:to>
      <xdr:col>10</xdr:col>
      <xdr:colOff>403226</xdr:colOff>
      <xdr:row>38</xdr:row>
      <xdr:rowOff>203201</xdr:rowOff>
    </xdr:to>
    <xdr:sp macro="" textlink="">
      <xdr:nvSpPr>
        <xdr:cNvPr id="6" name="TextBox 5"/>
        <xdr:cNvSpPr txBox="1"/>
      </xdr:nvSpPr>
      <xdr:spPr>
        <a:xfrm>
          <a:off x="4837113" y="6453188"/>
          <a:ext cx="1662113" cy="989013"/>
        </a:xfrm>
        <a:prstGeom prst="rect">
          <a:avLst/>
        </a:prstGeom>
        <a:solidFill>
          <a:schemeClr val="lt1"/>
        </a:solidFill>
        <a:ln w="3175" cmpd="sng">
          <a:solidFill>
            <a:schemeClr val="bg1">
              <a:lumMod val="65000"/>
            </a:schemeClr>
          </a:solidFill>
        </a:ln>
        <a:effectLst>
          <a:outerShdw blurRad="50800" dist="38100" dir="2700000" algn="tl" rotWithShape="0">
            <a:prstClr val="black">
              <a:alpha val="54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i="1">
              <a:solidFill>
                <a:schemeClr val="bg1">
                  <a:lumMod val="50000"/>
                </a:schemeClr>
              </a:solidFill>
            </a:rPr>
            <a:t>Limitation of analysis:</a:t>
          </a:r>
        </a:p>
        <a:p>
          <a:pPr marL="171450" lvl="0" indent="-171450">
            <a:buFont typeface="Wingdings" panose="05000000000000000000" pitchFamily="2" charset="2"/>
            <a:buChar char="ü"/>
          </a:pPr>
          <a:r>
            <a:rPr lang="en-US" sz="600" i="1">
              <a:solidFill>
                <a:schemeClr val="bg1">
                  <a:lumMod val="50000"/>
                </a:schemeClr>
              </a:solidFill>
            </a:rPr>
            <a:t>Some location remain undocumented due to access</a:t>
          </a:r>
          <a:endParaRPr lang="en-US" sz="600" i="1" baseline="0">
            <a:solidFill>
              <a:schemeClr val="bg1">
                <a:lumMod val="50000"/>
              </a:schemeClr>
            </a:solidFill>
          </a:endParaRPr>
        </a:p>
        <a:p>
          <a:pPr marL="171450" lvl="0" indent="-171450">
            <a:buFont typeface="Wingdings" panose="05000000000000000000" pitchFamily="2" charset="2"/>
            <a:buChar char="ü"/>
          </a:pPr>
          <a:r>
            <a:rPr lang="en-US" sz="600" i="1" baseline="0">
              <a:solidFill>
                <a:schemeClr val="bg1">
                  <a:lumMod val="50000"/>
                </a:schemeClr>
              </a:solidFill>
            </a:rPr>
            <a:t>Wash in school for surrounding camp location under evaluation</a:t>
          </a:r>
        </a:p>
        <a:p>
          <a:pPr marL="171450" lvl="0" indent="-171450">
            <a:buFont typeface="Wingdings" panose="05000000000000000000" pitchFamily="2" charset="2"/>
            <a:buChar char="ü"/>
          </a:pPr>
          <a:r>
            <a:rPr lang="en-US" sz="600" i="1" baseline="0">
              <a:solidFill>
                <a:schemeClr val="bg1">
                  <a:lumMod val="50000"/>
                </a:schemeClr>
              </a:solidFill>
            </a:rPr>
            <a:t>Good Water access reported do not report enough closely about safe drinking water remaing low</a:t>
          </a:r>
        </a:p>
        <a:p>
          <a:pPr marL="171450" lvl="0" indent="-171450">
            <a:buFont typeface="Wingdings" panose="05000000000000000000" pitchFamily="2" charset="2"/>
            <a:buChar char="ü"/>
          </a:pPr>
          <a:r>
            <a:rPr lang="en-US" sz="600" i="1" baseline="0">
              <a:solidFill>
                <a:schemeClr val="bg1">
                  <a:lumMod val="50000"/>
                </a:schemeClr>
              </a:solidFill>
            </a:rPr>
            <a:t>Target 20,000 small scale emergency monitored aside </a:t>
          </a:r>
          <a:endParaRPr lang="en-US" sz="600" i="1">
            <a:solidFill>
              <a:schemeClr val="bg1">
                <a:lumMod val="50000"/>
              </a:schemeClr>
            </a:solidFill>
          </a:endParaRPr>
        </a:p>
      </xdr:txBody>
    </xdr:sp>
    <xdr:clientData/>
  </xdr:twoCellAnchor>
  <xdr:twoCellAnchor editAs="oneCell">
    <xdr:from>
      <xdr:col>11</xdr:col>
      <xdr:colOff>38100</xdr:colOff>
      <xdr:row>24</xdr:row>
      <xdr:rowOff>114300</xdr:rowOff>
    </xdr:from>
    <xdr:to>
      <xdr:col>14</xdr:col>
      <xdr:colOff>981075</xdr:colOff>
      <xdr:row>31</xdr:row>
      <xdr:rowOff>85725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104775</xdr:colOff>
      <xdr:row>19</xdr:row>
      <xdr:rowOff>123824</xdr:rowOff>
    </xdr:from>
    <xdr:to>
      <xdr:col>4</xdr:col>
      <xdr:colOff>352424</xdr:colOff>
      <xdr:row>26</xdr:row>
      <xdr:rowOff>61913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109536</xdr:colOff>
      <xdr:row>26</xdr:row>
      <xdr:rowOff>109538</xdr:rowOff>
    </xdr:from>
    <xdr:to>
      <xdr:col>5</xdr:col>
      <xdr:colOff>304800</xdr:colOff>
      <xdr:row>33</xdr:row>
      <xdr:rowOff>28576</xdr:rowOff>
    </xdr:to>
    <xdr:graphicFrame macro="">
      <xdr:nvGraphicFramePr>
        <xdr:cNvPr id="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114300</xdr:colOff>
      <xdr:row>33</xdr:row>
      <xdr:rowOff>171450</xdr:rowOff>
    </xdr:from>
    <xdr:to>
      <xdr:col>1</xdr:col>
      <xdr:colOff>604837</xdr:colOff>
      <xdr:row>38</xdr:row>
      <xdr:rowOff>176214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452438</xdr:colOff>
      <xdr:row>38</xdr:row>
      <xdr:rowOff>9524</xdr:rowOff>
    </xdr:from>
    <xdr:to>
      <xdr:col>1</xdr:col>
      <xdr:colOff>266700</xdr:colOff>
      <xdr:row>38</xdr:row>
      <xdr:rowOff>128587</xdr:rowOff>
    </xdr:to>
    <xdr:sp macro="" textlink="'Cluster indicator'!E12">
      <xdr:nvSpPr>
        <xdr:cNvPr id="8" name="TextBox 7"/>
        <xdr:cNvSpPr txBox="1"/>
      </xdr:nvSpPr>
      <xdr:spPr>
        <a:xfrm>
          <a:off x="452438" y="7248524"/>
          <a:ext cx="423862" cy="1190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C630FB4C-A9CF-4FA4-933F-9885606CD943}" type="TxLink">
            <a:rPr lang="en-US" sz="600" b="1" i="0" u="none" strike="noStrike">
              <a:solidFill>
                <a:srgbClr val="000000"/>
              </a:solidFill>
              <a:latin typeface="Calibri"/>
            </a:rPr>
            <a:pPr/>
            <a:t>89,234</a:t>
          </a:fld>
          <a:endParaRPr lang="en-US" sz="600" b="1"/>
        </a:p>
      </xdr:txBody>
    </xdr:sp>
    <xdr:clientData/>
  </xdr:twoCellAnchor>
  <xdr:twoCellAnchor>
    <xdr:from>
      <xdr:col>2</xdr:col>
      <xdr:colOff>76200</xdr:colOff>
      <xdr:row>33</xdr:row>
      <xdr:rowOff>176212</xdr:rowOff>
    </xdr:from>
    <xdr:to>
      <xdr:col>3</xdr:col>
      <xdr:colOff>566737</xdr:colOff>
      <xdr:row>38</xdr:row>
      <xdr:rowOff>180976</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33337</xdr:colOff>
      <xdr:row>33</xdr:row>
      <xdr:rowOff>185737</xdr:rowOff>
    </xdr:from>
    <xdr:to>
      <xdr:col>5</xdr:col>
      <xdr:colOff>523874</xdr:colOff>
      <xdr:row>38</xdr:row>
      <xdr:rowOff>190501</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595313</xdr:colOff>
      <xdr:row>34</xdr:row>
      <xdr:rowOff>0</xdr:rowOff>
    </xdr:from>
    <xdr:to>
      <xdr:col>7</xdr:col>
      <xdr:colOff>476250</xdr:colOff>
      <xdr:row>38</xdr:row>
      <xdr:rowOff>195264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409575</xdr:colOff>
      <xdr:row>38</xdr:row>
      <xdr:rowOff>23812</xdr:rowOff>
    </xdr:from>
    <xdr:to>
      <xdr:col>3</xdr:col>
      <xdr:colOff>223837</xdr:colOff>
      <xdr:row>38</xdr:row>
      <xdr:rowOff>142875</xdr:rowOff>
    </xdr:to>
    <xdr:sp macro="" textlink="'Cluster indicator'!D46">
      <xdr:nvSpPr>
        <xdr:cNvPr id="22" name="TextBox 21"/>
        <xdr:cNvSpPr txBox="1"/>
      </xdr:nvSpPr>
      <xdr:spPr>
        <a:xfrm>
          <a:off x="1628775" y="7262812"/>
          <a:ext cx="423862" cy="1190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2AB9415C-020F-42BB-A239-EF1F33996FC5}" type="TxLink">
            <a:rPr lang="en-US" sz="600" b="1" i="0" u="none" strike="noStrike">
              <a:solidFill>
                <a:srgbClr val="000000"/>
              </a:solidFill>
              <a:latin typeface="Calibri"/>
            </a:rPr>
            <a:pPr/>
            <a:t>82,764</a:t>
          </a:fld>
          <a:endParaRPr lang="en-US" sz="600" b="1"/>
        </a:p>
      </xdr:txBody>
    </xdr:sp>
    <xdr:clientData/>
  </xdr:twoCellAnchor>
  <xdr:twoCellAnchor>
    <xdr:from>
      <xdr:col>6</xdr:col>
      <xdr:colOff>338138</xdr:colOff>
      <xdr:row>38</xdr:row>
      <xdr:rowOff>28575</xdr:rowOff>
    </xdr:from>
    <xdr:to>
      <xdr:col>7</xdr:col>
      <xdr:colOff>152400</xdr:colOff>
      <xdr:row>38</xdr:row>
      <xdr:rowOff>147638</xdr:rowOff>
    </xdr:to>
    <xdr:sp macro="" textlink="'Cluster indicator'!D63">
      <xdr:nvSpPr>
        <xdr:cNvPr id="23" name="TextBox 21"/>
        <xdr:cNvSpPr txBox="1"/>
      </xdr:nvSpPr>
      <xdr:spPr>
        <a:xfrm>
          <a:off x="3995738" y="7267575"/>
          <a:ext cx="423862" cy="1190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905C41DC-F653-4825-9021-EDD28F93D8F3}" type="TxLink">
            <a:rPr lang="en-US" sz="600" b="1" i="0" u="none" strike="noStrike">
              <a:solidFill>
                <a:srgbClr val="000000"/>
              </a:solidFill>
              <a:latin typeface="Calibri"/>
            </a:rPr>
            <a:pPr/>
            <a:t>52,515</a:t>
          </a:fld>
          <a:endParaRPr lang="en-US" sz="600" b="1"/>
        </a:p>
      </xdr:txBody>
    </xdr:sp>
    <xdr:clientData/>
  </xdr:twoCellAnchor>
  <xdr:twoCellAnchor editAs="oneCell">
    <xdr:from>
      <xdr:col>0</xdr:col>
      <xdr:colOff>104775</xdr:colOff>
      <xdr:row>13</xdr:row>
      <xdr:rowOff>9525</xdr:rowOff>
    </xdr:from>
    <xdr:to>
      <xdr:col>4</xdr:col>
      <xdr:colOff>85725</xdr:colOff>
      <xdr:row>19</xdr:row>
      <xdr:rowOff>38100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107156</xdr:colOff>
      <xdr:row>3</xdr:row>
      <xdr:rowOff>130967</xdr:rowOff>
    </xdr:from>
    <xdr:to>
      <xdr:col>4</xdr:col>
      <xdr:colOff>61913</xdr:colOff>
      <xdr:row>12</xdr:row>
      <xdr:rowOff>142874</xdr:rowOff>
    </xdr:to>
    <xdr:sp macro="" textlink="">
      <xdr:nvSpPr>
        <xdr:cNvPr id="25" name="TextBox 24"/>
        <xdr:cNvSpPr txBox="1"/>
      </xdr:nvSpPr>
      <xdr:spPr>
        <a:xfrm>
          <a:off x="107156" y="702467"/>
          <a:ext cx="2393157" cy="1726407"/>
        </a:xfrm>
        <a:prstGeom prst="rect">
          <a:avLst/>
        </a:prstGeom>
        <a:solidFill>
          <a:schemeClr val="accent5">
            <a:lumMod val="20000"/>
            <a:lumOff val="80000"/>
          </a:schemeClr>
        </a:solidFill>
        <a:ln w="9525" cmpd="sng">
          <a:solidFill>
            <a:srgbClr val="098A9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lvl="0" indent="-171450">
            <a:buFont typeface="Wingdings" panose="05000000000000000000" pitchFamily="2" charset="2"/>
            <a:buChar char="Ø"/>
          </a:pPr>
          <a:r>
            <a:rPr lang="en-US" sz="600">
              <a:solidFill>
                <a:schemeClr val="dk1"/>
              </a:solidFill>
              <a:effectLst/>
              <a:latin typeface="+mn-lt"/>
              <a:ea typeface="+mn-ea"/>
              <a:cs typeface="+mn-cs"/>
            </a:rPr>
            <a:t>WASH cluster team participated to a rapid UNICEF led multi-sectorial assessment in Namtit from 28th – 30th May 1</a:t>
          </a:r>
        </a:p>
        <a:p>
          <a:pPr marL="171450" lvl="0" indent="-171450">
            <a:buFont typeface="Wingdings" panose="05000000000000000000" pitchFamily="2" charset="2"/>
            <a:buChar char="Ø"/>
          </a:pPr>
          <a:endParaRPr lang="en-US" sz="600">
            <a:solidFill>
              <a:schemeClr val="dk1"/>
            </a:solidFill>
            <a:effectLst/>
            <a:latin typeface="+mn-lt"/>
            <a:ea typeface="+mn-ea"/>
            <a:cs typeface="+mn-cs"/>
          </a:endParaRPr>
        </a:p>
        <a:p>
          <a:pPr marL="171450" lvl="0" indent="-171450">
            <a:buFont typeface="Wingdings" panose="05000000000000000000" pitchFamily="2" charset="2"/>
            <a:buChar char="Ø"/>
          </a:pPr>
          <a:r>
            <a:rPr lang="en-US" sz="600">
              <a:solidFill>
                <a:schemeClr val="dk1"/>
              </a:solidFill>
              <a:effectLst/>
              <a:latin typeface="+mn-lt"/>
              <a:ea typeface="+mn-ea"/>
              <a:cs typeface="+mn-cs"/>
            </a:rPr>
            <a:t>Household</a:t>
          </a:r>
          <a:r>
            <a:rPr lang="en-US" sz="600" baseline="0">
              <a:solidFill>
                <a:schemeClr val="dk1"/>
              </a:solidFill>
              <a:effectLst/>
              <a:latin typeface="+mn-lt"/>
              <a:ea typeface="+mn-ea"/>
              <a:cs typeface="+mn-cs"/>
            </a:rPr>
            <a:t> Treatment Water Working group</a:t>
          </a:r>
          <a:r>
            <a:rPr lang="en-US" sz="600">
              <a:solidFill>
                <a:schemeClr val="dk1"/>
              </a:solidFill>
              <a:effectLst/>
              <a:latin typeface="+mn-lt"/>
              <a:ea typeface="+mn-ea"/>
              <a:cs typeface="+mn-cs"/>
            </a:rPr>
            <a:t> was held in Bhamo on 28th May with particpatuion of 21 staff from governmental authorities (DRD, DOH, RRD and TDC) and humanitarian agencies  </a:t>
          </a:r>
        </a:p>
        <a:p>
          <a:pPr marL="171450" lvl="0" indent="-171450">
            <a:buFont typeface="Wingdings" panose="05000000000000000000" pitchFamily="2" charset="2"/>
            <a:buChar char="Ø"/>
          </a:pPr>
          <a:endParaRPr lang="en-US" sz="600">
            <a:solidFill>
              <a:schemeClr val="dk1"/>
            </a:solidFill>
            <a:effectLst/>
            <a:latin typeface="+mn-lt"/>
            <a:ea typeface="+mn-ea"/>
            <a:cs typeface="+mn-cs"/>
          </a:endParaRPr>
        </a:p>
        <a:p>
          <a:pPr marL="171450" lvl="0" indent="-171450">
            <a:buFont typeface="Wingdings" panose="05000000000000000000" pitchFamily="2" charset="2"/>
            <a:buChar char="Ø"/>
          </a:pPr>
          <a:r>
            <a:rPr lang="en-US" sz="600" baseline="0">
              <a:solidFill>
                <a:schemeClr val="dk1"/>
              </a:solidFill>
              <a:effectLst/>
              <a:latin typeface="+mn-lt"/>
              <a:ea typeface="+mn-ea"/>
              <a:cs typeface="+mn-cs"/>
            </a:rPr>
            <a:t>55 camps out of a total of 155 (35%) are not currently targeted by a WASH ptoject. These camps host 18155 IDPs (12210 in GCA and 5945 in NGCA) out of a total of 74001 IDPs (24%). 49 out of these camps are located in CGA. 21  are located in Hpakant area where clashes occurred at the beginning of 2015. The 34 remaining non WASH targeted IDPs camps are located in 15 different townships of Kachin and NSS. </a:t>
          </a:r>
        </a:p>
        <a:p>
          <a:pPr marL="171450" lvl="0" indent="-171450">
            <a:buFont typeface="Wingdings" panose="05000000000000000000" pitchFamily="2" charset="2"/>
            <a:buChar char="Ø"/>
          </a:pPr>
          <a:endParaRPr lang="en-US" sz="600" baseline="0">
            <a:solidFill>
              <a:schemeClr val="dk1"/>
            </a:solidFill>
            <a:effectLst/>
            <a:latin typeface="+mn-lt"/>
            <a:ea typeface="+mn-ea"/>
            <a:cs typeface="+mn-cs"/>
          </a:endParaRPr>
        </a:p>
        <a:p>
          <a:pPr marL="171450" lvl="0" indent="-171450">
            <a:buFont typeface="Wingdings" panose="05000000000000000000" pitchFamily="2" charset="2"/>
            <a:buChar char="Ø"/>
          </a:pPr>
          <a:r>
            <a:rPr lang="en-US" sz="600">
              <a:solidFill>
                <a:schemeClr val="dk1"/>
              </a:solidFill>
              <a:effectLst/>
              <a:latin typeface="+mn-lt"/>
              <a:ea typeface="+mn-ea"/>
              <a:cs typeface="+mn-cs"/>
            </a:rPr>
            <a:t>Preliminary discussions with DRD State authorities to strengthen WASH sector coordination in Kachin</a:t>
          </a:r>
        </a:p>
        <a:p>
          <a:pPr marL="171450" lvl="0" indent="-171450">
            <a:buFont typeface="Wingdings" panose="05000000000000000000" pitchFamily="2" charset="2"/>
            <a:buChar char="Ø"/>
          </a:pPr>
          <a:endParaRPr lang="en-US" sz="600" baseline="0">
            <a:solidFill>
              <a:schemeClr val="dk1"/>
            </a:solidFill>
            <a:effectLst/>
            <a:latin typeface="+mn-lt"/>
            <a:ea typeface="+mn-ea"/>
            <a:cs typeface="+mn-cs"/>
          </a:endParaRPr>
        </a:p>
      </xdr:txBody>
    </xdr:sp>
    <xdr:clientData/>
  </xdr:twoCellAnchor>
  <xdr:twoCellAnchor editAs="oneCell">
    <xdr:from>
      <xdr:col>11</xdr:col>
      <xdr:colOff>0</xdr:colOff>
      <xdr:row>2</xdr:row>
      <xdr:rowOff>85726</xdr:rowOff>
    </xdr:from>
    <xdr:to>
      <xdr:col>14</xdr:col>
      <xdr:colOff>990601</xdr:colOff>
      <xdr:row>9</xdr:row>
      <xdr:rowOff>47625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11</xdr:col>
      <xdr:colOff>19050</xdr:colOff>
      <xdr:row>9</xdr:row>
      <xdr:rowOff>161925</xdr:rowOff>
    </xdr:from>
    <xdr:to>
      <xdr:col>14</xdr:col>
      <xdr:colOff>990600</xdr:colOff>
      <xdr:row>16</xdr:row>
      <xdr:rowOff>152400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11</xdr:col>
      <xdr:colOff>19050</xdr:colOff>
      <xdr:row>17</xdr:row>
      <xdr:rowOff>28576</xdr:rowOff>
    </xdr:from>
    <xdr:to>
      <xdr:col>14</xdr:col>
      <xdr:colOff>990600</xdr:colOff>
      <xdr:row>24</xdr:row>
      <xdr:rowOff>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28575</xdr:colOff>
      <xdr:row>31</xdr:row>
      <xdr:rowOff>161925</xdr:rowOff>
    </xdr:from>
    <xdr:to>
      <xdr:col>14</xdr:col>
      <xdr:colOff>981075</xdr:colOff>
      <xdr:row>38</xdr:row>
      <xdr:rowOff>142875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0.34488</cdr:x>
      <cdr:y>0.82919</cdr:y>
    </cdr:from>
    <cdr:to>
      <cdr:x>0.73016</cdr:x>
      <cdr:y>0.95356</cdr:y>
    </cdr:to>
    <cdr:sp macro="" textlink="'Cluster indicator'!$D$53">
      <cdr:nvSpPr>
        <cdr:cNvPr id="2" name="TextBox 21"/>
        <cdr:cNvSpPr txBox="1"/>
      </cdr:nvSpPr>
      <cdr:spPr>
        <a:xfrm xmlns:a="http://schemas.openxmlformats.org/drawingml/2006/main">
          <a:off x="379413" y="793750"/>
          <a:ext cx="423862" cy="11906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73BCBE89-6460-4F7E-813B-9F37582DAAB4}" type="TxLink">
            <a:rPr lang="en-US" sz="600" b="1" i="0" u="none" strike="noStrike">
              <a:solidFill>
                <a:srgbClr val="000000"/>
              </a:solidFill>
              <a:latin typeface="Calibri"/>
            </a:rPr>
            <a:pPr/>
            <a:t>77,951</a:t>
          </a:fld>
          <a:endParaRPr lang="en-US" sz="600" b="1"/>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3</xdr:col>
      <xdr:colOff>228600</xdr:colOff>
      <xdr:row>497</xdr:row>
      <xdr:rowOff>152400</xdr:rowOff>
    </xdr:from>
    <xdr:to>
      <xdr:col>12</xdr:col>
      <xdr:colOff>121850</xdr:colOff>
      <xdr:row>580</xdr:row>
      <xdr:rowOff>63500</xdr:rowOff>
    </xdr:to>
    <xdr:graphicFrame macro="">
      <xdr:nvGraphicFramePr>
        <xdr:cNvPr id="46"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116839</xdr:colOff>
      <xdr:row>1</xdr:row>
      <xdr:rowOff>30480</xdr:rowOff>
    </xdr:from>
    <xdr:to>
      <xdr:col>19</xdr:col>
      <xdr:colOff>633773</xdr:colOff>
      <xdr:row>30</xdr:row>
      <xdr:rowOff>3175</xdr:rowOff>
    </xdr:to>
    <xdr:pic>
      <xdr:nvPicPr>
        <xdr:cNvPr id="50" name="Picture 4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81939" y="474980"/>
          <a:ext cx="7559085" cy="850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114299</xdr:colOff>
      <xdr:row>6</xdr:row>
      <xdr:rowOff>177799</xdr:rowOff>
    </xdr:from>
    <xdr:to>
      <xdr:col>14</xdr:col>
      <xdr:colOff>9524</xdr:colOff>
      <xdr:row>17</xdr:row>
      <xdr:rowOff>176892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200025</xdr:colOff>
      <xdr:row>29</xdr:row>
      <xdr:rowOff>12699</xdr:rowOff>
    </xdr:from>
    <xdr:to>
      <xdr:col>15</xdr:col>
      <xdr:colOff>83344</xdr:colOff>
      <xdr:row>46</xdr:row>
      <xdr:rowOff>59530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219075</xdr:colOff>
      <xdr:row>56</xdr:row>
      <xdr:rowOff>139700</xdr:rowOff>
    </xdr:from>
    <xdr:to>
      <xdr:col>14</xdr:col>
      <xdr:colOff>209550</xdr:colOff>
      <xdr:row>62</xdr:row>
      <xdr:rowOff>381000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xdr:col>
      <xdr:colOff>76198</xdr:colOff>
      <xdr:row>111</xdr:row>
      <xdr:rowOff>155574</xdr:rowOff>
    </xdr:from>
    <xdr:to>
      <xdr:col>14</xdr:col>
      <xdr:colOff>276225</xdr:colOff>
      <xdr:row>117</xdr:row>
      <xdr:rowOff>380999</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57149</xdr:colOff>
      <xdr:row>130</xdr:row>
      <xdr:rowOff>114300</xdr:rowOff>
    </xdr:from>
    <xdr:to>
      <xdr:col>14</xdr:col>
      <xdr:colOff>314325</xdr:colOff>
      <xdr:row>142</xdr:row>
      <xdr:rowOff>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295275</xdr:colOff>
      <xdr:row>249</xdr:row>
      <xdr:rowOff>136525</xdr:rowOff>
    </xdr:from>
    <xdr:to>
      <xdr:col>14</xdr:col>
      <xdr:colOff>161925</xdr:colOff>
      <xdr:row>261</xdr:row>
      <xdr:rowOff>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6</xdr:col>
      <xdr:colOff>295274</xdr:colOff>
      <xdr:row>297</xdr:row>
      <xdr:rowOff>101600</xdr:rowOff>
    </xdr:from>
    <xdr:to>
      <xdr:col>14</xdr:col>
      <xdr:colOff>257175</xdr:colOff>
      <xdr:row>303</xdr:row>
      <xdr:rowOff>383381</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xdr:col>
      <xdr:colOff>276225</xdr:colOff>
      <xdr:row>346</xdr:row>
      <xdr:rowOff>9525</xdr:rowOff>
    </xdr:from>
    <xdr:to>
      <xdr:col>14</xdr:col>
      <xdr:colOff>19050</xdr:colOff>
      <xdr:row>365</xdr:row>
      <xdr:rowOff>47625</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6</xdr:col>
      <xdr:colOff>200025</xdr:colOff>
      <xdr:row>374</xdr:row>
      <xdr:rowOff>146050</xdr:rowOff>
    </xdr:from>
    <xdr:to>
      <xdr:col>14</xdr:col>
      <xdr:colOff>28575</xdr:colOff>
      <xdr:row>389</xdr:row>
      <xdr:rowOff>171450</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266700</xdr:colOff>
      <xdr:row>397</xdr:row>
      <xdr:rowOff>95250</xdr:rowOff>
    </xdr:from>
    <xdr:to>
      <xdr:col>13</xdr:col>
      <xdr:colOff>1978819</xdr:colOff>
      <xdr:row>413</xdr:row>
      <xdr:rowOff>57150</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6</xdr:col>
      <xdr:colOff>247650</xdr:colOff>
      <xdr:row>418</xdr:row>
      <xdr:rowOff>25400</xdr:rowOff>
    </xdr:from>
    <xdr:to>
      <xdr:col>13</xdr:col>
      <xdr:colOff>1838325</xdr:colOff>
      <xdr:row>434</xdr:row>
      <xdr:rowOff>114300</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6</xdr:col>
      <xdr:colOff>219075</xdr:colOff>
      <xdr:row>439</xdr:row>
      <xdr:rowOff>92075</xdr:rowOff>
    </xdr:from>
    <xdr:to>
      <xdr:col>13</xdr:col>
      <xdr:colOff>1800225</xdr:colOff>
      <xdr:row>448</xdr:row>
      <xdr:rowOff>142875</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266700</xdr:colOff>
      <xdr:row>458</xdr:row>
      <xdr:rowOff>38100</xdr:rowOff>
    </xdr:from>
    <xdr:to>
      <xdr:col>13</xdr:col>
      <xdr:colOff>1752600</xdr:colOff>
      <xdr:row>474</xdr:row>
      <xdr:rowOff>152400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276224</xdr:colOff>
      <xdr:row>475</xdr:row>
      <xdr:rowOff>127000</xdr:rowOff>
    </xdr:from>
    <xdr:to>
      <xdr:col>13</xdr:col>
      <xdr:colOff>1724025</xdr:colOff>
      <xdr:row>491</xdr:row>
      <xdr:rowOff>165100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9525</xdr:colOff>
      <xdr:row>171</xdr:row>
      <xdr:rowOff>101600</xdr:rowOff>
    </xdr:from>
    <xdr:to>
      <xdr:col>13</xdr:col>
      <xdr:colOff>1866900</xdr:colOff>
      <xdr:row>187</xdr:row>
      <xdr:rowOff>231322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6</xdr:col>
      <xdr:colOff>260350</xdr:colOff>
      <xdr:row>314</xdr:row>
      <xdr:rowOff>1</xdr:rowOff>
    </xdr:from>
    <xdr:to>
      <xdr:col>14</xdr:col>
      <xdr:colOff>190500</xdr:colOff>
      <xdr:row>321</xdr:row>
      <xdr:rowOff>381001</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6</xdr:col>
      <xdr:colOff>155573</xdr:colOff>
      <xdr:row>585</xdr:row>
      <xdr:rowOff>3175</xdr:rowOff>
    </xdr:from>
    <xdr:to>
      <xdr:col>14</xdr:col>
      <xdr:colOff>85725</xdr:colOff>
      <xdr:row>600</xdr:row>
      <xdr:rowOff>180975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6</xdr:col>
      <xdr:colOff>133349</xdr:colOff>
      <xdr:row>607</xdr:row>
      <xdr:rowOff>31750</xdr:rowOff>
    </xdr:from>
    <xdr:to>
      <xdr:col>14</xdr:col>
      <xdr:colOff>95251</xdr:colOff>
      <xdr:row>621</xdr:row>
      <xdr:rowOff>107950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6</xdr:col>
      <xdr:colOff>184148</xdr:colOff>
      <xdr:row>624</xdr:row>
      <xdr:rowOff>0</xdr:rowOff>
    </xdr:from>
    <xdr:to>
      <xdr:col>14</xdr:col>
      <xdr:colOff>57149</xdr:colOff>
      <xdr:row>638</xdr:row>
      <xdr:rowOff>76200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209548</xdr:colOff>
      <xdr:row>646</xdr:row>
      <xdr:rowOff>104774</xdr:rowOff>
    </xdr:from>
    <xdr:to>
      <xdr:col>14</xdr:col>
      <xdr:colOff>114300</xdr:colOff>
      <xdr:row>663</xdr:row>
      <xdr:rowOff>9525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6</xdr:col>
      <xdr:colOff>260348</xdr:colOff>
      <xdr:row>674</xdr:row>
      <xdr:rowOff>101600</xdr:rowOff>
    </xdr:from>
    <xdr:to>
      <xdr:col>14</xdr:col>
      <xdr:colOff>19049</xdr:colOff>
      <xdr:row>688</xdr:row>
      <xdr:rowOff>177800</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6</xdr:col>
      <xdr:colOff>257175</xdr:colOff>
      <xdr:row>694</xdr:row>
      <xdr:rowOff>165100</xdr:rowOff>
    </xdr:from>
    <xdr:to>
      <xdr:col>14</xdr:col>
      <xdr:colOff>66675</xdr:colOff>
      <xdr:row>709</xdr:row>
      <xdr:rowOff>171450</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5</xdr:col>
      <xdr:colOff>609599</xdr:colOff>
      <xdr:row>154</xdr:row>
      <xdr:rowOff>133350</xdr:rowOff>
    </xdr:from>
    <xdr:to>
      <xdr:col>13</xdr:col>
      <xdr:colOff>1874043</xdr:colOff>
      <xdr:row>169</xdr:row>
      <xdr:rowOff>19050</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6</xdr:col>
      <xdr:colOff>381000</xdr:colOff>
      <xdr:row>226</xdr:row>
      <xdr:rowOff>0</xdr:rowOff>
    </xdr:from>
    <xdr:to>
      <xdr:col>14</xdr:col>
      <xdr:colOff>161925</xdr:colOff>
      <xdr:row>244</xdr:row>
      <xdr:rowOff>85725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266699</xdr:colOff>
      <xdr:row>329</xdr:row>
      <xdr:rowOff>152399</xdr:rowOff>
    </xdr:from>
    <xdr:to>
      <xdr:col>14</xdr:col>
      <xdr:colOff>257174</xdr:colOff>
      <xdr:row>334</xdr:row>
      <xdr:rowOff>2381</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552449</xdr:colOff>
      <xdr:row>79</xdr:row>
      <xdr:rowOff>152400</xdr:rowOff>
    </xdr:from>
    <xdr:to>
      <xdr:col>24</xdr:col>
      <xdr:colOff>2828925</xdr:colOff>
      <xdr:row>103</xdr:row>
      <xdr:rowOff>47626</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6</xdr:col>
      <xdr:colOff>304799</xdr:colOff>
      <xdr:row>278</xdr:row>
      <xdr:rowOff>76200</xdr:rowOff>
    </xdr:from>
    <xdr:to>
      <xdr:col>14</xdr:col>
      <xdr:colOff>276224</xdr:colOff>
      <xdr:row>295</xdr:row>
      <xdr:rowOff>38100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371475</xdr:colOff>
      <xdr:row>191</xdr:row>
      <xdr:rowOff>19049</xdr:rowOff>
    </xdr:from>
    <xdr:to>
      <xdr:col>14</xdr:col>
      <xdr:colOff>228600</xdr:colOff>
      <xdr:row>212</xdr:row>
      <xdr:rowOff>180974</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741680</xdr:colOff>
      <xdr:row>4</xdr:row>
      <xdr:rowOff>10160</xdr:rowOff>
    </xdr:from>
    <xdr:to>
      <xdr:col>13</xdr:col>
      <xdr:colOff>551180</xdr:colOff>
      <xdr:row>23</xdr:row>
      <xdr:rowOff>121920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767080</xdr:colOff>
      <xdr:row>134</xdr:row>
      <xdr:rowOff>147320</xdr:rowOff>
    </xdr:from>
    <xdr:to>
      <xdr:col>12</xdr:col>
      <xdr:colOff>622300</xdr:colOff>
      <xdr:row>145</xdr:row>
      <xdr:rowOff>172720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381000</xdr:colOff>
      <xdr:row>147</xdr:row>
      <xdr:rowOff>148590</xdr:rowOff>
    </xdr:from>
    <xdr:to>
      <xdr:col>15</xdr:col>
      <xdr:colOff>220980</xdr:colOff>
      <xdr:row>159</xdr:row>
      <xdr:rowOff>99060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358140</xdr:colOff>
      <xdr:row>164</xdr:row>
      <xdr:rowOff>138430</xdr:rowOff>
    </xdr:from>
    <xdr:to>
      <xdr:col>15</xdr:col>
      <xdr:colOff>182880</xdr:colOff>
      <xdr:row>176</xdr:row>
      <xdr:rowOff>38100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792480</xdr:colOff>
      <xdr:row>104</xdr:row>
      <xdr:rowOff>12700</xdr:rowOff>
    </xdr:from>
    <xdr:to>
      <xdr:col>12</xdr:col>
      <xdr:colOff>574040</xdr:colOff>
      <xdr:row>115</xdr:row>
      <xdr:rowOff>177800</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769620</xdr:colOff>
      <xdr:row>52</xdr:row>
      <xdr:rowOff>111760</xdr:rowOff>
    </xdr:from>
    <xdr:to>
      <xdr:col>13</xdr:col>
      <xdr:colOff>241300</xdr:colOff>
      <xdr:row>62</xdr:row>
      <xdr:rowOff>190500</xdr:rowOff>
    </xdr:to>
    <xdr:graphicFrame macro="">
      <xdr:nvGraphicFramePr>
        <xdr:cNvPr id="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4</xdr:col>
      <xdr:colOff>0</xdr:colOff>
      <xdr:row>72</xdr:row>
      <xdr:rowOff>403860</xdr:rowOff>
    </xdr:from>
    <xdr:to>
      <xdr:col>12</xdr:col>
      <xdr:colOff>609600</xdr:colOff>
      <xdr:row>85</xdr:row>
      <xdr:rowOff>43815</xdr:rowOff>
    </xdr:to>
    <xdr:graphicFrame macro="">
      <xdr:nvGraphicFramePr>
        <xdr:cNvPr id="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xdr:col>
      <xdr:colOff>774700</xdr:colOff>
      <xdr:row>89</xdr:row>
      <xdr:rowOff>187960</xdr:rowOff>
    </xdr:from>
    <xdr:to>
      <xdr:col>12</xdr:col>
      <xdr:colOff>548640</xdr:colOff>
      <xdr:row>101</xdr:row>
      <xdr:rowOff>30480</xdr:rowOff>
    </xdr:to>
    <xdr:graphicFrame macro="">
      <xdr:nvGraphicFramePr>
        <xdr:cNvPr id="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779780</xdr:colOff>
      <xdr:row>120</xdr:row>
      <xdr:rowOff>10160</xdr:rowOff>
    </xdr:from>
    <xdr:to>
      <xdr:col>12</xdr:col>
      <xdr:colOff>599440</xdr:colOff>
      <xdr:row>134</xdr:row>
      <xdr:rowOff>55880</xdr:rowOff>
    </xdr:to>
    <xdr:graphicFrame macro="">
      <xdr:nvGraphicFramePr>
        <xdr:cNvPr id="1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751840</xdr:colOff>
      <xdr:row>27</xdr:row>
      <xdr:rowOff>497840</xdr:rowOff>
    </xdr:from>
    <xdr:to>
      <xdr:col>13</xdr:col>
      <xdr:colOff>259080</xdr:colOff>
      <xdr:row>49</xdr:row>
      <xdr:rowOff>30480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OD%20270/AppData/Roaming/Microsoft/Excel/AppData/Local/Temp/notesC2BC19/15-10-2013_4W_Wash_Matrix_Summary_Rakhi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Database"/>
      <sheetName val="Analysis"/>
      <sheetName val="List"/>
      <sheetName val="CalculateSheet"/>
      <sheetName val="temp Database"/>
    </sheetNames>
    <sheetDataSet>
      <sheetData sheetId="0"/>
      <sheetData sheetId="1"/>
      <sheetData sheetId="2"/>
      <sheetData sheetId="3">
        <row r="3">
          <cell r="B3" t="str">
            <v>Yes</v>
          </cell>
        </row>
        <row r="4">
          <cell r="B4" t="str">
            <v>No</v>
          </cell>
        </row>
        <row r="5">
          <cell r="B5" t="str">
            <v>Never deployed</v>
          </cell>
        </row>
        <row r="6">
          <cell r="B6" t="str">
            <v>Done</v>
          </cell>
        </row>
      </sheetData>
      <sheetData sheetId="4"/>
      <sheetData sheetId="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Thein Tun Hlaing" refreshedDate="42172.470327777781" createdVersion="5" refreshedVersion="5" minRefreshableVersion="3" recordCount="175">
  <cacheSource type="worksheet">
    <worksheetSource ref="B4:CH179" sheet="Database"/>
  </cacheSource>
  <cacheFields count="95">
    <cacheField name="Township" numFmtId="0">
      <sharedItems count="20">
        <s v="Chipwi"/>
        <s v="Hpakan"/>
        <s v="Khaunglanhpu"/>
        <s v="Machanbaw"/>
        <s v="Mogaung"/>
        <s v="Mohnyin"/>
        <s v="Momauk"/>
        <s v="Myitkyina"/>
        <s v="Puta-O"/>
        <s v="Waingmaw"/>
        <s v="Mansi"/>
        <s v="Bhamo"/>
        <s v="Shwegu"/>
        <s v="Muse"/>
        <s v="Namkham"/>
        <s v="Kutkai"/>
        <s v="Hseni"/>
        <s v="Namtu"/>
        <s v="Manton"/>
        <s v="Sumprabum" u="1"/>
      </sharedItems>
    </cacheField>
    <cacheField name="Camp_P_Code" numFmtId="0">
      <sharedItems containsBlank="1"/>
    </cacheField>
    <cacheField name="Zoning cluster location" numFmtId="0">
      <sharedItems count="10">
        <s v="Cluster 10"/>
        <s v="Cluster 1"/>
        <s v="Cluster 3"/>
        <s v="Cluster 6"/>
        <s v="Cluster 5"/>
        <s v="Cluster 2"/>
        <s v="Cluster 4"/>
        <s v="Cluster 7"/>
        <s v="Cluster 8"/>
        <s v="Cluster 9"/>
      </sharedItems>
    </cacheField>
    <cacheField name="Site" numFmtId="0">
      <sharedItems count="188">
        <s v="Chipwi KBC camp"/>
        <s v="Hpare Hkyer - BP6"/>
        <s v="Lhaovao Baptist Church (LBC)"/>
        <s v="Pan Wa"/>
        <s v="5 Ward Baptist Church(lon Khin)"/>
        <s v="5 Ward RC Church(lon Khin)"/>
        <s v="AG Church, Hmaw Si Sa"/>
        <s v="AG Church, Maw Wan"/>
        <s v="Baptist Church, Hmaw Si Sar(Lon Khin)"/>
        <s v="Baptist Church, Naung Hmee VT"/>
        <s v="Baptist Church, Sai Ra village"/>
        <s v="Chin Church, Seik Mu"/>
        <s v="Dhama Rakhita, Nyein Chan Tar Yar Ward(Lon Khin)"/>
        <s v="Hlaing Naung Baptist"/>
        <s v="Hmaw Wan, Anglican"/>
        <s v="Hpakant Baptist Church, Nam Ma Hpit"/>
        <s v="Lisu Baptist Church, Maw Shan Vil,. Seik Mu"/>
        <s v="Lisu Baptist Church, Maw Wan Ward"/>
        <s v="Maw Wan, Mu-yin Baptist Church"/>
        <s v="Nam Ma Phyit, COC"/>
        <s v="Nant Ma Hpit Catholic Church"/>
        <s v="Rawan Baptist Church, Maw Shan Vil., Seik Mu"/>
        <s v="Sai Nai Baptish Church, Maw Shan Vil., Seki Mu"/>
        <s v="Ward 2 Sai Taung Baptist Church, Seik Mu "/>
        <s v="Yumar Baptist Church"/>
        <s v="La Ja"/>
        <s v="Machanbaw-KBC"/>
        <s v="Kyun Taw Baptist Church "/>
        <s v="Mang Hawng Baptist Church"/>
        <s v="Nat Gyi Kone Baptist Church "/>
        <s v="Nawng Ing (Indawgyi) Baptist Church  "/>
        <s v="St. Patrick Catholic Church "/>
        <s v="Dum Bung "/>
        <s v="Hpun Lum Yang "/>
        <s v="Du Kahtawng Qtr. 14"/>
        <s v="Du Kahtawng Qtr. 4"/>
        <s v="Du Kahtawng Qtr. 5"/>
        <s v="Jan Mai Kawng Baptist Church"/>
        <s v="Jan Mai Kawng Catholic Church"/>
        <s v="Kyun Pin Thar Baptist Church"/>
        <s v="Lawk Awng Mare D. (Sinbo Area)"/>
        <s v="Le Kone Bethlehem Church"/>
        <s v="Le Kone Ziun Baptist Church "/>
        <s v="Maliyang Baptist Church"/>
        <s v="Man Hkring Baptist Church"/>
        <s v="Maw Hpawng Hka Nan Baptist Church"/>
        <s v="Maw Hpawng Lhaovo Baptist Church"/>
        <s v="Nan Kway St. John Catholic Church"/>
        <s v="Njang Dung Baptist Church "/>
        <s v="Pa Dauk Myaing(Pa La Na)"/>
        <s v="Shatapru Sut Ngai Tawng"/>
        <s v="Shatapru Thida Aye Baptist Church"/>
        <s v="Shwe Zet Baptist Church"/>
        <s v="Tat Kone Baptist Church"/>
        <s v="Tat Kone (Ra Da Kawng)"/>
        <s v="Tat Kone COC Baptist / Tat Kone Htoi San"/>
        <s v="Tat Kone Emanuel Church"/>
        <s v="Tat Kone Galile Baptist Church"/>
        <s v="Tat Kone San Pya Baptist Church"/>
        <s v="Wun Tho Buddhist Monastery"/>
        <s v="Doke Htan Ward"/>
        <s v="Lone Sut"/>
        <s v="Naung Khaing"/>
        <s v="Border Post 8"/>
        <s v="Hkat Cho "/>
        <s v="Hkau Shau (BP 12)"/>
        <s v="Mading Baptist Church"/>
        <s v="Maga Yang "/>
        <s v="Maina AG Church"/>
        <s v="Maina Catholic Church (St. Joseph)"/>
        <s v="Maina KBC (Bawng Ring)"/>
        <s v="Maina Lawang Baptist Church"/>
        <s v="Pajau / Jan Mai"/>
        <s v="Post 6 Camp"/>
        <s v="Qtr. 2 Lhaovo Baptist Church"/>
        <s v="Qtr. 2 Myoma Baptist Church"/>
        <s v="Qtr. 3 Mu-yin  Baptist Church"/>
        <s v="Qtr. 4 Monestry (Thargaya Thayett Taw)"/>
        <s v="Shing Jai"/>
        <s v="Thargaya Lisu Baptist Church"/>
        <s v="Waingmaw AG Church"/>
        <s v="Waingmaw Baptist Zonal Office"/>
        <s v="Woi Chyai (Mong Lai)"/>
        <s v="Woi Chyai  host families"/>
        <s v="Woi Chyai "/>
        <s v="Zai Awng / Mung Ga Zup"/>
        <s v="Chipwi (School coumpound)"/>
        <s v="Girl Boarding house, A Len Bum"/>
        <s v="Boys Boarding house, A Len Bum"/>
        <s v="N-Lwe Yan"/>
        <s v="Nawng Hee Village"/>
        <s v="Ku Day Maw KBC"/>
        <s v="Pan Wa (Saw Zam) camp "/>
        <s v="Maing Khaung Baptist Church"/>
        <s v="Maing Khaung Catholic Church"/>
        <s v="Momauk Host Families"/>
        <s v="Bhamo Host Families"/>
        <s v="Aung Thar Church"/>
        <s v="Htoi San Church*"/>
        <s v="Lisu Boarding-House"/>
        <s v="Mu-yin Baptist Church"/>
        <s v="Nant Hlaing Church"/>
        <s v="Yoe Kyi Monastery"/>
        <s v="Mansi Baptist Church*"/>
        <s v="Agritural Compound (KBC)"/>
        <s v="Kachin Su Baptist Church (ECCD)"/>
        <s v="Khar Nan (1) Baptist Church"/>
        <s v="Man Bung Catholic compound"/>
        <s v="Mandalay Monestry"/>
        <s v="Momauk Baptist Church"/>
        <s v="Shwe Gu Baptist Church"/>
        <s v="Shwe Gu Catholic Church"/>
        <s v="AD-2000 Tharthana Compound*"/>
        <s v="AD-2000 Extension camp"/>
        <s v="Phan Khar Kone*"/>
        <s v="Robert Church*"/>
        <s v="Ta Gun Taing Monastery (Shwe Kyi Na)"/>
        <s v="Je Yang Hka "/>
        <s v="Loi Je Baptist Church"/>
        <s v="Loi Je Catholic Church"/>
        <s v="Loi Je Lisu  (1) Camp"/>
        <s v="Loi Je Lisu  (2) Camp"/>
        <s v="Loi Je Lisu  (3) Camp"/>
        <s v="Loi Je Lisu  (4) Camp"/>
        <s v="Loi Je Nyaung Na Pin "/>
        <s v="Loi Je RC Boarding School"/>
        <s v="Loi Je Seng Ja "/>
        <s v="Man Bung Edin Baptist Church"/>
        <s v="Ni Thaw Ka Monestry"/>
        <s v="Laiza Market 3 / Laiza Gat"/>
        <s v="Mansi Host Families"/>
        <s v="Khun Sint Village"/>
        <s v="Mai Khat "/>
        <s v="Man Nawng "/>
        <s v="Myo Thit "/>
        <s v="Tarli "/>
        <s v="Shwegu Host Families"/>
        <s v="Bum Tsit Pa * (1)"/>
        <s v="Bum Tsit Pa * (2)"/>
        <s v="Bum Tsit Pa * (3)"/>
        <s v="Lana Zup Ja"/>
        <s v="Nhkawng Pa "/>
        <s v="Pa Kahtawng 2"/>
        <s v="Pa Kahtawng 1B"/>
        <s v="Pa Kahtawng 1 A"/>
        <s v="Pa Kahtawng Primary House"/>
        <s v="Pa Kahtawng Boarding Middle School "/>
        <s v="Pa Kahtawng Boarding High School "/>
        <s v="Pa Kahtawng Host Families"/>
        <s v="Clutural Compound"/>
        <s v="MWG -RC2"/>
        <s v="Muse KBC Church"/>
        <s v="Muse RC Church"/>
        <s v="Man Wing Baptist Church*"/>
        <s v="Man Wing Catholic Church*"/>
        <s v="Nam Hkam - Nay Win Ni (Palawng)"/>
        <s v="Nam Hkam (KBC Jaw Wang)"/>
        <s v="Nam Hkam Catholic Church ( St. Thomas I)"/>
        <s v="Nam Hkawng/Manaung kaung"/>
        <s v="Bang Lung"/>
        <s v="Jaw 2"/>
        <s v="Kone Khem Camp"/>
        <s v="Kutkai downtown (KBC Church)"/>
        <s v="Kutkai downtown (RC Church)"/>
        <s v="Mine Yu Lay village"/>
        <s v="Mungji Pa Dabang (Baptist Church)         "/>
        <s v="Mungji Pa Dabang (RC Church)         "/>
        <s v="Nam Hpak Ka Mare "/>
        <s v="Narte"/>
        <s v="Zup Aung Camp"/>
        <s v="Namtu Baptist"/>
        <s v="(Nam Hoi) Host families"/>
        <s v="Nam Ja Rap"/>
        <s v="Mandung - Jinghpaw"/>
        <s v="Mandung - RC"/>
        <s v="Phan Khar Kone" u="1"/>
        <s v="IDP School, A Len Bum" u="1"/>
        <s v="Cultural Compound" u="1"/>
        <s v="Nam Hka Mare (west of Man Wing)" u="1"/>
        <s v="Phar Kay/Nant Waing " u="1"/>
        <s v="Loi Je Lisu Camp" u="1"/>
        <s v="Inn Lel Yan" u="1"/>
        <s v="Momauk Catholic Church (St. Patrick)" u="1"/>
        <s v="Host Families" u="1"/>
        <s v="Pa Kahtawng Primary school" u="1"/>
        <s v="Lana Zup Ja *" u="1"/>
        <s v="Myay Myint Baptist Church" u="1"/>
        <s v="Sumprabum" u="1"/>
      </sharedItems>
    </cacheField>
    <cacheField name="GPS x" numFmtId="0">
      <sharedItems containsMixedTypes="1" containsNumber="1" minValue="96.269199999999998" maxValue="98.475719999999995"/>
    </cacheField>
    <cacheField name="GPS y" numFmtId="0">
      <sharedItems containsMixedTypes="1" containsNumber="1" minValue="23.092880000000001" maxValue="27.310880000000001"/>
    </cacheField>
    <cacheField name="Location type" numFmtId="0">
      <sharedItems count="3">
        <s v="Camp"/>
        <s v="Village"/>
        <s v="School"/>
      </sharedItems>
    </cacheField>
    <cacheField name="Type" numFmtId="0">
      <sharedItems count="2">
        <s v="GCA"/>
        <s v="NGCA"/>
      </sharedItems>
    </cacheField>
    <cacheField name="Nb of affected household" numFmtId="0">
      <sharedItems containsString="0" containsBlank="1" containsNumber="1" containsInteger="1" minValue="0" maxValue="1701"/>
    </cacheField>
    <cacheField name="IDPs Pop" numFmtId="0">
      <sharedItems containsSemiMixedTypes="0" containsString="0" containsNumber="1" containsInteger="1" minValue="4" maxValue="7108"/>
    </cacheField>
    <cacheField name="Total PoP" numFmtId="0">
      <sharedItems containsSemiMixedTypes="0" containsString="0" containsNumber="1" containsInteger="1" minValue="4" maxValue="6516"/>
    </cacheField>
    <cacheField name="Camps treshold" numFmtId="0">
      <sharedItems containsBlank="1" count="6">
        <s v="2. Medium"/>
        <s v="1. Small"/>
        <s v="3. Large"/>
        <s v="4. Big"/>
        <s v="5. Massive"/>
        <m/>
      </sharedItems>
    </cacheField>
    <cacheField name="Camp manager defined by UNHCR" numFmtId="0">
      <sharedItems containsBlank="1"/>
    </cacheField>
    <cacheField name="Focal point Agency" numFmtId="0">
      <sharedItems count="9">
        <s v="Shalom"/>
        <s v="KBC"/>
        <s v="KMSS"/>
        <s v="None"/>
        <s v="Metta"/>
        <s v="Cesvi"/>
        <s v="SI"/>
        <s v="WPN"/>
        <s v="SCI"/>
      </sharedItems>
    </cacheField>
    <cacheField name="Targetted" numFmtId="0">
      <sharedItems count="2">
        <s v="Covered"/>
        <s v="Not covered"/>
      </sharedItems>
    </cacheField>
    <cacheField name="Ending date funds/project coverage" numFmtId="0">
      <sharedItems containsDate="1" containsBlank="1" containsMixedTypes="1" minDate="2015-05-31T00:00:00" maxDate="2016-04-01T00:00:00"/>
    </cacheField>
    <cacheField name="Complement Agency" numFmtId="0">
      <sharedItems containsBlank="1"/>
    </cacheField>
    <cacheField name="Ending date funds/project coverage2" numFmtId="0">
      <sharedItems containsNonDate="0" containsDate="1" containsString="0" containsBlank="1" minDate="2014-07-15T00:00:00" maxDate="2015-09-01T00:00:00"/>
    </cacheField>
    <cacheField name="Source of Data" numFmtId="0">
      <sharedItems/>
    </cacheField>
    <cacheField name="Documented" numFmtId="15">
      <sharedItems count="2">
        <s v="Documented"/>
        <s v="Not documented"/>
      </sharedItems>
    </cacheField>
    <cacheField name="litres/day produce  _x000a_Water treatment station " numFmtId="0">
      <sharedItems containsSemiMixedTypes="0" containsString="0" containsNumber="1" containsInteger="1" minValue="0" maxValue="0"/>
    </cacheField>
    <cacheField name="litres deliver during the month_x000a_Water/Boat trucking " numFmtId="0">
      <sharedItems containsSemiMixedTypes="0" containsString="0" containsNumber="1" containsInteger="1" minValue="0" maxValue="42030"/>
    </cacheField>
    <cacheField name="Exit strategy plan from emergency supply " numFmtId="0">
      <sharedItems/>
    </cacheField>
    <cacheField name="# Open hand Dug wells (without hand pump)" numFmtId="0">
      <sharedItems containsSemiMixedTypes="0" containsString="0" containsNumber="1" containsInteger="1" minValue="0" maxValue="150"/>
    </cacheField>
    <cacheField name="# Hand pump (on well or borehole)" numFmtId="0">
      <sharedItems containsSemiMixedTypes="0" containsString="0" containsNumber="1" containsInteger="1" minValue="0" maxValue="105"/>
    </cacheField>
    <cacheField name="litres/Day provided with Overhead or storage tank with reticulation/ Water  gravity system           ( Yield x average running hours)" numFmtId="0">
      <sharedItems containsSemiMixedTypes="0" containsString="0" containsNumber="1" containsInteger="1" minValue="0" maxValue="216000"/>
    </cacheField>
    <cacheField name="% Water harvesting system HH coverage" numFmtId="9">
      <sharedItems containsSemiMixedTypes="0" containsString="0" containsNumber="1" minValue="0" maxValue="1"/>
    </cacheField>
    <cacheField name="% Household covered with Household filtration " numFmtId="9">
      <sharedItems containsSemiMixedTypes="0" containsString="0" containsNumber="1" minValue="0" maxValue="1"/>
    </cacheField>
    <cacheField name="Actual water needs coverage" numFmtId="9">
      <sharedItems containsSemiMixedTypes="0" containsString="0" containsNumber="1" minValue="0" maxValue="1"/>
    </cacheField>
    <cacheField name="Population for Actual water needs coverage" numFmtId="1">
      <sharedItems containsSemiMixedTypes="0" containsString="0" containsNumber="1" minValue="0" maxValue="3805"/>
    </cacheField>
    <cacheField name="Access of safe water drinking permanent water point" numFmtId="9">
      <sharedItems containsSemiMixedTypes="0" containsString="0" containsNumber="1" minValue="0" maxValue="1"/>
    </cacheField>
    <cacheField name="Population for access of safe water drinking permanent water point" numFmtId="1">
      <sharedItems containsSemiMixedTypes="0" containsString="0" containsNumber="1" minValue="0" maxValue="3805"/>
    </cacheField>
    <cacheField name="Potential % of actual need coverage including houshold treatment solution" numFmtId="9">
      <sharedItems containsSemiMixedTypes="0" containsString="0" containsNumber="1" minValue="0" maxValue="1"/>
    </cacheField>
    <cacheField name="Population for Potential % of actual need coverage including houshold treatment solution" numFmtId="1">
      <sharedItems containsSemiMixedTypes="0" containsString="0" containsNumber="1" minValue="0" maxValue="3805"/>
    </cacheField>
    <cacheField name="Rank coverage" numFmtId="0">
      <sharedItems count="6">
        <s v="80-100%"/>
        <s v="0-10%"/>
        <s v="15-30%"/>
        <s v="45-60%"/>
        <s v="60-80%"/>
        <s v="30-45%" u="1"/>
      </sharedItems>
    </cacheField>
    <cacheField name="% of actual need covered by emergency facilities" numFmtId="9">
      <sharedItems containsSemiMixedTypes="0" containsString="0" containsNumber="1" containsInteger="1" minValue="0" maxValue="0"/>
    </cacheField>
    <cacheField name="Population for of actual need covered by emergency facilities" numFmtId="1">
      <sharedItems containsSemiMixedTypes="0" containsString="0" containsNumber="1" containsInteger="1" minValue="0" maxValue="0"/>
    </cacheField>
    <cacheField name="Potential Number permanent water point missing" numFmtId="1">
      <sharedItems containsSemiMixedTypes="0" containsString="0" containsNumber="1" minValue="0" maxValue="11.29"/>
    </cacheField>
    <cacheField name="Number family having ceramic filter" numFmtId="1">
      <sharedItems containsSemiMixedTypes="0" containsString="0" containsNumber="1" minValue="0" maxValue="850.5"/>
    </cacheField>
    <cacheField name="nb of persons having rain harvest acess" numFmtId="1">
      <sharedItems containsSemiMixedTypes="0" containsString="0" containsNumber="1" minValue="0" maxValue="3386.4500000000003"/>
    </cacheField>
    <cacheField name="% Estimated need coverage at the end of project" numFmtId="9">
      <sharedItems containsSemiMixedTypes="0" containsString="0" containsNumber="1" minValue="0" maxValue="1"/>
    </cacheField>
    <cacheField name="Population for Estimated need coverage in 2 months" numFmtId="0">
      <sharedItems containsSemiMixedTypes="0" containsString="0" containsNumber="1" minValue="0" maxValue="3805"/>
    </cacheField>
    <cacheField name="Comments" numFmtId="0">
      <sharedItems containsBlank="1"/>
    </cacheField>
    <cacheField name="Total # Emergency Latrines built since camp opening" numFmtId="0">
      <sharedItems containsSemiMixedTypes="0" containsString="0" containsNumber="1" containsInteger="1" minValue="0" maxValue="573"/>
    </cacheField>
    <cacheField name="# Emergency latrines still functional" numFmtId="0">
      <sharedItems containsSemiMixedTypes="0" containsString="0" containsNumber="1" containsInteger="1" minValue="0" maxValue="276"/>
    </cacheField>
    <cacheField name="# Semi permanent latrine functional" numFmtId="0">
      <sharedItems containsSemiMixedTypes="0" containsString="0" containsNumber="1" containsInteger="1" minValue="0" maxValue="659"/>
    </cacheField>
    <cacheField name="Latrines gender sperated" numFmtId="0">
      <sharedItems containsBlank="1" count="7">
        <s v="Latrine shared by families , not separated"/>
        <s v="Separate, clearly perceived"/>
        <s v="Not separated yet"/>
        <s v="Separate, but not clearly perceived"/>
        <s v="separated"/>
        <s v="Separated, clearly perceived"/>
        <m u="1"/>
      </sharedItems>
    </cacheField>
    <cacheField name="% Latrine needs coverage" numFmtId="9">
      <sharedItems containsSemiMixedTypes="0" containsString="0" containsNumber="1" minValue="0" maxValue="1"/>
    </cacheField>
    <cacheField name="Population for % Latrine needs coverage" numFmtId="1">
      <sharedItems containsSemiMixedTypes="0" containsString="0" containsNumber="1" minValue="0" maxValue="6516"/>
    </cacheField>
    <cacheField name="% Emergency latrines" numFmtId="9">
      <sharedItems containsSemiMixedTypes="0" containsString="0" containsNumber="1" minValue="0" maxValue="1"/>
    </cacheField>
    <cacheField name="Population for % Emergency latrines" numFmtId="1">
      <sharedItems containsSemiMixedTypes="0" containsString="0" containsNumber="1" minValue="0" maxValue="2810"/>
    </cacheField>
    <cacheField name="% Semi permanent latrine" numFmtId="9">
      <sharedItems containsSemiMixedTypes="0" containsString="0" containsNumber="1" minValue="0" maxValue="1"/>
    </cacheField>
    <cacheField name="Population for % Semi permanent latrine" numFmtId="1">
      <sharedItems containsSemiMixedTypes="0" containsString="0" containsNumber="1" minValue="0" maxValue="6516"/>
    </cacheField>
    <cacheField name="# Additional latrines needs identified for community center as TLS, heath center…" numFmtId="0">
      <sharedItems containsString="0" containsBlank="1" containsNumber="1" containsInteger="1" minValue="0" maxValue="18"/>
    </cacheField>
    <cacheField name="% Estimated coverage of latrine need at the end of project" numFmtId="9">
      <sharedItems containsSemiMixedTypes="0" containsString="0" containsNumber="1" minValue="0" maxValue="1"/>
    </cacheField>
    <cacheField name="Population for % Estimated coverage of latrine need at the end of project" numFmtId="1">
      <sharedItems containsString="0" containsBlank="1" containsNumber="1" minValue="0" maxValue="6516"/>
    </cacheField>
    <cacheField name="# Semi permanent latrines missing" numFmtId="1">
      <sharedItems containsString="0" containsBlank="1" containsNumber="1" minValue="0" maxValue="140.5"/>
    </cacheField>
    <cacheField name="# of Bathing space (1 unit for 100 persons)" numFmtId="0">
      <sharedItems containsSemiMixedTypes="0" containsString="0" containsNumber="1" containsInteger="1" minValue="0" maxValue="213"/>
    </cacheField>
    <cacheField name="Bathing space gender sperated" numFmtId="0">
      <sharedItems containsBlank="1" count="9">
        <s v="Separate, clearly perceived"/>
        <s v="Not separated yet"/>
        <s v="Separate, but not clearly perceived"/>
        <s v="Latrine shared by families , not separated"/>
        <s v="separated"/>
        <m/>
        <s v="n/a" u="1"/>
        <s v="Separate, clearly preceived" u="1"/>
        <s v="separated " u="1"/>
      </sharedItems>
    </cacheField>
    <cacheField name="Coverage Bathing %" numFmtId="9">
      <sharedItems containsSemiMixedTypes="0" containsString="0" containsNumber="1" minValue="0" maxValue="1"/>
    </cacheField>
    <cacheField name="Population Coverage Bathing %" numFmtId="1">
      <sharedItems containsSemiMixedTypes="0" containsString="0" containsNumber="1" minValue="0" maxValue="4900"/>
    </cacheField>
    <cacheField name="Nb of missing bathing space" numFmtId="1">
      <sharedItems containsSemiMixedTypes="0" containsString="0" containsNumber="1" minValue="0" maxValue="35.409999999999997"/>
    </cacheField>
    <cacheField name="Estimated coverage of bathroom at the end of project with gender speration" numFmtId="9">
      <sharedItems containsSemiMixedTypes="0" containsString="0" containsNumber="1" minValue="0" maxValue="1"/>
    </cacheField>
    <cacheField name="Population for  Estimated coverage of bathroom need at the end of projects  % with gender speration" numFmtId="1">
      <sharedItems containsString="0" containsBlank="1" containsNumber="1" minValue="0" maxValue="4496.04"/>
    </cacheField>
    <cacheField name="# Hand washing station funtional" numFmtId="0">
      <sharedItems containsSemiMixedTypes="0" containsString="0" containsNumber="1" containsInteger="1" minValue="0" maxValue="82"/>
    </cacheField>
    <cacheField name="Coverage hand wash station %" numFmtId="9">
      <sharedItems containsSemiMixedTypes="0" containsString="0" containsNumber="1" minValue="0" maxValue="1"/>
    </cacheField>
    <cacheField name="Nb of missing hand washing station" numFmtId="1">
      <sharedItems containsSemiMixedTypes="0" containsString="0" containsNumber="1" minValue="0" maxValue="35.409999999999997"/>
    </cacheField>
    <cacheField name="Estimated coverage need of hand washing station at the end of project" numFmtId="9">
      <sharedItems containsSemiMixedTypes="0" containsString="0" containsNumber="1" minValue="0" maxValue="1"/>
    </cacheField>
    <cacheField name="Comments2" numFmtId="0">
      <sharedItems containsBlank="1"/>
    </cacheField>
    <cacheField name="Date Last Full Hygiene Kit distribution" numFmtId="169">
      <sharedItems containsNonDate="0" containsDate="1" containsString="0" containsBlank="1" minDate="2012-10-01T00:00:00" maxDate="2015-05-20T00:00:00"/>
    </cacheField>
    <cacheField name="Next distribution to be done" numFmtId="169">
      <sharedItems containsDate="1" containsMixedTypes="1" minDate="2015-06-04T00:00:00" maxDate="2016-05-19T00:00:00"/>
    </cacheField>
    <cacheField name="Total # of Full Hygiene kit distributed during last distribution" numFmtId="0">
      <sharedItems containsSemiMixedTypes="0" containsString="0" containsNumber="1" containsInteger="1" minValue="0" maxValue="1646"/>
    </cacheField>
    <cacheField name="# of month distributed for Refilling Kits since last full kit distribution" numFmtId="0">
      <sharedItems containsString="0" containsBlank="1" containsNumber="1" containsInteger="1" minValue="0" maxValue="19"/>
    </cacheField>
    <cacheField name="Gap of basic hygiene kit" numFmtId="3">
      <sharedItems containsSemiMixedTypes="0" containsString="0" containsNumber="1" containsInteger="1" minValue="0" maxValue="1701"/>
    </cacheField>
    <cacheField name="Coverage Hygiene kits" numFmtId="9">
      <sharedItems containsSemiMixedTypes="0" containsString="0" containsNumber="1" minValue="0" maxValue="1"/>
    </cacheField>
    <cacheField name="Coverage Hygiene kits * Total PoP" numFmtId="1">
      <sharedItems containsSemiMixedTypes="0" containsString="0" containsNumber="1" minValue="0" maxValue="2810"/>
    </cacheField>
    <cacheField name="Gap of month covered by refilled" numFmtId="3">
      <sharedItems containsMixedTypes="1" containsNumber="1" containsInteger="1" minValue="0" maxValue="29" count="30">
        <n v="0"/>
        <n v="2"/>
        <n v="4"/>
        <n v="8"/>
        <n v="12"/>
        <s v="Column BN to be completed"/>
        <n v="9"/>
        <n v="6"/>
        <n v="5"/>
        <n v="14"/>
        <n v="15"/>
        <n v="7"/>
        <n v="11"/>
        <n v="13"/>
        <n v="10"/>
        <n v="1"/>
        <n v="3"/>
        <n v="29"/>
        <n v="28"/>
        <n v="17" u="1"/>
        <n v="18" u="1"/>
        <n v="19" u="1"/>
        <n v="20" u="1"/>
        <n v="21" u="1"/>
        <n v="22" u="1"/>
        <n v="23" u="1"/>
        <n v="24" u="1"/>
        <n v="25" u="1"/>
        <n v="26" u="1"/>
        <n v="27" u="1"/>
      </sharedItems>
    </cacheField>
    <cacheField name="Comments3" numFmtId="0">
      <sharedItems containsBlank="1"/>
    </cacheField>
    <cacheField name="Approximative % of household receiving monthly HP senzitisation directly with NGO" numFmtId="9">
      <sharedItems containsSemiMixedTypes="0" containsString="0" containsNumber="1" minValue="0" maxValue="1"/>
    </cacheField>
    <cacheField name="Population receiving HP at HH level" numFmtId="3">
      <sharedItems containsString="0" containsBlank="1" containsNumber="1" minValue="0" maxValue="6516"/>
    </cacheField>
    <cacheField name="Nb  community HP trainer trained by NGO" numFmtId="0">
      <sharedItems containsSemiMixedTypes="0" containsString="0" containsNumber="1" containsInteger="1" minValue="0" maxValue="25"/>
    </cacheField>
    <cacheField name="Ratio between population and nb of community HP" numFmtId="0">
      <sharedItems/>
    </cacheField>
    <cacheField name="Incinerator operational" numFmtId="0">
      <sharedItems containsString="0" containsBlank="1" containsNumber="1" containsInteger="1" minValue="0" maxValue="6"/>
    </cacheField>
    <cacheField name="Community management organise and efficient in camps" numFmtId="0">
      <sharedItems containsBlank="1" count="15">
        <s v="Functional and efficient"/>
        <s v="Set up but low results "/>
        <s v="Not yet set up"/>
        <s v="NA"/>
        <s v="Not yet planned"/>
        <s v="already set up"/>
        <s v="Functional and efficient. The number of people actually leaving in the camp is 93 HH (so around 500 people) "/>
        <m u="1"/>
        <s v="Functioning and efficient" u="1"/>
        <s v="N/A" u="1"/>
        <s v="Functional and not efficient" u="1"/>
        <s v="Alredy set up" u="1"/>
        <s v="Funcyioning and low effivient" u="1"/>
        <s v="No WASH committee" u="1"/>
        <s v="functioning but not efficient" u="1"/>
      </sharedItems>
    </cacheField>
    <cacheField name="Comment" numFmtId="0">
      <sharedItems containsBlank="1"/>
    </cacheField>
    <cacheField name="Water Need coverage %" numFmtId="0" formula="'Population for Potential % of actual need coverage including houshold treatment solution'/'Total PoP'" databaseField="0"/>
    <cacheField name="Latrine need coverage %" numFmtId="0" formula="'Population for % Latrine needs coverage'/'Total PoP'" databaseField="0"/>
    <cacheField name="Bathroom need coverage" numFmtId="0" formula="'Population Coverage Bathing %'/'Total PoP'" databaseField="0"/>
    <cacheField name="Coverage Permanent Latrine %" numFmtId="0" formula="'Population for % Semi permanent latrine'/'Total PoP'" databaseField="0"/>
    <cacheField name="Coverage Emergency latrine %" numFmtId="0" formula="'Population for % Emergency latrines'/'Total PoP'" databaseField="0"/>
    <cacheField name="Coverage Full HK %" numFmtId="0" formula="'Coverage Hygiene kits * Total PoP'/'Total PoP'" databaseField="0"/>
    <cacheField name="Coverage HP session at HH level %" numFmtId="0" formula="'Population receiving HP at HH level'/'Total PoP'" databaseField="0"/>
    <cacheField name="Coverage projection end of project" numFmtId="0" formula=" ('Population for Estimated need coverage in 2 months'-'Population for Potential % of actual need coverage including houshold treatment solution') /'Total PoP'" databaseField="0"/>
    <cacheField name="Projection latrine need coverage EOP" numFmtId="0" formula="('Population for % Estimated coverage of latrine need at the end of project'-'Population for % Latrine needs coverage')/'Total PoP'" databaseField="0"/>
    <cacheField name="Projection Bathrrom coverage EOP" numFmtId="0" formula="('Population for  Estimated coverage of bathroom need at the end of projects  % with gender speration'-'Population Coverage Bathing %')/'Total PoP'"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Olivier Le Guillou" refreshedDate="42178.38117951389" createdVersion="5" refreshedVersion="5" minRefreshableVersion="3" recordCount="58">
  <cacheSource type="worksheet">
    <worksheetSource ref="C4:AH62" sheet="Agency funds received"/>
  </cacheSource>
  <cacheFields count="32">
    <cacheField name="Agency leading the project" numFmtId="0">
      <sharedItems count="16">
        <s v="CESVI"/>
        <s v="DWHH"/>
        <s v="HIDA"/>
        <s v="KBC"/>
        <s v="KMSS"/>
        <s v="Merlin"/>
        <s v="Metta"/>
        <s v="Oxfam GB"/>
        <s v="Plan"/>
        <s v="SCI"/>
        <s v="Shalom"/>
        <s v="Solidarités International"/>
        <s v="Trocaire"/>
        <s v="UNICEF"/>
        <s v="Solidarites" u="1"/>
        <s v="Solidarities" u="1"/>
      </sharedItems>
    </cacheField>
    <cacheField name="Implementing or consortium partner  " numFmtId="0">
      <sharedItems containsBlank="1"/>
    </cacheField>
    <cacheField name="Donor" numFmtId="0">
      <sharedItems count="20">
        <s v="UNICEF"/>
        <s v="ECHO"/>
        <s v="Germany"/>
        <s v="Canada"/>
        <s v="OCHA"/>
        <s v="Start fund"/>
        <s v="Australian"/>
        <s v="CIDA"/>
        <s v="DFAT"/>
        <s v="SC seed funding"/>
        <s v="OFDA"/>
        <s v="SIDA"/>
        <s v="France"/>
        <s v="ERF"/>
        <s v="Irland"/>
        <s v="Sweden"/>
        <s v="CERF"/>
        <s v="Japan"/>
        <s v="HMSF" u="1"/>
        <s v="DFATD (CIDA)" u="1"/>
      </sharedItems>
    </cacheField>
    <cacheField name="cofunding donors" numFmtId="0">
      <sharedItems containsBlank="1"/>
    </cacheField>
    <cacheField name="Name of the project" numFmtId="0">
      <sharedItems containsBlank="1"/>
    </cacheField>
    <cacheField name="Project start date _x000a_ dd/mm/yy" numFmtId="0">
      <sharedItems containsSemiMixedTypes="0" containsNonDate="0" containsDate="1" containsString="0" minDate="2012-01-01T00:00:00" maxDate="2015-09-02T00:00:00"/>
    </cacheField>
    <cacheField name="Project end date  dd/mm/yy" numFmtId="0">
      <sharedItems containsDate="1" containsBlank="1" containsMixedTypes="1" minDate="2012-04-30T00:00:00" maxDate="2016-06-01T00:00:00"/>
    </cacheField>
    <cacheField name="Status of the project" numFmtId="0">
      <sharedItems containsBlank="1"/>
    </cacheField>
    <cacheField name="Year fund received" numFmtId="0">
      <sharedItems containsSemiMixedTypes="0" containsString="0" containsNumber="1" containsInteger="1" minValue="2012" maxValue="2015" count="4">
        <n v="2012"/>
        <n v="2013"/>
        <n v="2014"/>
        <n v="2015"/>
      </sharedItems>
    </cacheField>
    <cacheField name="Total Nb of wash beneficiaries" numFmtId="0">
      <sharedItems containsString="0" containsBlank="1" containsNumber="1" containsInteger="1" minValue="0" maxValue="89815"/>
    </cacheField>
    <cacheField name="Approximative % of NGCA beneficiaries" numFmtId="9">
      <sharedItems containsString="0" containsBlank="1" containsNumber="1" minValue="0" maxValue="0.93"/>
    </cacheField>
    <cacheField name="Approximative % of GCA beneficiaries" numFmtId="9">
      <sharedItems containsBlank="1" containsMixedTypes="1" containsNumber="1" minValue="6.9999999999999951E-2" maxValue="1"/>
    </cacheField>
    <cacheField name="% Northern Shan" numFmtId="9">
      <sharedItems containsString="0" containsBlank="1" containsNumber="1" minValue="0" maxValue="1"/>
    </cacheField>
    <cacheField name="%South Kachin" numFmtId="9">
      <sharedItems containsString="0" containsBlank="1" containsNumber="1" minValue="0" maxValue="1"/>
    </cacheField>
    <cacheField name="%North kachin" numFmtId="9">
      <sharedItems containsString="0" containsBlank="1" containsNumber="1" minValue="0" maxValue="1"/>
    </cacheField>
    <cacheField name="Approximate % of beneficiaries in camps" numFmtId="9">
      <sharedItems containsString="0" containsBlank="1" containsNumber="1" minValue="7.0000000000000007E-2" maxValue="1"/>
    </cacheField>
    <cacheField name="Approximate % of beneficiaries in host community" numFmtId="9">
      <sharedItems containsString="0" containsBlank="1" containsNumber="1" minValue="0" maxValue="0.93"/>
    </cacheField>
    <cacheField name="Nb of sanitation beneficiaries plan" numFmtId="0">
      <sharedItems containsString="0" containsBlank="1" containsNumber="1" containsInteger="1" minValue="493" maxValue="86580"/>
    </cacheField>
    <cacheField name="Nb of water access beneficiaries plan" numFmtId="0">
      <sharedItems containsString="0" containsBlank="1" containsNumber="1" containsInteger="1" minValue="0" maxValue="86822"/>
    </cacheField>
    <cacheField name="Nb of beneficiairies for HE" numFmtId="0">
      <sharedItems containsString="0" containsBlank="1" containsNumber="1" containsInteger="1" minValue="0" maxValue="86822"/>
    </cacheField>
    <cacheField name="Nb of sanitation beneficiaries plan2" numFmtId="0">
      <sharedItems containsString="0" containsBlank="1" containsNumber="1" containsInteger="1" minValue="0" maxValue="22000"/>
    </cacheField>
    <cacheField name="Nb of water access beneficiaries plan2" numFmtId="0">
      <sharedItems containsString="0" containsBlank="1" containsNumber="1" containsInteger="1" minValue="0" maxValue="8788"/>
    </cacheField>
    <cacheField name="Nb of beneficiairies for HE2" numFmtId="0">
      <sharedItems containsString="0" containsBlank="1" containsNumber="1" containsInteger="1" minValue="0" maxValue="30788"/>
    </cacheField>
    <cacheField name="Total budget of the project US$. For only WASH related cost (including related support costs)" numFmtId="3">
      <sharedItems containsString="0" containsBlank="1" containsNumber="1" minValue="3031.5058823529412" maxValue="1652740"/>
    </cacheField>
    <cacheField name="Approximate fund before 2014 regarding project date implementation" numFmtId="3">
      <sharedItems containsSemiMixedTypes="0" containsString="0" containsNumber="1" minValue="0" maxValue="1067394.5833333333"/>
    </cacheField>
    <cacheField name="Approximate fund 2014 regarding project date implementation" numFmtId="3">
      <sharedItems containsSemiMixedTypes="0" containsString="0" containsNumber="1" minValue="0" maxValue="1520909.0013263728" count="45">
        <n v="0"/>
        <n v="176992.66666666666"/>
        <n v="210747.24540901504"/>
        <n v="92794.488397790061"/>
        <n v="201418"/>
        <n v="10128.991780821918"/>
        <n v="337220.99"/>
        <n v="121121.92640883979"/>
        <n v="43482"/>
        <n v="151841.64537444935"/>
        <n v="100963.83480176212"/>
        <n v="37538.200440528635"/>
        <n v="939498.21854084812"/>
        <n v="56456.176470588231"/>
        <n v="17000"/>
        <n v="68330.480733944947"/>
        <n v="80400"/>
        <n v="343632.61410788383"/>
        <n v="180399.7676056338"/>
        <n v="298146.15434083604"/>
        <n v="328256.45604395604"/>
        <n v="216595.33333333337"/>
        <n v="78945"/>
        <n v="82055.812182741123"/>
        <n v="240768.59504132232"/>
        <n v="104552.48618784532"/>
        <n v="315019.41758241761"/>
        <n v="79925.586080586087"/>
        <n v="50000"/>
        <n v="585345.41666666674"/>
        <n v="564560.43956043955"/>
        <n v="700000"/>
        <n v="322388.15331010451"/>
        <n v="1520909.0013263728" u="1"/>
        <n v="972.74010109523078" u="1"/>
        <n v="309421.48760330578" u="1"/>
        <n v="288461.43" u="1"/>
        <n v="350000" u="1"/>
        <n v="750000" u="1"/>
        <n v="455030" u="1"/>
        <n v="200000" u="1"/>
        <n v="249000" u="1"/>
        <n v="220997.4" u="1"/>
        <n v="216000.29120879126" u="1"/>
        <n v="469947" u="1"/>
      </sharedItems>
    </cacheField>
    <cacheField name="Approximate Fund 2015 regarding project date implementation" numFmtId="3">
      <sharedItems containsSemiMixedTypes="0" containsString="0" containsNumber="1" minValue="0" maxValue="1000000"/>
    </cacheField>
    <cacheField name="Approximate fund % dedicated to camps population only" numFmtId="0">
      <sharedItems containsString="0" containsBlank="1" containsNumber="1" minValue="0.04" maxValue="1"/>
    </cacheField>
    <cacheField name="Approximate % of fund dedicated to sanitation" numFmtId="9">
      <sharedItems containsString="0" containsBlank="1" containsNumber="1" minValue="0.04" maxValue="1"/>
    </cacheField>
    <cacheField name="Approximate % fund dedicated to Water access" numFmtId="9">
      <sharedItems containsString="0" containsBlank="1" containsNumber="1" minValue="0" maxValue="0.95"/>
    </cacheField>
    <cacheField name="Approximate % of fund dedicated to HP" numFmtId="9">
      <sharedItems containsString="0" containsBlank="1" containsNumber="1" minValue="0" maxValue="0.95"/>
    </cacheField>
    <cacheField name="Miscellaneous Comments on project"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5">
  <r>
    <x v="0"/>
    <s v="MMR001CMP042"/>
    <x v="0"/>
    <x v="0"/>
    <n v="98.131264999999999"/>
    <n v="25.885922999999998"/>
    <x v="0"/>
    <x v="0"/>
    <n v="114"/>
    <n v="524"/>
    <n v="524"/>
    <x v="0"/>
    <s v="Shalom"/>
    <x v="0"/>
    <x v="0"/>
    <d v="2015-05-31T00:00:00"/>
    <m/>
    <m/>
    <s v="Focal NGO"/>
    <x v="0"/>
    <n v="0"/>
    <n v="0"/>
    <s v="No"/>
    <n v="0"/>
    <n v="0"/>
    <n v="12760"/>
    <n v="0"/>
    <n v="0"/>
    <n v="1"/>
    <n v="524"/>
    <n v="1"/>
    <n v="524"/>
    <n v="1"/>
    <n v="524"/>
    <x v="0"/>
    <n v="0"/>
    <n v="0"/>
    <n v="1.31"/>
    <n v="0"/>
    <n v="0"/>
    <n v="1"/>
    <n v="524"/>
    <m/>
    <n v="19"/>
    <n v="7"/>
    <n v="8"/>
    <x v="0"/>
    <n v="0.5725190839694656"/>
    <n v="300"/>
    <n v="0.26717557251908391"/>
    <n v="139.99999999999997"/>
    <n v="0.30534351145038169"/>
    <n v="160"/>
    <n v="0"/>
    <n v="0.56999999999999995"/>
    <n v="298.67999999999995"/>
    <n v="18.2"/>
    <n v="4"/>
    <x v="0"/>
    <n v="0.76335877862595425"/>
    <n v="400"/>
    <n v="1.2400000000000002"/>
    <n v="0.76"/>
    <n v="398.24"/>
    <n v="3"/>
    <n v="0.5725190839694656"/>
    <n v="2.2400000000000002"/>
    <n v="0.56999999999999995"/>
    <m/>
    <d v="2015-02-13T00:00:00"/>
    <d v="2016-02-13T00:00:00"/>
    <n v="119"/>
    <n v="3"/>
    <n v="0"/>
    <n v="1"/>
    <n v="524"/>
    <x v="0"/>
    <m/>
    <n v="1"/>
    <n v="524"/>
    <n v="2"/>
    <s v="Excellent coverage"/>
    <n v="0"/>
    <x v="0"/>
    <m/>
  </r>
  <r>
    <x v="0"/>
    <s v="MMR001CMP043"/>
    <x v="0"/>
    <x v="1"/>
    <n v="98.475719999999995"/>
    <n v="25.754110000000001"/>
    <x v="0"/>
    <x v="1"/>
    <n v="155"/>
    <n v="873"/>
    <n v="873"/>
    <x v="0"/>
    <s v="KBC"/>
    <x v="1"/>
    <x v="0"/>
    <d v="2015-06-30T00:00:00"/>
    <s v="OXFAM"/>
    <d v="2015-06-30T00:00:00"/>
    <s v="Focal NGO"/>
    <x v="0"/>
    <n v="0"/>
    <n v="15714"/>
    <s v="Yes"/>
    <n v="0"/>
    <n v="0"/>
    <n v="17062"/>
    <n v="0"/>
    <n v="0"/>
    <n v="1"/>
    <n v="873"/>
    <n v="1"/>
    <n v="873"/>
    <n v="1"/>
    <n v="873"/>
    <x v="0"/>
    <n v="0"/>
    <n v="0"/>
    <n v="2.1825000000000001"/>
    <n v="0"/>
    <n v="0"/>
    <n v="1"/>
    <n v="873"/>
    <s v="Currently, according to water frozen KBC and Oxfam distributed a drinking water distribution, it was started in february 15."/>
    <n v="42"/>
    <n v="44"/>
    <n v="0"/>
    <x v="0"/>
    <n v="1"/>
    <n v="873"/>
    <n v="1"/>
    <n v="873"/>
    <n v="0"/>
    <n v="0"/>
    <n v="0"/>
    <n v="1"/>
    <n v="873"/>
    <n v="43.65"/>
    <n v="4"/>
    <x v="1"/>
    <n v="0.45819014891179838"/>
    <n v="400"/>
    <n v="4.7300000000000004"/>
    <n v="0.5"/>
    <n v="436.5"/>
    <n v="10"/>
    <n v="1"/>
    <n v="0"/>
    <n v="1"/>
    <s v="These IDPs from NGCA didn't need more Semi - permanent construction because of IDPs have sufficient HH latrines at each HH level. Semi-permanent isn't appropriate construciton due to Rocky land and logistic issue in this IDPs camp. "/>
    <d v="2015-02-18T00:00:00"/>
    <d v="2016-02-18T00:00:00"/>
    <n v="155"/>
    <n v="3"/>
    <n v="0"/>
    <n v="1"/>
    <n v="873"/>
    <x v="0"/>
    <m/>
    <n v="1"/>
    <n v="873"/>
    <n v="3"/>
    <s v="Excellent coverage"/>
    <n v="0"/>
    <x v="1"/>
    <m/>
  </r>
  <r>
    <x v="0"/>
    <s v="MMR001CMP195"/>
    <x v="0"/>
    <x v="2"/>
    <s v="NA"/>
    <s v="NA"/>
    <x v="0"/>
    <x v="0"/>
    <n v="143"/>
    <n v="631"/>
    <n v="631"/>
    <x v="0"/>
    <s v="Shalom"/>
    <x v="0"/>
    <x v="0"/>
    <d v="2015-05-31T00:00:00"/>
    <m/>
    <m/>
    <s v="Focal NGO"/>
    <x v="0"/>
    <n v="0"/>
    <n v="0"/>
    <s v="No"/>
    <n v="0"/>
    <n v="0"/>
    <n v="12760"/>
    <n v="0"/>
    <n v="0"/>
    <n v="1"/>
    <n v="631"/>
    <n v="1"/>
    <n v="631"/>
    <n v="1"/>
    <n v="631"/>
    <x v="0"/>
    <n v="0"/>
    <n v="0"/>
    <n v="1.5774999999999999"/>
    <n v="0"/>
    <n v="0"/>
    <n v="1"/>
    <n v="631"/>
    <m/>
    <n v="5"/>
    <n v="5"/>
    <n v="23"/>
    <x v="0"/>
    <n v="0.88748019017432644"/>
    <n v="560"/>
    <n v="0.15847860538827252"/>
    <n v="99.999999999999957"/>
    <n v="0.72900158478605392"/>
    <n v="460"/>
    <n v="0"/>
    <n v="0.89"/>
    <n v="561.59"/>
    <n v="8.5500000000000007"/>
    <n v="7"/>
    <x v="0"/>
    <n v="1"/>
    <n v="631"/>
    <n v="0"/>
    <n v="1"/>
    <n v="631"/>
    <n v="5"/>
    <n v="0.79239302694136293"/>
    <n v="1.3099999999999996"/>
    <n v="0.79"/>
    <m/>
    <d v="2015-02-13T00:00:00"/>
    <d v="2016-02-13T00:00:00"/>
    <n v="137"/>
    <n v="3"/>
    <n v="6"/>
    <n v="0.95804195804195802"/>
    <n v="604.52447552447552"/>
    <x v="0"/>
    <m/>
    <n v="1"/>
    <n v="631"/>
    <n v="2"/>
    <s v="Excellent coverage"/>
    <n v="0"/>
    <x v="0"/>
    <m/>
  </r>
  <r>
    <x v="0"/>
    <s v="MMR001CMP210"/>
    <x v="0"/>
    <x v="3"/>
    <n v="98.376824999999997"/>
    <n v="25.598251999999999"/>
    <x v="0"/>
    <x v="0"/>
    <n v="68"/>
    <n v="323"/>
    <n v="323"/>
    <x v="0"/>
    <s v="KMSS"/>
    <x v="2"/>
    <x v="0"/>
    <d v="2015-12-31T00:00:00"/>
    <m/>
    <m/>
    <s v="Focal NGO"/>
    <x v="0"/>
    <n v="0"/>
    <n v="0"/>
    <s v="No"/>
    <n v="0"/>
    <n v="0"/>
    <n v="20250"/>
    <n v="0"/>
    <n v="1"/>
    <n v="1"/>
    <n v="323"/>
    <n v="1"/>
    <n v="323"/>
    <n v="1"/>
    <n v="323"/>
    <x v="0"/>
    <n v="0"/>
    <n v="0"/>
    <n v="0.8075"/>
    <n v="68"/>
    <n v="0"/>
    <n v="1"/>
    <n v="323"/>
    <s v="68 chinese water filter distrubuted in 2014"/>
    <n v="8"/>
    <n v="0"/>
    <n v="16"/>
    <x v="1"/>
    <n v="0.99071207430340558"/>
    <n v="320"/>
    <n v="0"/>
    <n v="0"/>
    <n v="0.99071207430340558"/>
    <n v="320"/>
    <n v="0"/>
    <n v="0.99"/>
    <n v="319.77"/>
    <n v="0.14999999999999858"/>
    <n v="2"/>
    <x v="0"/>
    <n v="0.61919504643962853"/>
    <n v="200"/>
    <n v="1.23"/>
    <n v="0.62"/>
    <n v="200.26"/>
    <n v="2"/>
    <n v="0.61919504643962853"/>
    <n v="1.23"/>
    <n v="0.62"/>
    <s v="due to lack of running cost, the HWS facilities have not functioing, hard to construct SPL bcoz of materials not easily availiable"/>
    <d v="2014-05-21T00:00:00"/>
    <s v="To be realised"/>
    <n v="94"/>
    <n v="10"/>
    <n v="68"/>
    <n v="0"/>
    <n v="0"/>
    <x v="1"/>
    <m/>
    <n v="0"/>
    <n v="0"/>
    <n v="0"/>
    <s v="No coverage"/>
    <n v="0"/>
    <x v="1"/>
    <m/>
  </r>
  <r>
    <x v="1"/>
    <s v="MMR001CMP179"/>
    <x v="1"/>
    <x v="4"/>
    <n v="96.355270000000004"/>
    <n v="25.656130000000001"/>
    <x v="0"/>
    <x v="0"/>
    <n v="77"/>
    <n v="360"/>
    <n v="360"/>
    <x v="0"/>
    <s v="Shalom"/>
    <x v="0"/>
    <x v="0"/>
    <s v="Gap"/>
    <m/>
    <m/>
    <s v="Focal NGO"/>
    <x v="0"/>
    <n v="0"/>
    <n v="0"/>
    <s v="No"/>
    <n v="3"/>
    <n v="0"/>
    <n v="6000"/>
    <n v="0"/>
    <n v="0"/>
    <n v="1"/>
    <n v="360"/>
    <n v="1"/>
    <n v="360"/>
    <n v="1"/>
    <n v="360"/>
    <x v="0"/>
    <n v="0"/>
    <n v="0"/>
    <n v="0"/>
    <n v="0"/>
    <n v="0"/>
    <n v="1"/>
    <n v="360"/>
    <m/>
    <n v="8"/>
    <n v="0"/>
    <n v="5"/>
    <x v="2"/>
    <n v="0.27777777777777779"/>
    <n v="100"/>
    <n v="0"/>
    <n v="0"/>
    <n v="0.27777777777777779"/>
    <n v="100"/>
    <n v="0"/>
    <n v="0.28000000000000003"/>
    <n v="100.80000000000001"/>
    <n v="13"/>
    <n v="2"/>
    <x v="2"/>
    <n v="0.55555555555555558"/>
    <n v="200"/>
    <n v="1.6"/>
    <n v="0.56000000000000005"/>
    <n v="201.60000000000002"/>
    <n v="6"/>
    <n v="1"/>
    <n v="0"/>
    <n v="1"/>
    <s v="no spaces to construct more latrines and bathing spaces/ now church committee let them to use only in 5 latrines, if they wish, they can go to the church student hostel latrine/ /they have a plan to shilft to the Lal Pyin Qtr of Hpakant,"/>
    <d v="2014-02-25T00:00:00"/>
    <s v="To be realised"/>
    <n v="77"/>
    <n v="10"/>
    <n v="77"/>
    <n v="0"/>
    <n v="0"/>
    <x v="2"/>
    <s v="project gap"/>
    <n v="0"/>
    <n v="0"/>
    <n v="2"/>
    <s v="Excellent coverage"/>
    <n v="0"/>
    <x v="0"/>
    <m/>
  </r>
  <r>
    <x v="1"/>
    <s v="MMR001CMP168"/>
    <x v="1"/>
    <x v="5"/>
    <n v="96.353070000000002"/>
    <n v="25.655819999999999"/>
    <x v="0"/>
    <x v="0"/>
    <n v="83"/>
    <n v="425"/>
    <n v="425"/>
    <x v="0"/>
    <s v="KMSS"/>
    <x v="2"/>
    <x v="0"/>
    <d v="2015-12-31T00:00:00"/>
    <m/>
    <m/>
    <s v="Focal NGO"/>
    <x v="0"/>
    <n v="0"/>
    <n v="0"/>
    <s v="No"/>
    <n v="2"/>
    <n v="0"/>
    <n v="3000"/>
    <n v="0"/>
    <n v="0"/>
    <n v="1"/>
    <n v="425"/>
    <n v="1"/>
    <n v="425"/>
    <n v="1"/>
    <n v="425"/>
    <x v="0"/>
    <n v="0"/>
    <n v="0"/>
    <n v="0"/>
    <n v="0"/>
    <n v="0"/>
    <n v="1"/>
    <n v="425"/>
    <m/>
    <n v="10"/>
    <n v="0"/>
    <n v="19"/>
    <x v="1"/>
    <n v="0.89411764705882357"/>
    <n v="380"/>
    <n v="0"/>
    <n v="0"/>
    <n v="0.89411764705882357"/>
    <n v="380"/>
    <n v="0"/>
    <n v="0.89"/>
    <n v="378.25"/>
    <n v="2.25"/>
    <n v="2"/>
    <x v="1"/>
    <n v="0.47058823529411764"/>
    <n v="200"/>
    <n v="2.25"/>
    <n v="0.48"/>
    <n v="204"/>
    <n v="2"/>
    <n v="0.47058823529411764"/>
    <n v="2.25"/>
    <n v="0.48"/>
    <s v="land spaces are limited, due to lack of running cost, the HWS facilities have not functioing,  if repair  and dig pit. 2-3 latrines can be used, "/>
    <d v="2014-06-27T00:00:00"/>
    <d v="2015-06-27T00:00:00"/>
    <n v="83"/>
    <n v="2"/>
    <n v="0"/>
    <n v="1"/>
    <n v="425"/>
    <x v="3"/>
    <m/>
    <n v="0"/>
    <n v="0"/>
    <n v="0"/>
    <s v="No coverage"/>
    <n v="0"/>
    <x v="1"/>
    <m/>
  </r>
  <r>
    <x v="1"/>
    <s v="MMR001CMP176"/>
    <x v="1"/>
    <x v="6"/>
    <n v="96.345569999999995"/>
    <n v="25.635300000000001"/>
    <x v="0"/>
    <x v="0"/>
    <n v="67"/>
    <n v="338"/>
    <n v="338"/>
    <x v="0"/>
    <s v="Shalom"/>
    <x v="0"/>
    <x v="0"/>
    <s v="Gap"/>
    <m/>
    <m/>
    <s v="Focal NGO"/>
    <x v="0"/>
    <n v="0"/>
    <n v="0"/>
    <s v="No"/>
    <n v="1"/>
    <n v="0"/>
    <n v="0"/>
    <n v="0"/>
    <n v="0"/>
    <n v="1"/>
    <n v="338"/>
    <n v="1"/>
    <n v="338"/>
    <n v="1"/>
    <n v="338"/>
    <x v="0"/>
    <n v="0"/>
    <n v="0"/>
    <n v="0"/>
    <n v="0"/>
    <n v="0"/>
    <n v="1"/>
    <n v="338"/>
    <m/>
    <n v="6"/>
    <n v="0"/>
    <n v="15"/>
    <x v="2"/>
    <n v="0.8875739644970414"/>
    <n v="300"/>
    <n v="0"/>
    <n v="0"/>
    <n v="0.8875739644970414"/>
    <n v="300"/>
    <n v="0"/>
    <n v="0.89"/>
    <n v="300.82"/>
    <n v="1.8999999999999986"/>
    <n v="2"/>
    <x v="0"/>
    <n v="0.59171597633136097"/>
    <n v="200"/>
    <n v="1.38"/>
    <n v="0.59"/>
    <n v="199.42"/>
    <n v="3"/>
    <n v="0.8875739644970414"/>
    <n v="0.37999999999999989"/>
    <n v="0.89"/>
    <m/>
    <d v="2014-02-25T00:00:00"/>
    <s v="To be realised"/>
    <n v="67"/>
    <n v="10"/>
    <n v="67"/>
    <n v="0"/>
    <n v="0"/>
    <x v="2"/>
    <s v="project gap"/>
    <n v="0"/>
    <n v="0"/>
    <n v="2"/>
    <s v="Excellent coverage"/>
    <n v="0"/>
    <x v="0"/>
    <m/>
  </r>
  <r>
    <x v="1"/>
    <s v="MMR001CMP190"/>
    <x v="1"/>
    <x v="7"/>
    <n v="96.317350000000005"/>
    <n v="25.616509000000001"/>
    <x v="0"/>
    <x v="0"/>
    <n v="14"/>
    <n v="80"/>
    <n v="80"/>
    <x v="1"/>
    <s v="Shalom"/>
    <x v="0"/>
    <x v="0"/>
    <s v="Gap"/>
    <m/>
    <m/>
    <s v="Focal NGO"/>
    <x v="0"/>
    <n v="0"/>
    <n v="0"/>
    <s v="No"/>
    <n v="1"/>
    <n v="0"/>
    <n v="0"/>
    <n v="0"/>
    <n v="0"/>
    <n v="1"/>
    <n v="80"/>
    <n v="1"/>
    <n v="80"/>
    <n v="1"/>
    <n v="80"/>
    <x v="0"/>
    <n v="0"/>
    <n v="0"/>
    <n v="0"/>
    <n v="0"/>
    <n v="0"/>
    <n v="1"/>
    <n v="80"/>
    <m/>
    <n v="0"/>
    <n v="0"/>
    <n v="4"/>
    <x v="2"/>
    <n v="1"/>
    <n v="80"/>
    <n v="0"/>
    <n v="0"/>
    <n v="1"/>
    <n v="80"/>
    <n v="0"/>
    <n v="1"/>
    <n v="80"/>
    <n v="0"/>
    <n v="2"/>
    <x v="2"/>
    <n v="1"/>
    <n v="80"/>
    <n v="0"/>
    <n v="1"/>
    <n v="80"/>
    <n v="3"/>
    <n v="1"/>
    <n v="0"/>
    <n v="1"/>
    <m/>
    <d v="2014-02-25T00:00:00"/>
    <s v="To be realised"/>
    <n v="14"/>
    <n v="10"/>
    <n v="14"/>
    <n v="0"/>
    <n v="0"/>
    <x v="2"/>
    <s v="project gap"/>
    <n v="0"/>
    <n v="0"/>
    <n v="1"/>
    <s v="Excellent coverage"/>
    <n v="0"/>
    <x v="0"/>
    <m/>
  </r>
  <r>
    <x v="1"/>
    <s v="MMR001CMP169"/>
    <x v="1"/>
    <x v="8"/>
    <n v="96.346469999999997"/>
    <n v="25.647649999999999"/>
    <x v="0"/>
    <x v="0"/>
    <n v="35"/>
    <n v="218"/>
    <n v="218"/>
    <x v="1"/>
    <s v="Shalom"/>
    <x v="0"/>
    <x v="0"/>
    <s v="Gap"/>
    <m/>
    <m/>
    <s v="Focal NGO"/>
    <x v="0"/>
    <n v="0"/>
    <n v="0"/>
    <s v="No"/>
    <n v="2"/>
    <n v="0"/>
    <n v="0"/>
    <n v="0"/>
    <n v="0"/>
    <n v="1"/>
    <n v="218"/>
    <n v="1"/>
    <n v="218"/>
    <n v="1"/>
    <n v="218"/>
    <x v="0"/>
    <n v="0"/>
    <n v="0"/>
    <n v="0"/>
    <n v="0"/>
    <n v="0"/>
    <n v="1"/>
    <n v="218"/>
    <m/>
    <n v="10"/>
    <n v="0"/>
    <n v="10"/>
    <x v="1"/>
    <n v="0.91743119266055051"/>
    <n v="200"/>
    <n v="0"/>
    <n v="0"/>
    <n v="0.91743119266055051"/>
    <n v="200"/>
    <n v="0"/>
    <n v="0.92"/>
    <n v="200.56"/>
    <n v="0.90000000000000036"/>
    <n v="2"/>
    <x v="0"/>
    <n v="0.91743119266055051"/>
    <n v="200"/>
    <n v="0.18000000000000016"/>
    <n v="0.92"/>
    <n v="200.56"/>
    <n v="4"/>
    <n v="1"/>
    <n v="0"/>
    <n v="1"/>
    <m/>
    <d v="2014-02-25T00:00:00"/>
    <s v="To be realised"/>
    <n v="35"/>
    <n v="10"/>
    <n v="35"/>
    <n v="0"/>
    <n v="0"/>
    <x v="2"/>
    <s v="project gap"/>
    <n v="0"/>
    <n v="0"/>
    <n v="2"/>
    <s v="Excellent coverage"/>
    <n v="0"/>
    <x v="0"/>
    <m/>
  </r>
  <r>
    <x v="1"/>
    <s v="MMR001CMP188"/>
    <x v="1"/>
    <x v="9"/>
    <n v="96.673805000000002"/>
    <n v="25.728653000000001"/>
    <x v="0"/>
    <x v="0"/>
    <n v="15"/>
    <n v="77"/>
    <n v="77"/>
    <x v="1"/>
    <s v="Shalom"/>
    <x v="0"/>
    <x v="0"/>
    <s v="Gap"/>
    <m/>
    <m/>
    <s v="Focal NGO"/>
    <x v="0"/>
    <n v="0"/>
    <n v="0"/>
    <s v="No"/>
    <n v="1"/>
    <n v="1"/>
    <n v="0"/>
    <n v="0"/>
    <n v="0"/>
    <n v="1"/>
    <n v="77"/>
    <n v="1"/>
    <n v="77"/>
    <n v="1"/>
    <n v="77"/>
    <x v="0"/>
    <n v="0"/>
    <n v="0"/>
    <n v="0"/>
    <n v="0"/>
    <n v="0"/>
    <n v="1"/>
    <n v="77"/>
    <s v="1 tube well is not functioning"/>
    <n v="4"/>
    <n v="2"/>
    <n v="2"/>
    <x v="0"/>
    <n v="1"/>
    <n v="77"/>
    <n v="0.48051948051948057"/>
    <n v="37.000000000000007"/>
    <n v="0.51948051948051943"/>
    <n v="39.999999999999993"/>
    <n v="0"/>
    <n v="1"/>
    <n v="77"/>
    <n v="1.85"/>
    <n v="2"/>
    <x v="0"/>
    <n v="1"/>
    <n v="77"/>
    <n v="0"/>
    <n v="1"/>
    <n v="77"/>
    <n v="3"/>
    <n v="1"/>
    <n v="0"/>
    <n v="1"/>
    <m/>
    <d v="2013-07-14T00:00:00"/>
    <s v="To be realised"/>
    <n v="15"/>
    <n v="10"/>
    <n v="15"/>
    <n v="0"/>
    <n v="0"/>
    <x v="4"/>
    <m/>
    <n v="0"/>
    <n v="0"/>
    <n v="2"/>
    <s v="Excellent coverage"/>
    <n v="0"/>
    <x v="0"/>
    <m/>
  </r>
  <r>
    <x v="1"/>
    <s v="MMR001CMP172"/>
    <x v="1"/>
    <x v="10"/>
    <n v="96.353070000000002"/>
    <n v="25.668469999999999"/>
    <x v="0"/>
    <x v="0"/>
    <n v="1"/>
    <n v="4"/>
    <n v="4"/>
    <x v="1"/>
    <s v="Shalom"/>
    <x v="0"/>
    <x v="0"/>
    <s v="Gap"/>
    <m/>
    <m/>
    <s v="Focal NGO"/>
    <x v="0"/>
    <n v="0"/>
    <n v="0"/>
    <s v="No"/>
    <n v="1"/>
    <n v="0"/>
    <n v="0"/>
    <n v="0"/>
    <n v="0"/>
    <n v="1"/>
    <n v="4"/>
    <n v="1"/>
    <n v="4"/>
    <n v="1"/>
    <n v="4"/>
    <x v="0"/>
    <n v="0"/>
    <n v="0"/>
    <n v="0"/>
    <n v="0"/>
    <n v="0"/>
    <n v="1"/>
    <n v="4"/>
    <m/>
    <n v="2"/>
    <n v="3"/>
    <n v="0"/>
    <x v="2"/>
    <n v="1"/>
    <n v="4"/>
    <n v="1"/>
    <n v="4"/>
    <n v="0"/>
    <n v="0"/>
    <n v="0"/>
    <n v="1"/>
    <n v="4"/>
    <n v="0.2"/>
    <n v="1"/>
    <x v="1"/>
    <n v="1"/>
    <n v="4"/>
    <n v="0"/>
    <n v="1"/>
    <n v="4"/>
    <n v="3"/>
    <n v="1"/>
    <n v="0"/>
    <n v="1"/>
    <s v="small HH, wash their hand on the bathing space"/>
    <d v="2014-02-25T00:00:00"/>
    <s v="To be realised"/>
    <n v="1"/>
    <n v="10"/>
    <n v="1"/>
    <n v="0"/>
    <n v="0"/>
    <x v="2"/>
    <s v="project gap"/>
    <n v="1"/>
    <n v="4"/>
    <n v="0"/>
    <s v="No coverage"/>
    <n v="0"/>
    <x v="2"/>
    <s v="small HH"/>
  </r>
  <r>
    <x v="1"/>
    <s v="MMR001CMP109"/>
    <x v="1"/>
    <x v="11"/>
    <n v="96.283377000000002"/>
    <n v="25.582065"/>
    <x v="0"/>
    <x v="0"/>
    <n v="6"/>
    <n v="25"/>
    <n v="25"/>
    <x v="1"/>
    <s v="Shalom"/>
    <x v="0"/>
    <x v="0"/>
    <s v="Gap"/>
    <m/>
    <m/>
    <s v="Focal NGO"/>
    <x v="0"/>
    <n v="0"/>
    <n v="0"/>
    <s v="No"/>
    <n v="0"/>
    <n v="0"/>
    <n v="2000"/>
    <n v="0"/>
    <n v="0"/>
    <n v="1"/>
    <n v="25"/>
    <n v="1"/>
    <n v="25"/>
    <n v="1"/>
    <n v="25"/>
    <x v="0"/>
    <n v="0"/>
    <n v="0"/>
    <n v="6.25E-2"/>
    <n v="0"/>
    <n v="0"/>
    <n v="1"/>
    <n v="25"/>
    <s v="IDPs can fetach a water from 1 well that situated outside of a camp"/>
    <n v="0"/>
    <n v="0"/>
    <n v="2"/>
    <x v="2"/>
    <n v="1"/>
    <n v="25"/>
    <n v="0"/>
    <n v="0"/>
    <n v="1"/>
    <n v="25"/>
    <n v="0"/>
    <n v="1"/>
    <n v="25"/>
    <n v="0"/>
    <n v="1"/>
    <x v="1"/>
    <n v="1"/>
    <n v="25"/>
    <n v="0"/>
    <n v="1"/>
    <n v="25"/>
    <n v="1"/>
    <n v="1"/>
    <n v="0"/>
    <n v="1"/>
    <m/>
    <d v="2014-02-25T00:00:00"/>
    <s v="To be realised"/>
    <n v="6"/>
    <n v="10"/>
    <n v="6"/>
    <n v="0"/>
    <n v="0"/>
    <x v="2"/>
    <s v="project gap"/>
    <n v="0"/>
    <n v="0"/>
    <n v="1"/>
    <s v="Excellent coverage"/>
    <n v="0"/>
    <x v="0"/>
    <m/>
  </r>
  <r>
    <x v="1"/>
    <s v="MMR001CMP174"/>
    <x v="1"/>
    <x v="12"/>
    <n v="96.354929999999996"/>
    <n v="25.643090000000001"/>
    <x v="0"/>
    <x v="0"/>
    <n v="65"/>
    <n v="335"/>
    <n v="335"/>
    <x v="0"/>
    <s v="Shalom"/>
    <x v="0"/>
    <x v="0"/>
    <s v="Gap"/>
    <m/>
    <m/>
    <s v="Focal NGO"/>
    <x v="0"/>
    <n v="0"/>
    <n v="0"/>
    <s v="No"/>
    <n v="1"/>
    <n v="0"/>
    <n v="3000"/>
    <n v="0"/>
    <n v="0"/>
    <n v="1"/>
    <n v="335"/>
    <n v="1"/>
    <n v="335"/>
    <n v="1"/>
    <n v="335"/>
    <x v="0"/>
    <n v="0"/>
    <n v="0"/>
    <n v="0"/>
    <n v="0"/>
    <n v="0"/>
    <n v="1"/>
    <n v="335"/>
    <m/>
    <n v="10"/>
    <n v="0"/>
    <n v="17"/>
    <x v="0"/>
    <n v="1"/>
    <n v="335"/>
    <n v="0"/>
    <n v="0"/>
    <n v="1"/>
    <n v="335"/>
    <n v="0"/>
    <n v="1"/>
    <n v="335"/>
    <n v="0"/>
    <n v="3"/>
    <x v="0"/>
    <n v="0.89552238805970152"/>
    <n v="300"/>
    <n v="0.35000000000000009"/>
    <n v="0.9"/>
    <n v="301.5"/>
    <n v="4"/>
    <n v="1"/>
    <n v="0"/>
    <n v="1"/>
    <s v="Not have enough space to construct more bathing spaces "/>
    <d v="2014-02-25T00:00:00"/>
    <s v="To be realised"/>
    <n v="65"/>
    <n v="10"/>
    <n v="65"/>
    <n v="0"/>
    <n v="0"/>
    <x v="2"/>
    <s v="project gap"/>
    <n v="0"/>
    <n v="0"/>
    <n v="2"/>
    <s v="Excellent coverage"/>
    <n v="0"/>
    <x v="0"/>
    <m/>
  </r>
  <r>
    <x v="1"/>
    <s v="MMR001CMP148"/>
    <x v="1"/>
    <x v="13"/>
    <n v="96.705960000000005"/>
    <n v="25.51352"/>
    <x v="0"/>
    <x v="0"/>
    <n v="16"/>
    <n v="60"/>
    <n v="60"/>
    <x v="1"/>
    <s v="KBC"/>
    <x v="1"/>
    <x v="0"/>
    <d v="2015-06-30T00:00:00"/>
    <s v="OXFAM"/>
    <d v="2015-06-30T00:00:00"/>
    <s v="Focal NGO"/>
    <x v="0"/>
    <n v="0"/>
    <n v="0"/>
    <s v="No"/>
    <n v="0"/>
    <n v="2"/>
    <n v="0"/>
    <n v="0"/>
    <n v="1"/>
    <n v="1"/>
    <n v="60"/>
    <n v="1"/>
    <n v="60"/>
    <n v="1"/>
    <n v="60"/>
    <x v="0"/>
    <n v="0"/>
    <n v="0"/>
    <n v="0"/>
    <n v="16"/>
    <n v="0"/>
    <n v="1"/>
    <n v="60"/>
    <m/>
    <n v="0"/>
    <n v="3"/>
    <n v="7"/>
    <x v="0"/>
    <n v="1"/>
    <n v="60"/>
    <n v="0"/>
    <n v="0"/>
    <n v="1"/>
    <n v="60"/>
    <n v="0"/>
    <n v="1"/>
    <n v="60"/>
    <n v="0"/>
    <n v="2"/>
    <x v="0"/>
    <n v="1"/>
    <n v="60"/>
    <n v="0"/>
    <n v="1"/>
    <n v="60"/>
    <n v="2"/>
    <n v="1"/>
    <n v="0"/>
    <n v="1"/>
    <m/>
    <d v="2015-02-18T00:00:00"/>
    <d v="2016-02-18T00:00:00"/>
    <n v="16"/>
    <n v="3"/>
    <n v="0"/>
    <n v="1"/>
    <n v="60"/>
    <x v="0"/>
    <m/>
    <n v="0"/>
    <n v="0"/>
    <n v="1"/>
    <s v="Excellent coverage"/>
    <n v="0"/>
    <x v="1"/>
    <m/>
  </r>
  <r>
    <x v="1"/>
    <s v="MMR001CMP191"/>
    <x v="1"/>
    <x v="14"/>
    <n v="96.316564"/>
    <n v="25.615960999999999"/>
    <x v="0"/>
    <x v="0"/>
    <n v="13"/>
    <n v="75"/>
    <n v="75"/>
    <x v="1"/>
    <s v="Shalom"/>
    <x v="0"/>
    <x v="0"/>
    <s v="Gap"/>
    <m/>
    <m/>
    <s v="Focal NGO"/>
    <x v="0"/>
    <n v="0"/>
    <n v="0"/>
    <s v="No"/>
    <n v="1"/>
    <n v="0"/>
    <n v="0"/>
    <n v="0"/>
    <n v="0"/>
    <n v="1"/>
    <n v="75"/>
    <n v="1"/>
    <n v="75"/>
    <n v="1"/>
    <n v="75"/>
    <x v="0"/>
    <n v="0"/>
    <n v="0"/>
    <n v="0"/>
    <n v="0"/>
    <n v="0"/>
    <n v="1"/>
    <n v="75"/>
    <m/>
    <n v="0"/>
    <n v="0"/>
    <n v="5"/>
    <x v="2"/>
    <n v="1"/>
    <n v="75"/>
    <n v="0"/>
    <n v="0"/>
    <n v="1"/>
    <n v="75"/>
    <n v="0"/>
    <n v="1"/>
    <n v="75"/>
    <n v="0"/>
    <n v="1"/>
    <x v="0"/>
    <n v="1"/>
    <n v="75"/>
    <n v="0"/>
    <n v="1"/>
    <n v="75"/>
    <n v="1"/>
    <n v="1"/>
    <n v="0"/>
    <n v="1"/>
    <m/>
    <d v="2014-02-25T00:00:00"/>
    <s v="To be realised"/>
    <n v="13"/>
    <n v="10"/>
    <n v="13"/>
    <n v="0"/>
    <n v="0"/>
    <x v="2"/>
    <s v="project gap"/>
    <n v="0"/>
    <n v="0"/>
    <n v="1"/>
    <s v="Excellent coverage"/>
    <n v="0"/>
    <x v="0"/>
    <m/>
  </r>
  <r>
    <x v="1"/>
    <s v="MMR001CMP229"/>
    <x v="1"/>
    <x v="15"/>
    <n v="96.312790000000007"/>
    <n v="25.611160000000002"/>
    <x v="0"/>
    <x v="0"/>
    <n v="118"/>
    <n v="519"/>
    <n v="519"/>
    <x v="0"/>
    <s v="Shalom"/>
    <x v="0"/>
    <x v="0"/>
    <s v="Gap"/>
    <m/>
    <m/>
    <s v="Focal NGO"/>
    <x v="0"/>
    <n v="0"/>
    <n v="0"/>
    <s v="No"/>
    <n v="1"/>
    <n v="0"/>
    <n v="3320"/>
    <n v="0"/>
    <n v="0"/>
    <n v="1"/>
    <n v="519"/>
    <n v="1"/>
    <n v="519"/>
    <n v="1"/>
    <n v="519"/>
    <x v="0"/>
    <n v="0"/>
    <n v="0"/>
    <n v="0.2975000000000001"/>
    <n v="0"/>
    <n v="0"/>
    <n v="1"/>
    <n v="519"/>
    <m/>
    <n v="20"/>
    <n v="0"/>
    <n v="16"/>
    <x v="1"/>
    <n v="0.61657032755298646"/>
    <n v="320"/>
    <n v="0"/>
    <n v="0"/>
    <n v="0.61657032755298646"/>
    <n v="320"/>
    <n v="0"/>
    <n v="0.62"/>
    <n v="321.77999999999997"/>
    <n v="9.9499999999999993"/>
    <n v="3"/>
    <x v="2"/>
    <n v="0.5780346820809249"/>
    <n v="300"/>
    <n v="2.1900000000000004"/>
    <n v="0.57999999999999996"/>
    <n v="301.02"/>
    <n v="3"/>
    <n v="0.5780346820809249"/>
    <n v="2.1900000000000004"/>
    <n v="1"/>
    <m/>
    <d v="2014-02-25T00:00:00"/>
    <s v="To be realised"/>
    <n v="118"/>
    <n v="10"/>
    <n v="118"/>
    <n v="0"/>
    <n v="0"/>
    <x v="2"/>
    <s v="project gap"/>
    <n v="0"/>
    <n v="0"/>
    <n v="2"/>
    <s v="Excellent coverage"/>
    <n v="0"/>
    <x v="0"/>
    <m/>
  </r>
  <r>
    <x v="1"/>
    <s v="MMR001CMP181"/>
    <x v="1"/>
    <x v="16"/>
    <n v="96.269199999999998"/>
    <n v="25.566510000000001"/>
    <x v="0"/>
    <x v="0"/>
    <n v="26"/>
    <n v="137"/>
    <n v="137"/>
    <x v="1"/>
    <s v="Shalom"/>
    <x v="0"/>
    <x v="0"/>
    <s v="Gap"/>
    <m/>
    <m/>
    <s v="Focal NGO"/>
    <x v="0"/>
    <n v="0"/>
    <n v="0"/>
    <s v="No"/>
    <n v="1"/>
    <n v="0"/>
    <n v="3000"/>
    <n v="0"/>
    <n v="0"/>
    <n v="1"/>
    <n v="137"/>
    <n v="1"/>
    <n v="137"/>
    <n v="1"/>
    <n v="137"/>
    <x v="0"/>
    <n v="0"/>
    <n v="0"/>
    <n v="0"/>
    <n v="0"/>
    <n v="0"/>
    <n v="1"/>
    <n v="137"/>
    <m/>
    <n v="2"/>
    <n v="2"/>
    <n v="6"/>
    <x v="2"/>
    <n v="1"/>
    <n v="137"/>
    <n v="0.12408759124087587"/>
    <n v="16.999999999999993"/>
    <n v="0.87591240875912413"/>
    <n v="120"/>
    <n v="0"/>
    <n v="1"/>
    <n v="137"/>
    <n v="0.84999999999999964"/>
    <n v="2"/>
    <x v="2"/>
    <n v="1"/>
    <n v="137"/>
    <n v="0"/>
    <n v="1"/>
    <n v="137"/>
    <n v="2"/>
    <n v="1"/>
    <n v="0"/>
    <n v="1"/>
    <m/>
    <d v="2014-02-25T00:00:00"/>
    <s v="To be realised"/>
    <n v="26"/>
    <n v="10"/>
    <n v="26"/>
    <n v="0"/>
    <n v="0"/>
    <x v="2"/>
    <s v="project gap"/>
    <n v="0"/>
    <n v="0"/>
    <n v="2"/>
    <s v="Excellent coverage"/>
    <n v="0"/>
    <x v="0"/>
    <m/>
  </r>
  <r>
    <x v="1"/>
    <s v="MMR001CMP167"/>
    <x v="1"/>
    <x v="17"/>
    <n v="96.316400000000002"/>
    <n v="25.61842"/>
    <x v="0"/>
    <x v="0"/>
    <n v="15"/>
    <n v="71"/>
    <n v="71"/>
    <x v="1"/>
    <s v="Shalom"/>
    <x v="0"/>
    <x v="0"/>
    <s v="Gap"/>
    <m/>
    <m/>
    <s v="Focal NGO"/>
    <x v="0"/>
    <n v="0"/>
    <n v="0"/>
    <s v="No"/>
    <n v="1"/>
    <n v="0"/>
    <n v="2000"/>
    <n v="0"/>
    <n v="0"/>
    <n v="1"/>
    <n v="71"/>
    <n v="1"/>
    <n v="71"/>
    <n v="1"/>
    <n v="71"/>
    <x v="0"/>
    <n v="0"/>
    <n v="0"/>
    <n v="0"/>
    <n v="0"/>
    <n v="0"/>
    <n v="1"/>
    <n v="71"/>
    <m/>
    <n v="0"/>
    <n v="1"/>
    <n v="4"/>
    <x v="2"/>
    <n v="1"/>
    <n v="71"/>
    <n v="0"/>
    <n v="0"/>
    <n v="1"/>
    <n v="71"/>
    <n v="0"/>
    <n v="1"/>
    <n v="71"/>
    <n v="0"/>
    <n v="2"/>
    <x v="1"/>
    <n v="1"/>
    <n v="71"/>
    <n v="0"/>
    <n v="1"/>
    <n v="71"/>
    <n v="1"/>
    <n v="1"/>
    <n v="0"/>
    <n v="1"/>
    <m/>
    <d v="2014-02-25T00:00:00"/>
    <s v="To be realised"/>
    <n v="15"/>
    <n v="10"/>
    <n v="15"/>
    <n v="0"/>
    <n v="0"/>
    <x v="2"/>
    <s v="project gap"/>
    <n v="0"/>
    <n v="0"/>
    <n v="1"/>
    <s v="Excellent coverage"/>
    <n v="0"/>
    <x v="0"/>
    <m/>
  </r>
  <r>
    <x v="1"/>
    <s v="MMR001CMP091"/>
    <x v="1"/>
    <x v="18"/>
    <n v="96.319687999999999"/>
    <n v="25.615202"/>
    <x v="0"/>
    <x v="0"/>
    <n v="5"/>
    <n v="25"/>
    <n v="25"/>
    <x v="1"/>
    <s v="Shalom"/>
    <x v="0"/>
    <x v="0"/>
    <s v="Gap"/>
    <m/>
    <m/>
    <s v="Focal NGO"/>
    <x v="0"/>
    <n v="0"/>
    <n v="0"/>
    <s v="No"/>
    <n v="1"/>
    <n v="0"/>
    <n v="6000"/>
    <n v="0"/>
    <n v="0"/>
    <n v="1"/>
    <n v="25"/>
    <n v="1"/>
    <n v="25"/>
    <n v="1"/>
    <n v="25"/>
    <x v="0"/>
    <n v="0"/>
    <n v="0"/>
    <n v="0"/>
    <n v="0"/>
    <n v="0"/>
    <n v="1"/>
    <n v="25"/>
    <m/>
    <n v="2"/>
    <n v="2"/>
    <n v="1"/>
    <x v="3"/>
    <n v="1"/>
    <n v="25"/>
    <n v="0.19999999999999996"/>
    <n v="4.9999999999999991"/>
    <n v="0.8"/>
    <n v="20"/>
    <n v="0"/>
    <n v="1"/>
    <n v="25"/>
    <n v="0.25"/>
    <n v="2"/>
    <x v="0"/>
    <n v="1"/>
    <n v="25"/>
    <n v="0"/>
    <n v="1"/>
    <n v="25"/>
    <n v="3"/>
    <n v="1"/>
    <n v="0"/>
    <n v="1"/>
    <m/>
    <d v="2014-02-25T00:00:00"/>
    <s v="To be realised"/>
    <n v="5"/>
    <n v="10"/>
    <n v="5"/>
    <n v="0"/>
    <n v="0"/>
    <x v="2"/>
    <s v="project gap"/>
    <n v="0"/>
    <n v="0"/>
    <n v="1"/>
    <s v="Excellent coverage"/>
    <n v="0"/>
    <x v="0"/>
    <m/>
  </r>
  <r>
    <x v="1"/>
    <s v="MMR001CMP192"/>
    <x v="1"/>
    <x v="19"/>
    <n v="96.339590000000001"/>
    <n v="25.617998"/>
    <x v="0"/>
    <x v="0"/>
    <n v="17"/>
    <n v="63"/>
    <n v="63"/>
    <x v="1"/>
    <s v="Shalom"/>
    <x v="0"/>
    <x v="0"/>
    <s v="Gap"/>
    <m/>
    <m/>
    <s v="Focal NGO"/>
    <x v="0"/>
    <n v="0"/>
    <n v="0"/>
    <s v="No"/>
    <n v="1"/>
    <n v="0"/>
    <n v="2000"/>
    <n v="0"/>
    <n v="0"/>
    <n v="1"/>
    <n v="63"/>
    <n v="1"/>
    <n v="63"/>
    <n v="1"/>
    <n v="63"/>
    <x v="0"/>
    <n v="0"/>
    <n v="0"/>
    <n v="0"/>
    <n v="0"/>
    <n v="0"/>
    <n v="1"/>
    <n v="63"/>
    <m/>
    <n v="2"/>
    <n v="2"/>
    <n v="3"/>
    <x v="1"/>
    <n v="1"/>
    <n v="63"/>
    <n v="4.7619047619047672E-2"/>
    <n v="3.0000000000000036"/>
    <n v="0.95238095238095233"/>
    <n v="60"/>
    <n v="0"/>
    <n v="1"/>
    <n v="63"/>
    <n v="0.14999999999999991"/>
    <n v="2"/>
    <x v="0"/>
    <n v="1"/>
    <n v="63"/>
    <n v="0"/>
    <n v="1"/>
    <n v="63"/>
    <n v="4"/>
    <n v="1"/>
    <n v="0"/>
    <n v="1"/>
    <m/>
    <d v="2014-02-25T00:00:00"/>
    <s v="To be realised"/>
    <n v="17"/>
    <n v="10"/>
    <n v="17"/>
    <n v="0"/>
    <n v="0"/>
    <x v="2"/>
    <s v="project gap"/>
    <n v="0"/>
    <n v="0"/>
    <n v="2"/>
    <s v="Excellent coverage"/>
    <n v="0"/>
    <x v="0"/>
    <m/>
  </r>
  <r>
    <x v="1"/>
    <s v="MMR001CMP103"/>
    <x v="1"/>
    <x v="20"/>
    <n v="96.341352999999998"/>
    <n v="25.613894999999999"/>
    <x v="0"/>
    <x v="0"/>
    <n v="55"/>
    <n v="272"/>
    <n v="272"/>
    <x v="0"/>
    <s v="KMSS"/>
    <x v="2"/>
    <x v="0"/>
    <d v="2015-12-31T00:00:00"/>
    <m/>
    <m/>
    <s v="Focal NGO"/>
    <x v="0"/>
    <n v="0"/>
    <n v="0"/>
    <s v="No"/>
    <n v="2"/>
    <n v="0"/>
    <n v="3000"/>
    <n v="0"/>
    <n v="0"/>
    <n v="1"/>
    <n v="272"/>
    <n v="1"/>
    <n v="272"/>
    <n v="1"/>
    <n v="272"/>
    <x v="0"/>
    <n v="0"/>
    <n v="0"/>
    <n v="0"/>
    <n v="0"/>
    <n v="0"/>
    <n v="1"/>
    <n v="272"/>
    <m/>
    <n v="5"/>
    <n v="0"/>
    <n v="10"/>
    <x v="2"/>
    <n v="0.73529411764705888"/>
    <n v="200"/>
    <n v="0"/>
    <n v="0"/>
    <n v="0.73529411764705888"/>
    <n v="200"/>
    <n v="0"/>
    <n v="0.74"/>
    <n v="201.28"/>
    <n v="3.5999999999999996"/>
    <n v="2"/>
    <x v="0"/>
    <n v="0.73529411764705888"/>
    <n v="200"/>
    <n v="0.7200000000000002"/>
    <n v="0.74"/>
    <n v="201.28"/>
    <n v="3"/>
    <n v="1"/>
    <n v="0"/>
    <n v="1"/>
    <m/>
    <d v="2014-06-27T00:00:00"/>
    <d v="2015-06-27T00:00:00"/>
    <n v="55"/>
    <n v="2"/>
    <n v="0"/>
    <n v="1"/>
    <n v="272"/>
    <x v="3"/>
    <m/>
    <n v="0"/>
    <n v="0"/>
    <n v="0"/>
    <s v="No coverage"/>
    <n v="0"/>
    <x v="1"/>
    <m/>
  </r>
  <r>
    <x v="1"/>
    <s v="MMR001CMP182"/>
    <x v="1"/>
    <x v="21"/>
    <n v="96.279200000000003"/>
    <n v="25.56551"/>
    <x v="0"/>
    <x v="0"/>
    <n v="11"/>
    <n v="42"/>
    <n v="42"/>
    <x v="1"/>
    <s v="Shalom"/>
    <x v="0"/>
    <x v="0"/>
    <s v="Gap"/>
    <m/>
    <m/>
    <s v="Focal NGO"/>
    <x v="0"/>
    <n v="0"/>
    <n v="0"/>
    <s v="No"/>
    <n v="1"/>
    <n v="0"/>
    <n v="1600"/>
    <n v="0"/>
    <n v="0"/>
    <n v="1"/>
    <n v="42"/>
    <n v="1"/>
    <n v="42"/>
    <n v="1"/>
    <n v="42"/>
    <x v="0"/>
    <n v="0"/>
    <n v="0"/>
    <n v="0"/>
    <n v="0"/>
    <n v="0"/>
    <n v="1"/>
    <n v="42"/>
    <m/>
    <n v="1"/>
    <n v="2"/>
    <n v="2"/>
    <x v="2"/>
    <n v="1"/>
    <n v="42"/>
    <n v="4.7619047619047672E-2"/>
    <n v="2.0000000000000022"/>
    <n v="0.95238095238095233"/>
    <n v="40"/>
    <n v="0"/>
    <n v="1"/>
    <n v="42"/>
    <n v="0.10000000000000009"/>
    <n v="2"/>
    <x v="1"/>
    <n v="1"/>
    <n v="42"/>
    <n v="0"/>
    <n v="1"/>
    <n v="42"/>
    <n v="6"/>
    <n v="1"/>
    <n v="0"/>
    <n v="1"/>
    <m/>
    <d v="2014-02-25T00:00:00"/>
    <s v="To be realised"/>
    <n v="11"/>
    <n v="10"/>
    <n v="11"/>
    <n v="0"/>
    <n v="0"/>
    <x v="2"/>
    <s v="project gap"/>
    <n v="0"/>
    <n v="0"/>
    <n v="2"/>
    <s v="Excellent coverage"/>
    <n v="0"/>
    <x v="0"/>
    <m/>
  </r>
  <r>
    <x v="1"/>
    <s v="MMR001CMP183"/>
    <x v="1"/>
    <x v="22"/>
    <n v="96.353030000000004"/>
    <n v="25.668399999999998"/>
    <x v="0"/>
    <x v="0"/>
    <n v="8"/>
    <n v="40"/>
    <n v="40"/>
    <x v="1"/>
    <s v="Shalom"/>
    <x v="0"/>
    <x v="0"/>
    <s v="Gap"/>
    <m/>
    <m/>
    <s v="Focal NGO"/>
    <x v="0"/>
    <n v="0"/>
    <n v="0"/>
    <s v="No"/>
    <n v="0"/>
    <n v="0"/>
    <n v="3750"/>
    <n v="0"/>
    <n v="0"/>
    <n v="1"/>
    <n v="40"/>
    <n v="1"/>
    <n v="40"/>
    <n v="1"/>
    <n v="40"/>
    <x v="0"/>
    <n v="0"/>
    <n v="0"/>
    <n v="0.1"/>
    <n v="0"/>
    <n v="0"/>
    <n v="1"/>
    <n v="40"/>
    <m/>
    <n v="8"/>
    <n v="0"/>
    <n v="8"/>
    <x v="0"/>
    <n v="1"/>
    <n v="40"/>
    <n v="0"/>
    <n v="0"/>
    <n v="1"/>
    <n v="40"/>
    <n v="0"/>
    <n v="1"/>
    <n v="40"/>
    <n v="0"/>
    <n v="2"/>
    <x v="1"/>
    <n v="1"/>
    <n v="40"/>
    <n v="0"/>
    <n v="1"/>
    <n v="40"/>
    <n v="2"/>
    <n v="1"/>
    <n v="0"/>
    <n v="1"/>
    <m/>
    <d v="2014-02-25T00:00:00"/>
    <s v="To be realised"/>
    <n v="8"/>
    <n v="10"/>
    <n v="8"/>
    <n v="0"/>
    <n v="0"/>
    <x v="2"/>
    <s v="project gap"/>
    <n v="0"/>
    <n v="0"/>
    <n v="2"/>
    <s v="Excellent coverage"/>
    <n v="0"/>
    <x v="0"/>
    <m/>
  </r>
  <r>
    <x v="1"/>
    <s v="MMR001CMP184"/>
    <x v="1"/>
    <x v="23"/>
    <n v="96.286680000000004"/>
    <n v="25.577559999999998"/>
    <x v="0"/>
    <x v="0"/>
    <n v="40"/>
    <n v="190"/>
    <n v="190"/>
    <x v="1"/>
    <s v="Shalom"/>
    <x v="0"/>
    <x v="0"/>
    <s v="Gap"/>
    <m/>
    <m/>
    <s v="Focal NGO"/>
    <x v="0"/>
    <n v="0"/>
    <n v="0"/>
    <s v="No"/>
    <n v="1"/>
    <n v="0"/>
    <n v="4800"/>
    <n v="0"/>
    <n v="0"/>
    <n v="1"/>
    <n v="190"/>
    <n v="1"/>
    <n v="190"/>
    <n v="1"/>
    <n v="190"/>
    <x v="0"/>
    <n v="0"/>
    <n v="0"/>
    <n v="0"/>
    <n v="0"/>
    <n v="0"/>
    <n v="1"/>
    <n v="190"/>
    <m/>
    <n v="9"/>
    <n v="5"/>
    <n v="4"/>
    <x v="2"/>
    <n v="0.94736842105263153"/>
    <n v="180"/>
    <n v="0.52631578947368418"/>
    <n v="100"/>
    <n v="0.42105263157894735"/>
    <n v="80"/>
    <n v="0"/>
    <n v="0.95"/>
    <n v="180.5"/>
    <n v="5.5"/>
    <n v="3"/>
    <x v="1"/>
    <n v="1"/>
    <n v="190"/>
    <n v="0"/>
    <n v="1"/>
    <n v="190"/>
    <n v="3"/>
    <n v="1"/>
    <n v="0"/>
    <n v="1"/>
    <s v="land limited for more semi-permanent latrine construciton, 6 semi permanent latrine already existed, church committee let them to use in 3, but if trouble, they church committee can share"/>
    <d v="2014-02-25T00:00:00"/>
    <s v="To be realised"/>
    <n v="40"/>
    <n v="10"/>
    <n v="40"/>
    <n v="0"/>
    <n v="0"/>
    <x v="2"/>
    <s v="project gap"/>
    <n v="0"/>
    <n v="0"/>
    <n v="2"/>
    <s v="Excellent coverage"/>
    <n v="0"/>
    <x v="0"/>
    <m/>
  </r>
  <r>
    <x v="1"/>
    <s v="MMR001CMP105"/>
    <x v="1"/>
    <x v="24"/>
    <n v="96.306910999999999"/>
    <n v="25.599250000000001"/>
    <x v="0"/>
    <x v="0"/>
    <n v="22"/>
    <n v="80"/>
    <n v="80"/>
    <x v="1"/>
    <s v="Shalom"/>
    <x v="0"/>
    <x v="0"/>
    <s v="Gap"/>
    <m/>
    <m/>
    <s v="Focal NGO"/>
    <x v="0"/>
    <n v="0"/>
    <n v="0"/>
    <s v="No"/>
    <n v="0"/>
    <n v="0"/>
    <n v="5600"/>
    <n v="0"/>
    <n v="0"/>
    <n v="1"/>
    <n v="80"/>
    <n v="1"/>
    <n v="80"/>
    <n v="1"/>
    <n v="80"/>
    <x v="0"/>
    <n v="0"/>
    <n v="0"/>
    <n v="0.2"/>
    <n v="0"/>
    <n v="0"/>
    <n v="1"/>
    <n v="80"/>
    <m/>
    <n v="6"/>
    <n v="3"/>
    <n v="1"/>
    <x v="0"/>
    <n v="1"/>
    <n v="80"/>
    <n v="0.75"/>
    <n v="60"/>
    <n v="0.25"/>
    <n v="20"/>
    <n v="0"/>
    <n v="1"/>
    <n v="80"/>
    <n v="3"/>
    <n v="2"/>
    <x v="0"/>
    <n v="1"/>
    <n v="80"/>
    <n v="0"/>
    <n v="1"/>
    <n v="80"/>
    <n v="3"/>
    <n v="1"/>
    <n v="0"/>
    <n v="1"/>
    <s v="due to land owner filled the land the bathing sapce construction have removed"/>
    <d v="2014-02-25T00:00:00"/>
    <s v="To be realised"/>
    <n v="22"/>
    <n v="10"/>
    <n v="22"/>
    <n v="0"/>
    <n v="0"/>
    <x v="2"/>
    <s v="project gap"/>
    <n v="0"/>
    <n v="0"/>
    <n v="2"/>
    <s v="Excellent coverage"/>
    <n v="0"/>
    <x v="0"/>
    <m/>
  </r>
  <r>
    <x v="2"/>
    <s v="MMR001CMP074"/>
    <x v="0"/>
    <x v="25"/>
    <n v="98.144502500000002"/>
    <n v="26.890058"/>
    <x v="0"/>
    <x v="0"/>
    <n v="11"/>
    <n v="17"/>
    <n v="17"/>
    <x v="1"/>
    <m/>
    <x v="3"/>
    <x v="1"/>
    <m/>
    <m/>
    <m/>
    <s v="Not documented"/>
    <x v="1"/>
    <n v="0"/>
    <n v="0"/>
    <s v="No"/>
    <n v="0"/>
    <n v="0"/>
    <n v="0"/>
    <n v="0"/>
    <n v="0"/>
    <n v="0"/>
    <n v="0"/>
    <n v="0"/>
    <n v="0"/>
    <n v="0"/>
    <n v="0"/>
    <x v="1"/>
    <n v="0"/>
    <n v="0"/>
    <n v="4.2500000000000003E-2"/>
    <n v="0"/>
    <n v="0"/>
    <n v="0"/>
    <n v="0"/>
    <s v="Not reachable location"/>
    <n v="0"/>
    <n v="0"/>
    <n v="0"/>
    <x v="2"/>
    <n v="0"/>
    <n v="0"/>
    <n v="0"/>
    <n v="0"/>
    <n v="0"/>
    <n v="0"/>
    <n v="0"/>
    <n v="0"/>
    <n v="0"/>
    <n v="0.85"/>
    <n v="0"/>
    <x v="1"/>
    <n v="0"/>
    <n v="0"/>
    <n v="0.17"/>
    <n v="0"/>
    <n v="0"/>
    <n v="0"/>
    <n v="0"/>
    <n v="0.17"/>
    <n v="0"/>
    <m/>
    <m/>
    <s v="To be realised"/>
    <n v="0"/>
    <n v="0"/>
    <n v="11"/>
    <n v="0"/>
    <n v="0"/>
    <x v="5"/>
    <m/>
    <n v="0"/>
    <n v="0"/>
    <n v="0"/>
    <s v="No coverage"/>
    <n v="0"/>
    <x v="3"/>
    <m/>
  </r>
  <r>
    <x v="3"/>
    <s v="MMR001CMP221"/>
    <x v="0"/>
    <x v="26"/>
    <n v="97.589449999999999"/>
    <n v="27.273710000000001"/>
    <x v="0"/>
    <x v="0"/>
    <n v="8"/>
    <n v="35"/>
    <n v="35"/>
    <x v="1"/>
    <s v="KBC"/>
    <x v="1"/>
    <x v="0"/>
    <s v="Gap"/>
    <m/>
    <m/>
    <s v="Focal NGO"/>
    <x v="0"/>
    <n v="0"/>
    <n v="0"/>
    <s v="No"/>
    <n v="0"/>
    <n v="0"/>
    <n v="3000"/>
    <n v="0"/>
    <n v="0"/>
    <n v="1"/>
    <n v="35"/>
    <n v="1"/>
    <n v="35"/>
    <n v="1"/>
    <n v="35"/>
    <x v="0"/>
    <n v="0"/>
    <n v="0"/>
    <n v="8.7499999999999994E-2"/>
    <n v="0"/>
    <n v="0"/>
    <n v="1"/>
    <n v="35"/>
    <s v="this place have a plan to relocate into Lone Sut camp"/>
    <n v="1"/>
    <n v="1"/>
    <n v="0"/>
    <x v="2"/>
    <n v="0.5714285714285714"/>
    <n v="20"/>
    <n v="0.5714285714285714"/>
    <n v="20"/>
    <n v="0"/>
    <n v="0"/>
    <n v="0"/>
    <n v="0.56999999999999995"/>
    <n v="19.95"/>
    <n v="1.75"/>
    <n v="0"/>
    <x v="1"/>
    <n v="0"/>
    <n v="0"/>
    <n v="0.35"/>
    <n v="0"/>
    <n v="0"/>
    <n v="0"/>
    <n v="0"/>
    <n v="0.35"/>
    <n v="0"/>
    <m/>
    <d v="2015-05-05T00:00:00"/>
    <d v="2016-05-04T00:00:00"/>
    <n v="8"/>
    <n v="0"/>
    <n v="0"/>
    <n v="1"/>
    <n v="35"/>
    <x v="0"/>
    <m/>
    <n v="0"/>
    <n v="0"/>
    <n v="0"/>
    <s v="No coverage"/>
    <n v="0"/>
    <x v="4"/>
    <m/>
  </r>
  <r>
    <x v="4"/>
    <s v="MMR001CMP078"/>
    <x v="2"/>
    <x v="27"/>
    <n v="96.922619999999995"/>
    <n v="25.305669999999999"/>
    <x v="0"/>
    <x v="0"/>
    <n v="17"/>
    <n v="69"/>
    <n v="69"/>
    <x v="1"/>
    <s v="KBC"/>
    <x v="1"/>
    <x v="0"/>
    <d v="2015-06-30T00:00:00"/>
    <s v="OXFAM"/>
    <d v="2015-06-30T00:00:00"/>
    <s v="Focal NGO"/>
    <x v="0"/>
    <n v="0"/>
    <n v="0"/>
    <s v="No"/>
    <n v="0"/>
    <n v="2"/>
    <n v="3600"/>
    <n v="0"/>
    <n v="1"/>
    <n v="1"/>
    <n v="69"/>
    <n v="1"/>
    <n v="69"/>
    <n v="1"/>
    <n v="69"/>
    <x v="0"/>
    <n v="0"/>
    <n v="0"/>
    <n v="0"/>
    <n v="17"/>
    <n v="0"/>
    <n v="1"/>
    <n v="69"/>
    <m/>
    <n v="0"/>
    <n v="0"/>
    <n v="6"/>
    <x v="0"/>
    <n v="1"/>
    <n v="69"/>
    <n v="0"/>
    <n v="0"/>
    <n v="1"/>
    <n v="69"/>
    <n v="0"/>
    <n v="1"/>
    <n v="69"/>
    <n v="0"/>
    <n v="2"/>
    <x v="0"/>
    <n v="1"/>
    <n v="69"/>
    <n v="0"/>
    <n v="1"/>
    <n v="69"/>
    <n v="6"/>
    <n v="1"/>
    <n v="0"/>
    <n v="1"/>
    <m/>
    <d v="2015-02-18T00:00:00"/>
    <d v="2016-02-18T00:00:00"/>
    <n v="17"/>
    <n v="3"/>
    <n v="0"/>
    <n v="1"/>
    <n v="69"/>
    <x v="0"/>
    <m/>
    <n v="0.8"/>
    <n v="55.2"/>
    <n v="1"/>
    <s v="Excellent coverage"/>
    <n v="0"/>
    <x v="1"/>
    <m/>
  </r>
  <r>
    <x v="4"/>
    <s v="MMR001CMP077"/>
    <x v="2"/>
    <x v="28"/>
    <n v="96.942279999999997"/>
    <n v="25.296579999999999"/>
    <x v="0"/>
    <x v="0"/>
    <n v="12"/>
    <n v="48"/>
    <n v="48"/>
    <x v="1"/>
    <s v="KBC"/>
    <x v="1"/>
    <x v="0"/>
    <d v="2015-06-30T00:00:00"/>
    <s v="OXFAM"/>
    <d v="2015-06-30T00:00:00"/>
    <s v="Focal NGO"/>
    <x v="0"/>
    <n v="0"/>
    <n v="0"/>
    <s v="No"/>
    <n v="0"/>
    <n v="2"/>
    <n v="3600"/>
    <n v="0"/>
    <n v="1"/>
    <n v="1"/>
    <n v="48"/>
    <n v="1"/>
    <n v="48"/>
    <n v="1"/>
    <n v="48"/>
    <x v="0"/>
    <n v="0"/>
    <n v="0"/>
    <n v="0"/>
    <n v="12"/>
    <n v="0"/>
    <n v="1"/>
    <n v="48"/>
    <m/>
    <n v="0"/>
    <n v="0"/>
    <n v="4"/>
    <x v="0"/>
    <n v="1"/>
    <n v="48"/>
    <n v="0"/>
    <n v="0"/>
    <n v="1"/>
    <n v="48"/>
    <n v="0"/>
    <n v="1"/>
    <n v="48"/>
    <n v="0"/>
    <n v="2"/>
    <x v="1"/>
    <n v="1"/>
    <n v="48"/>
    <n v="0"/>
    <n v="1"/>
    <n v="48"/>
    <n v="3"/>
    <n v="1"/>
    <n v="0"/>
    <n v="1"/>
    <m/>
    <d v="2015-02-18T00:00:00"/>
    <d v="2016-02-18T00:00:00"/>
    <n v="12"/>
    <n v="3"/>
    <n v="0"/>
    <n v="1"/>
    <n v="48"/>
    <x v="0"/>
    <m/>
    <n v="0.8"/>
    <n v="38.400000000000006"/>
    <n v="1"/>
    <s v="Excellent coverage"/>
    <n v="0"/>
    <x v="1"/>
    <m/>
  </r>
  <r>
    <x v="4"/>
    <s v="MMR001CMP079"/>
    <x v="2"/>
    <x v="29"/>
    <n v="96.948740000000001"/>
    <n v="25.30442"/>
    <x v="0"/>
    <x v="0"/>
    <n v="15"/>
    <n v="47"/>
    <n v="47"/>
    <x v="1"/>
    <s v="KBC"/>
    <x v="1"/>
    <x v="0"/>
    <d v="2015-06-30T00:00:00"/>
    <s v="OXFAM"/>
    <d v="2015-06-30T00:00:00"/>
    <s v="Focal NGO"/>
    <x v="0"/>
    <n v="0"/>
    <n v="0"/>
    <s v="No"/>
    <n v="1"/>
    <n v="2"/>
    <n v="3600"/>
    <n v="0"/>
    <n v="1"/>
    <n v="1"/>
    <n v="47"/>
    <n v="1"/>
    <n v="47"/>
    <n v="1"/>
    <n v="47"/>
    <x v="0"/>
    <n v="0"/>
    <n v="0"/>
    <n v="0"/>
    <n v="15"/>
    <n v="0"/>
    <n v="1"/>
    <n v="47"/>
    <m/>
    <n v="0"/>
    <n v="0"/>
    <n v="3"/>
    <x v="0"/>
    <n v="1"/>
    <n v="47"/>
    <n v="0"/>
    <n v="0"/>
    <n v="1"/>
    <n v="47"/>
    <n v="0"/>
    <n v="1"/>
    <n v="47"/>
    <n v="0"/>
    <n v="2"/>
    <x v="0"/>
    <n v="1"/>
    <n v="47"/>
    <n v="0"/>
    <n v="1"/>
    <n v="47"/>
    <n v="6"/>
    <n v="1"/>
    <n v="0"/>
    <n v="1"/>
    <m/>
    <d v="2015-02-18T00:00:00"/>
    <d v="2016-02-18T00:00:00"/>
    <n v="15"/>
    <n v="3"/>
    <n v="0"/>
    <n v="1"/>
    <n v="47"/>
    <x v="0"/>
    <m/>
    <n v="0.8"/>
    <n v="37.6"/>
    <n v="1"/>
    <s v="Excellent coverage"/>
    <n v="0"/>
    <x v="1"/>
    <m/>
  </r>
  <r>
    <x v="5"/>
    <s v="MMR001CMP152"/>
    <x v="2"/>
    <x v="30"/>
    <n v="96.364949999999993"/>
    <n v="24.998349999999999"/>
    <x v="0"/>
    <x v="0"/>
    <n v="19"/>
    <n v="104"/>
    <n v="84"/>
    <x v="1"/>
    <s v="KBC"/>
    <x v="1"/>
    <x v="0"/>
    <d v="2015-06-30T00:00:00"/>
    <s v="OXFAM"/>
    <d v="2015-06-30T00:00:00"/>
    <s v="Focal NGO"/>
    <x v="0"/>
    <n v="0"/>
    <n v="0"/>
    <s v="No"/>
    <n v="0"/>
    <n v="1"/>
    <n v="7200"/>
    <n v="0"/>
    <n v="1"/>
    <n v="1"/>
    <n v="84"/>
    <n v="1"/>
    <n v="84"/>
    <n v="1"/>
    <n v="84"/>
    <x v="0"/>
    <n v="0"/>
    <n v="0"/>
    <n v="0"/>
    <n v="19"/>
    <n v="0"/>
    <n v="1"/>
    <n v="84"/>
    <m/>
    <n v="0"/>
    <n v="0"/>
    <n v="5"/>
    <x v="0"/>
    <n v="1"/>
    <n v="84"/>
    <n v="0"/>
    <n v="0"/>
    <n v="1"/>
    <n v="84"/>
    <n v="0"/>
    <n v="1"/>
    <n v="84"/>
    <n v="0"/>
    <n v="2"/>
    <x v="0"/>
    <n v="1"/>
    <n v="84"/>
    <n v="0"/>
    <n v="1"/>
    <n v="84"/>
    <n v="2"/>
    <n v="1"/>
    <n v="0"/>
    <n v="1"/>
    <s v="land space limited"/>
    <d v="2015-02-18T00:00:00"/>
    <d v="2016-02-18T00:00:00"/>
    <n v="19"/>
    <n v="3"/>
    <n v="0"/>
    <n v="1"/>
    <n v="84"/>
    <x v="0"/>
    <m/>
    <n v="0.8"/>
    <n v="67.2"/>
    <n v="1"/>
    <s v="Excellent coverage"/>
    <n v="0"/>
    <x v="1"/>
    <m/>
  </r>
  <r>
    <x v="5"/>
    <s v="MMR001CMP080"/>
    <x v="2"/>
    <x v="31"/>
    <n v="96.367059999999995"/>
    <n v="24.764800000000001"/>
    <x v="0"/>
    <x v="0"/>
    <n v="12"/>
    <n v="51"/>
    <n v="51"/>
    <x v="1"/>
    <s v="KMSS"/>
    <x v="2"/>
    <x v="0"/>
    <d v="2015-12-31T00:00:00"/>
    <m/>
    <m/>
    <s v="Focal NGO"/>
    <x v="0"/>
    <n v="0"/>
    <n v="0"/>
    <s v="No"/>
    <n v="1"/>
    <n v="0"/>
    <n v="3000"/>
    <n v="0"/>
    <n v="0"/>
    <n v="1"/>
    <n v="51"/>
    <n v="1"/>
    <n v="51"/>
    <n v="1"/>
    <n v="51"/>
    <x v="0"/>
    <n v="0"/>
    <n v="0"/>
    <n v="0"/>
    <n v="0"/>
    <n v="0"/>
    <n v="1"/>
    <n v="51"/>
    <m/>
    <n v="11"/>
    <n v="0"/>
    <n v="3"/>
    <x v="1"/>
    <n v="1"/>
    <n v="51"/>
    <n v="0"/>
    <n v="0"/>
    <n v="1"/>
    <n v="51"/>
    <n v="0"/>
    <n v="1"/>
    <n v="51"/>
    <n v="0"/>
    <n v="2"/>
    <x v="0"/>
    <n v="1"/>
    <n v="51"/>
    <n v="0"/>
    <n v="1"/>
    <n v="51"/>
    <n v="1"/>
    <n v="1"/>
    <n v="0"/>
    <n v="1"/>
    <m/>
    <d v="2014-06-27T00:00:00"/>
    <d v="2015-06-27T00:00:00"/>
    <n v="12"/>
    <n v="2"/>
    <n v="0"/>
    <n v="1"/>
    <n v="51"/>
    <x v="3"/>
    <m/>
    <n v="0"/>
    <n v="0"/>
    <n v="0"/>
    <s v="No coverage"/>
    <n v="0"/>
    <x v="1"/>
    <m/>
  </r>
  <r>
    <x v="6"/>
    <s v="MMR001CMP123"/>
    <x v="3"/>
    <x v="32"/>
    <n v="97.537099999999995"/>
    <n v="24.461033"/>
    <x v="0"/>
    <x v="1"/>
    <n v="117"/>
    <n v="620"/>
    <n v="620"/>
    <x v="0"/>
    <s v="IRRC"/>
    <x v="2"/>
    <x v="0"/>
    <d v="2015-12-31T00:00:00"/>
    <m/>
    <m/>
    <s v="Focal NGO"/>
    <x v="0"/>
    <n v="0"/>
    <n v="0"/>
    <s v="No"/>
    <n v="0"/>
    <n v="0"/>
    <n v="14568"/>
    <n v="0"/>
    <n v="1"/>
    <n v="1"/>
    <n v="620"/>
    <n v="1"/>
    <n v="620"/>
    <n v="1"/>
    <n v="620"/>
    <x v="0"/>
    <n v="0"/>
    <n v="0"/>
    <n v="1.55"/>
    <n v="117"/>
    <n v="0"/>
    <n v="1"/>
    <n v="620"/>
    <s v="118 chinese water filter  distributed in 2014"/>
    <n v="62"/>
    <n v="60"/>
    <n v="37"/>
    <x v="3"/>
    <n v="1"/>
    <n v="620"/>
    <n v="0"/>
    <n v="0"/>
    <n v="1"/>
    <n v="620"/>
    <n v="0"/>
    <n v="1"/>
    <n v="620"/>
    <n v="0"/>
    <n v="4"/>
    <x v="0"/>
    <n v="0.64516129032258063"/>
    <n v="400"/>
    <n v="2.2000000000000002"/>
    <n v="0.66"/>
    <n v="409.20000000000005"/>
    <n v="7"/>
    <n v="1"/>
    <n v="0"/>
    <n v="1"/>
    <m/>
    <d v="2015-03-02T00:00:00"/>
    <d v="2016-03-01T00:00:00"/>
    <n v="117"/>
    <n v="3"/>
    <n v="0"/>
    <n v="1"/>
    <n v="620"/>
    <x v="0"/>
    <m/>
    <n v="0"/>
    <n v="0"/>
    <n v="0"/>
    <s v="No coverage"/>
    <n v="0"/>
    <x v="1"/>
    <m/>
  </r>
  <r>
    <x v="6"/>
    <s v="MMR001CMP122"/>
    <x v="4"/>
    <x v="33"/>
    <n v="97.573166999999998"/>
    <n v="24.661466999999998"/>
    <x v="0"/>
    <x v="1"/>
    <n v="479"/>
    <n v="2288"/>
    <n v="2288"/>
    <x v="2"/>
    <s v="KMSS"/>
    <x v="4"/>
    <x v="0"/>
    <s v="Gap"/>
    <s v="SI"/>
    <d v="2014-07-15T00:00:00"/>
    <s v="Focal NGO"/>
    <x v="0"/>
    <n v="0"/>
    <n v="0"/>
    <s v="No"/>
    <n v="3"/>
    <n v="0"/>
    <n v="34155"/>
    <n v="0"/>
    <n v="1"/>
    <n v="1"/>
    <n v="2288"/>
    <n v="1"/>
    <n v="2288"/>
    <n v="1"/>
    <n v="2288"/>
    <x v="0"/>
    <n v="0"/>
    <n v="0"/>
    <n v="2.7199999999999998"/>
    <n v="479"/>
    <n v="0"/>
    <n v="1"/>
    <n v="2288"/>
    <m/>
    <n v="0"/>
    <n v="70"/>
    <n v="148"/>
    <x v="2"/>
    <n v="1"/>
    <n v="2288"/>
    <n v="0"/>
    <n v="0"/>
    <n v="1"/>
    <n v="2288"/>
    <n v="0"/>
    <n v="1"/>
    <n v="2288"/>
    <n v="0"/>
    <n v="6"/>
    <x v="1"/>
    <n v="0.26223776223776224"/>
    <n v="600"/>
    <n v="16.88"/>
    <n v="0.26"/>
    <n v="594.88"/>
    <n v="28"/>
    <n v="1"/>
    <n v="0"/>
    <n v="1"/>
    <m/>
    <d v="2013-10-12T00:00:00"/>
    <s v="To be realised"/>
    <n v="479"/>
    <n v="19"/>
    <n v="479"/>
    <n v="0"/>
    <n v="0"/>
    <x v="0"/>
    <s v="Metta only distributed refill HK in 2015"/>
    <n v="0.5"/>
    <n v="1144"/>
    <n v="2"/>
    <s v="Low coverage"/>
    <n v="1"/>
    <x v="0"/>
    <m/>
  </r>
  <r>
    <x v="7"/>
    <s v="MMR001CMP012"/>
    <x v="5"/>
    <x v="34"/>
    <n v="97.385101000000006"/>
    <n v="25.399795999999998"/>
    <x v="0"/>
    <x v="0"/>
    <n v="6"/>
    <n v="27"/>
    <n v="27"/>
    <x v="1"/>
    <s v="KBC"/>
    <x v="1"/>
    <x v="0"/>
    <d v="2015-06-30T00:00:00"/>
    <s v="OXFAM"/>
    <d v="2015-06-30T00:00:00"/>
    <s v="Focal NGO"/>
    <x v="0"/>
    <n v="0"/>
    <n v="0"/>
    <s v="No"/>
    <n v="0"/>
    <n v="1"/>
    <n v="0"/>
    <n v="0"/>
    <n v="1"/>
    <n v="1"/>
    <n v="27"/>
    <n v="1"/>
    <n v="27"/>
    <n v="1"/>
    <n v="27"/>
    <x v="0"/>
    <n v="0"/>
    <n v="0"/>
    <n v="0"/>
    <n v="6"/>
    <n v="0"/>
    <n v="1"/>
    <n v="27"/>
    <m/>
    <n v="0"/>
    <n v="0"/>
    <n v="1"/>
    <x v="0"/>
    <n v="0.7407407407407407"/>
    <n v="20"/>
    <n v="0"/>
    <n v="0"/>
    <n v="0.7407407407407407"/>
    <n v="20"/>
    <n v="0"/>
    <n v="0.74"/>
    <n v="19.98"/>
    <n v="0.35000000000000009"/>
    <n v="1"/>
    <x v="1"/>
    <n v="1"/>
    <n v="27"/>
    <n v="0"/>
    <n v="1"/>
    <n v="27"/>
    <n v="2"/>
    <n v="1"/>
    <n v="0"/>
    <n v="1"/>
    <s v="1 SPL already closed bcoz of nearing the dining room (can move to other place)"/>
    <d v="2015-02-18T00:00:00"/>
    <d v="2016-02-18T00:00:00"/>
    <n v="6"/>
    <n v="3"/>
    <n v="0"/>
    <n v="1"/>
    <n v="27"/>
    <x v="0"/>
    <m/>
    <n v="0.8"/>
    <n v="21.6"/>
    <n v="1"/>
    <s v="Excellent coverage"/>
    <n v="0"/>
    <x v="1"/>
    <m/>
  </r>
  <r>
    <x v="7"/>
    <s v="MMR001CMP010"/>
    <x v="5"/>
    <x v="35"/>
    <n v="97.383056999999994"/>
    <n v="25.395994000000002"/>
    <x v="0"/>
    <x v="0"/>
    <n v="6"/>
    <n v="35"/>
    <n v="35"/>
    <x v="1"/>
    <s v="KBC"/>
    <x v="1"/>
    <x v="0"/>
    <d v="2015-06-30T00:00:00"/>
    <s v="OXFAM"/>
    <d v="2015-06-30T00:00:00"/>
    <s v="Focal NGO"/>
    <x v="0"/>
    <n v="0"/>
    <n v="0"/>
    <s v="No"/>
    <n v="0"/>
    <n v="1"/>
    <n v="0"/>
    <n v="0"/>
    <n v="1"/>
    <n v="1"/>
    <n v="35"/>
    <n v="1"/>
    <n v="35"/>
    <n v="1"/>
    <n v="35"/>
    <x v="0"/>
    <n v="0"/>
    <n v="0"/>
    <n v="0"/>
    <n v="6"/>
    <n v="0"/>
    <n v="1"/>
    <n v="35"/>
    <m/>
    <n v="0"/>
    <n v="0"/>
    <n v="3"/>
    <x v="0"/>
    <n v="1"/>
    <n v="35"/>
    <n v="0"/>
    <n v="0"/>
    <n v="1"/>
    <n v="35"/>
    <n v="0"/>
    <n v="1"/>
    <n v="35"/>
    <n v="0"/>
    <n v="1"/>
    <x v="1"/>
    <n v="1"/>
    <n v="35"/>
    <n v="0"/>
    <n v="1"/>
    <n v="35"/>
    <n v="3"/>
    <n v="1"/>
    <n v="0"/>
    <n v="1"/>
    <s v="HWS is not functioning, 1 SP was closed becoz of demage concrect ring"/>
    <d v="2015-02-18T00:00:00"/>
    <d v="2016-02-18T00:00:00"/>
    <n v="6"/>
    <n v="3"/>
    <n v="0"/>
    <n v="1"/>
    <n v="35"/>
    <x v="0"/>
    <m/>
    <n v="0.8"/>
    <n v="28"/>
    <n v="1"/>
    <s v="Excellent coverage"/>
    <n v="0"/>
    <x v="1"/>
    <m/>
  </r>
  <r>
    <x v="7"/>
    <s v="MMR001CMP011"/>
    <x v="5"/>
    <x v="36"/>
    <n v="97.381195000000005"/>
    <n v="25.396363999999998"/>
    <x v="0"/>
    <x v="0"/>
    <n v="8"/>
    <n v="26"/>
    <n v="26"/>
    <x v="1"/>
    <s v="KBC"/>
    <x v="1"/>
    <x v="0"/>
    <d v="2015-06-30T00:00:00"/>
    <s v="OXFAM"/>
    <d v="2015-06-30T00:00:00"/>
    <s v="Focal NGO"/>
    <x v="0"/>
    <n v="0"/>
    <n v="0"/>
    <s v="No"/>
    <n v="0"/>
    <n v="1"/>
    <n v="0"/>
    <n v="0"/>
    <n v="1"/>
    <n v="1"/>
    <n v="26"/>
    <n v="1"/>
    <n v="26"/>
    <n v="1"/>
    <n v="26"/>
    <x v="0"/>
    <n v="0"/>
    <n v="0"/>
    <n v="0"/>
    <n v="8"/>
    <n v="0"/>
    <n v="1"/>
    <n v="26"/>
    <m/>
    <n v="0"/>
    <n v="0"/>
    <n v="1"/>
    <x v="0"/>
    <n v="0.76923076923076927"/>
    <n v="20"/>
    <n v="0"/>
    <n v="0"/>
    <n v="0.76923076923076927"/>
    <n v="20"/>
    <n v="0"/>
    <n v="0.77"/>
    <n v="20.02"/>
    <n v="0.30000000000000004"/>
    <n v="1"/>
    <x v="1"/>
    <n v="1"/>
    <n v="26"/>
    <n v="0"/>
    <n v="1"/>
    <n v="26"/>
    <n v="3"/>
    <n v="1"/>
    <n v="0"/>
    <n v="1"/>
    <s v="HWS is not functioning, 1 latrien pit already exised , just to move the frame"/>
    <d v="2015-02-18T00:00:00"/>
    <d v="2016-02-18T00:00:00"/>
    <n v="8"/>
    <n v="3"/>
    <n v="0"/>
    <n v="1"/>
    <n v="26"/>
    <x v="0"/>
    <m/>
    <n v="0.8"/>
    <n v="20.8"/>
    <n v="1"/>
    <s v="Excellent coverage"/>
    <n v="0"/>
    <x v="1"/>
    <m/>
  </r>
  <r>
    <x v="7"/>
    <s v="MMR001CMP018"/>
    <x v="5"/>
    <x v="37"/>
    <n v="97.389778000000007"/>
    <n v="25.417733999999999"/>
    <x v="0"/>
    <x v="0"/>
    <n v="189"/>
    <n v="974"/>
    <n v="974"/>
    <x v="0"/>
    <s v="KBC"/>
    <x v="1"/>
    <x v="0"/>
    <d v="2015-06-30T00:00:00"/>
    <s v="OXFAM"/>
    <d v="2015-06-30T00:00:00"/>
    <s v="Focal NGO"/>
    <x v="0"/>
    <n v="0"/>
    <n v="0"/>
    <s v="No"/>
    <n v="1"/>
    <n v="9"/>
    <n v="3000"/>
    <n v="0"/>
    <n v="1"/>
    <n v="1"/>
    <n v="974"/>
    <n v="1"/>
    <n v="974"/>
    <n v="1"/>
    <n v="974"/>
    <x v="0"/>
    <n v="0"/>
    <n v="0"/>
    <n v="0"/>
    <n v="189"/>
    <n v="0"/>
    <n v="1"/>
    <n v="974"/>
    <m/>
    <n v="0"/>
    <n v="0"/>
    <n v="51"/>
    <x v="0"/>
    <n v="1"/>
    <n v="974"/>
    <n v="0"/>
    <n v="0"/>
    <n v="1"/>
    <n v="974"/>
    <n v="0"/>
    <n v="1"/>
    <n v="974"/>
    <n v="0"/>
    <n v="4"/>
    <x v="2"/>
    <n v="0.41067761806981518"/>
    <n v="400"/>
    <n v="5.74"/>
    <n v="0.41"/>
    <n v="399.34"/>
    <n v="15"/>
    <n v="1"/>
    <n v="0"/>
    <n v="1"/>
    <s v="although 15 hand washing station on this camp, they do not use all of these HWS now. "/>
    <d v="2015-02-18T00:00:00"/>
    <d v="2016-02-18T00:00:00"/>
    <n v="189"/>
    <n v="3"/>
    <n v="0"/>
    <n v="1"/>
    <n v="974"/>
    <x v="0"/>
    <m/>
    <n v="0.8"/>
    <n v="779.2"/>
    <n v="3"/>
    <s v="Excellent coverage"/>
    <n v="0"/>
    <x v="1"/>
    <m/>
  </r>
  <r>
    <x v="7"/>
    <s v="MMR001CMP019"/>
    <x v="5"/>
    <x v="38"/>
    <n v="97.373361000000003"/>
    <n v="25.403476999999999"/>
    <x v="0"/>
    <x v="0"/>
    <n v="106"/>
    <n v="468"/>
    <n v="468"/>
    <x v="0"/>
    <s v="KMSS"/>
    <x v="2"/>
    <x v="0"/>
    <d v="2015-12-31T00:00:00"/>
    <m/>
    <m/>
    <s v="Focal NGO"/>
    <x v="0"/>
    <n v="0"/>
    <n v="0"/>
    <s v="No"/>
    <n v="1"/>
    <n v="3"/>
    <n v="3000"/>
    <n v="0"/>
    <n v="1"/>
    <n v="1"/>
    <n v="468"/>
    <n v="1"/>
    <n v="468"/>
    <n v="1"/>
    <n v="468"/>
    <x v="0"/>
    <n v="0"/>
    <n v="0"/>
    <n v="0"/>
    <n v="106"/>
    <n v="0"/>
    <n v="1"/>
    <n v="468"/>
    <s v="106 CWF distributed on 27th February 15"/>
    <n v="27"/>
    <n v="0"/>
    <n v="20"/>
    <x v="0"/>
    <n v="0.85470085470085466"/>
    <n v="400"/>
    <n v="0"/>
    <n v="0"/>
    <n v="0.85470085470085466"/>
    <n v="400"/>
    <n v="0"/>
    <n v="0.85"/>
    <n v="397.8"/>
    <n v="3.3999999999999986"/>
    <n v="1"/>
    <x v="1"/>
    <n v="0.21367521367521367"/>
    <n v="100"/>
    <n v="3.6799999999999997"/>
    <n v="0.21"/>
    <n v="98.28"/>
    <n v="4"/>
    <n v="0.85470085470085466"/>
    <n v="0.67999999999999972"/>
    <n v="0.85"/>
    <s v="HWS is not functioning/ due to land limited the bathing space construction have hard to implement"/>
    <d v="2014-05-22T00:00:00"/>
    <s v="To be realised"/>
    <n v="106"/>
    <n v="2"/>
    <n v="106"/>
    <n v="0"/>
    <n v="0"/>
    <x v="6"/>
    <m/>
    <n v="0"/>
    <n v="0"/>
    <n v="0"/>
    <s v="No coverage"/>
    <n v="0"/>
    <x v="1"/>
    <m/>
  </r>
  <r>
    <x v="7"/>
    <s v="MMR001CMP013"/>
    <x v="5"/>
    <x v="39"/>
    <n v="97.405120999999994"/>
    <n v="25.365891000000001"/>
    <x v="0"/>
    <x v="0"/>
    <n v="44"/>
    <n v="180"/>
    <n v="180"/>
    <x v="1"/>
    <s v="KBC"/>
    <x v="1"/>
    <x v="0"/>
    <d v="2015-06-30T00:00:00"/>
    <s v="OXFAM"/>
    <d v="2015-06-30T00:00:00"/>
    <s v="Focal NGO"/>
    <x v="0"/>
    <n v="0"/>
    <n v="0"/>
    <s v="No"/>
    <n v="1"/>
    <n v="1"/>
    <n v="0"/>
    <n v="0"/>
    <n v="1"/>
    <n v="1"/>
    <n v="180"/>
    <n v="1"/>
    <n v="180"/>
    <n v="1"/>
    <n v="180"/>
    <x v="0"/>
    <n v="0"/>
    <n v="0"/>
    <n v="0"/>
    <n v="44"/>
    <n v="0"/>
    <n v="1"/>
    <n v="180"/>
    <m/>
    <n v="0"/>
    <n v="0"/>
    <n v="8"/>
    <x v="0"/>
    <n v="0.88888888888888884"/>
    <n v="160"/>
    <n v="0"/>
    <n v="0"/>
    <n v="0.88888888888888884"/>
    <n v="160"/>
    <n v="0"/>
    <n v="0.89"/>
    <n v="160.19999999999999"/>
    <n v="1"/>
    <n v="2"/>
    <x v="1"/>
    <n v="1"/>
    <n v="180"/>
    <n v="0"/>
    <n v="1"/>
    <n v="180"/>
    <n v="3"/>
    <n v="1"/>
    <n v="0"/>
    <n v="1"/>
    <s v="have limited spaces to construct more latrines and WASH facilities"/>
    <d v="2015-02-18T00:00:00"/>
    <d v="2016-02-18T00:00:00"/>
    <n v="44"/>
    <n v="3"/>
    <n v="0"/>
    <n v="1"/>
    <n v="180"/>
    <x v="0"/>
    <m/>
    <n v="0.8"/>
    <n v="144"/>
    <n v="1"/>
    <s v="Excellent coverage"/>
    <n v="0"/>
    <x v="1"/>
    <m/>
  </r>
  <r>
    <x v="7"/>
    <s v="MMR001CMP147"/>
    <x v="5"/>
    <x v="40"/>
    <s v="NA"/>
    <s v="NA"/>
    <x v="0"/>
    <x v="1"/>
    <n v="19"/>
    <n v="68"/>
    <n v="68"/>
    <x v="1"/>
    <m/>
    <x v="2"/>
    <x v="0"/>
    <d v="2015-12-31T00:00:00"/>
    <m/>
    <m/>
    <s v="Focal NGO"/>
    <x v="0"/>
    <n v="0"/>
    <n v="0"/>
    <s v="No"/>
    <n v="0"/>
    <n v="0"/>
    <n v="1500"/>
    <n v="0"/>
    <n v="0"/>
    <n v="1"/>
    <n v="68"/>
    <n v="1"/>
    <n v="68"/>
    <n v="1"/>
    <n v="68"/>
    <x v="0"/>
    <n v="0"/>
    <n v="0"/>
    <n v="0.17"/>
    <n v="0"/>
    <n v="0"/>
    <n v="1"/>
    <n v="68"/>
    <s v="the existing 1 well is not protect and not usually used and currently IDPs used GFS. KMSS have a plan to improve that GFS as Water storage tank construction. "/>
    <n v="0"/>
    <n v="0"/>
    <n v="3"/>
    <x v="2"/>
    <n v="0.88235294117647056"/>
    <n v="60"/>
    <n v="0"/>
    <n v="0"/>
    <n v="0.88235294117647056"/>
    <n v="60"/>
    <n v="0"/>
    <n v="0.88"/>
    <n v="59.84"/>
    <n v="0.39999999999999991"/>
    <n v="0"/>
    <x v="1"/>
    <n v="0"/>
    <n v="0"/>
    <n v="0.68"/>
    <n v="0"/>
    <n v="0"/>
    <n v="0"/>
    <n v="0"/>
    <n v="0.68"/>
    <n v="0"/>
    <s v="Every IDPs HH used individual bathing spaces. "/>
    <m/>
    <s v="To be realised"/>
    <n v="0"/>
    <n v="0"/>
    <n v="19"/>
    <n v="0"/>
    <n v="0"/>
    <x v="5"/>
    <m/>
    <n v="0"/>
    <n v="0"/>
    <n v="0"/>
    <s v="No coverage"/>
    <n v="0"/>
    <x v="4"/>
    <m/>
  </r>
  <r>
    <x v="7"/>
    <s v="MMR001CMP015"/>
    <x v="5"/>
    <x v="41"/>
    <n v="97.409317000000001"/>
    <n v="25.362189999999998"/>
    <x v="0"/>
    <x v="0"/>
    <n v="105"/>
    <n v="563"/>
    <n v="328"/>
    <x v="0"/>
    <s v="KBC"/>
    <x v="1"/>
    <x v="0"/>
    <d v="2015-06-30T00:00:00"/>
    <s v="OXFAM"/>
    <d v="2015-06-30T00:00:00"/>
    <s v="Focal NGO"/>
    <x v="0"/>
    <n v="0"/>
    <n v="0"/>
    <s v="No"/>
    <n v="1"/>
    <n v="0"/>
    <n v="0"/>
    <n v="0"/>
    <n v="1"/>
    <n v="1"/>
    <n v="328"/>
    <n v="1"/>
    <n v="328"/>
    <n v="1"/>
    <n v="328"/>
    <x v="0"/>
    <n v="0"/>
    <n v="0"/>
    <n v="0"/>
    <n v="105"/>
    <n v="0"/>
    <n v="1"/>
    <n v="328"/>
    <m/>
    <n v="0"/>
    <n v="0"/>
    <n v="10"/>
    <x v="0"/>
    <n v="0.6097560975609756"/>
    <n v="200"/>
    <n v="0"/>
    <n v="0"/>
    <n v="0.6097560975609756"/>
    <n v="200"/>
    <n v="0"/>
    <n v="0.61"/>
    <n v="200.07999999999998"/>
    <n v="6.3999999999999986"/>
    <n v="1"/>
    <x v="1"/>
    <n v="0.3048780487804878"/>
    <n v="100"/>
    <n v="4.63"/>
    <n v="0.3"/>
    <n v="98.399999999999991"/>
    <n v="3"/>
    <n v="0.91463414634146345"/>
    <n v="2.63"/>
    <n v="0.91"/>
    <s v="No spaces to construct more latrines and bathing spaces/ now church committee."/>
    <d v="2015-02-18T00:00:00"/>
    <d v="2016-02-18T00:00:00"/>
    <n v="105"/>
    <n v="3"/>
    <n v="0"/>
    <n v="1"/>
    <n v="328"/>
    <x v="0"/>
    <m/>
    <n v="0.8"/>
    <n v="262.40000000000003"/>
    <n v="1"/>
    <s v="Excellent coverage"/>
    <n v="3"/>
    <x v="1"/>
    <m/>
  </r>
  <r>
    <x v="7"/>
    <s v="MMR001CMP014"/>
    <x v="5"/>
    <x v="42"/>
    <n v="97.408919999999995"/>
    <n v="25.355983999999999"/>
    <x v="0"/>
    <x v="0"/>
    <n v="143"/>
    <n v="717"/>
    <n v="462"/>
    <x v="0"/>
    <s v="KBC"/>
    <x v="1"/>
    <x v="0"/>
    <d v="2015-06-30T00:00:00"/>
    <s v="OXFAM"/>
    <d v="2015-06-30T00:00:00"/>
    <s v="Focal NGO"/>
    <x v="0"/>
    <n v="0"/>
    <n v="0"/>
    <s v="No"/>
    <n v="0"/>
    <n v="3"/>
    <n v="5600"/>
    <n v="0"/>
    <n v="1"/>
    <n v="1"/>
    <n v="462"/>
    <n v="1"/>
    <n v="462"/>
    <n v="1"/>
    <n v="462"/>
    <x v="0"/>
    <n v="0"/>
    <n v="0"/>
    <n v="0"/>
    <n v="143"/>
    <n v="0"/>
    <n v="1"/>
    <n v="462"/>
    <m/>
    <n v="0"/>
    <n v="0"/>
    <n v="34"/>
    <x v="0"/>
    <n v="1"/>
    <n v="462"/>
    <n v="0"/>
    <n v="0"/>
    <n v="1"/>
    <n v="462"/>
    <n v="0"/>
    <n v="1"/>
    <n v="462"/>
    <n v="0"/>
    <n v="3"/>
    <x v="0"/>
    <n v="0.64935064935064934"/>
    <n v="300"/>
    <n v="4.17"/>
    <n v="0.42"/>
    <n v="194.04"/>
    <n v="9"/>
    <n v="1"/>
    <n v="0"/>
    <n v="1"/>
    <s v="have limited spaces to construct more latrines"/>
    <d v="2015-02-18T00:00:00"/>
    <d v="2016-02-18T00:00:00"/>
    <n v="143"/>
    <n v="3"/>
    <n v="0"/>
    <n v="1"/>
    <n v="462"/>
    <x v="0"/>
    <m/>
    <n v="0.8"/>
    <n v="369.6"/>
    <n v="2"/>
    <s v="Excellent coverage"/>
    <n v="0"/>
    <x v="1"/>
    <m/>
  </r>
  <r>
    <x v="7"/>
    <s v="MMR001CMP016"/>
    <x v="5"/>
    <x v="43"/>
    <n v="97.411606000000006"/>
    <n v="25.360475999999998"/>
    <x v="0"/>
    <x v="0"/>
    <n v="71"/>
    <n v="319"/>
    <n v="319"/>
    <x v="0"/>
    <s v="KBC"/>
    <x v="1"/>
    <x v="0"/>
    <d v="2015-06-30T00:00:00"/>
    <s v="OXFAM"/>
    <d v="2015-06-30T00:00:00"/>
    <s v="Focal NGO"/>
    <x v="0"/>
    <n v="0"/>
    <n v="0"/>
    <s v="No"/>
    <n v="1"/>
    <n v="1"/>
    <n v="1600"/>
    <n v="0"/>
    <n v="1"/>
    <n v="1"/>
    <n v="319"/>
    <n v="1"/>
    <n v="319"/>
    <n v="1"/>
    <n v="319"/>
    <x v="0"/>
    <n v="0"/>
    <n v="0"/>
    <n v="0"/>
    <n v="71"/>
    <n v="0"/>
    <n v="1"/>
    <n v="319"/>
    <m/>
    <n v="0"/>
    <n v="0"/>
    <n v="12"/>
    <x v="0"/>
    <n v="0.75235109717868343"/>
    <n v="240"/>
    <n v="0"/>
    <n v="0"/>
    <n v="0.75235109717868343"/>
    <n v="240"/>
    <n v="0"/>
    <n v="0.75"/>
    <n v="239.25"/>
    <n v="3.9499999999999993"/>
    <n v="2"/>
    <x v="1"/>
    <n v="0.62695924764890287"/>
    <n v="200.00000000000003"/>
    <n v="1.19"/>
    <n v="0.63"/>
    <n v="200.97"/>
    <n v="3"/>
    <n v="0.94043887147335425"/>
    <n v="0.18999999999999995"/>
    <n v="0.94"/>
    <s v="due to IDPs make and sued individual bathing space, no need to construct more. And also land limited. "/>
    <d v="2015-02-18T00:00:00"/>
    <d v="2016-02-18T00:00:00"/>
    <n v="71"/>
    <n v="3"/>
    <n v="0"/>
    <n v="1"/>
    <n v="319"/>
    <x v="0"/>
    <m/>
    <n v="0.8"/>
    <n v="255.20000000000002"/>
    <n v="1"/>
    <s v="Excellent coverage"/>
    <n v="2"/>
    <x v="1"/>
    <s v="temporary  incinerator not functioning"/>
  </r>
  <r>
    <x v="7"/>
    <s v="MMR001CMP008"/>
    <x v="5"/>
    <x v="44"/>
    <n v="97.418694000000002"/>
    <n v="25.428910999999999"/>
    <x v="0"/>
    <x v="0"/>
    <n v="87"/>
    <n v="452"/>
    <n v="452"/>
    <x v="0"/>
    <s v="KBC"/>
    <x v="1"/>
    <x v="0"/>
    <d v="2015-06-30T00:00:00"/>
    <s v="OXFAM"/>
    <d v="2015-06-30T00:00:00"/>
    <s v="Focal NGO"/>
    <x v="0"/>
    <n v="0"/>
    <n v="0"/>
    <s v="No"/>
    <n v="2"/>
    <n v="0"/>
    <n v="1000"/>
    <n v="0"/>
    <n v="1"/>
    <n v="1"/>
    <n v="452"/>
    <n v="1"/>
    <n v="452"/>
    <n v="1"/>
    <n v="452"/>
    <x v="0"/>
    <n v="0"/>
    <n v="0"/>
    <n v="0"/>
    <n v="87"/>
    <n v="0"/>
    <n v="1"/>
    <n v="452"/>
    <m/>
    <n v="0"/>
    <n v="0"/>
    <n v="24"/>
    <x v="0"/>
    <n v="1"/>
    <n v="452"/>
    <n v="0"/>
    <n v="0"/>
    <n v="1"/>
    <n v="452"/>
    <n v="0"/>
    <n v="1"/>
    <n v="452"/>
    <n v="0"/>
    <n v="1"/>
    <x v="1"/>
    <n v="0.22123893805309736"/>
    <n v="100"/>
    <n v="3.5199999999999996"/>
    <n v="0.22"/>
    <n v="99.44"/>
    <n v="12"/>
    <n v="1"/>
    <n v="0"/>
    <n v="1"/>
    <m/>
    <d v="2015-02-18T00:00:00"/>
    <d v="2016-02-18T00:00:00"/>
    <n v="87"/>
    <n v="3"/>
    <n v="0"/>
    <n v="1"/>
    <n v="452"/>
    <x v="0"/>
    <m/>
    <n v="0.75"/>
    <n v="339"/>
    <n v="1"/>
    <s v="Excellent coverage"/>
    <n v="1"/>
    <x v="1"/>
    <s v="temporary  incinerator not functioning"/>
  </r>
  <r>
    <x v="7"/>
    <s v="MMR001CMP020"/>
    <x v="5"/>
    <x v="45"/>
    <n v="97.284729999999996"/>
    <n v="25.374020000000002"/>
    <x v="0"/>
    <x v="0"/>
    <n v="22"/>
    <n v="100"/>
    <n v="100"/>
    <x v="1"/>
    <s v="Shalom"/>
    <x v="0"/>
    <x v="0"/>
    <d v="2015-05-31T00:00:00"/>
    <m/>
    <m/>
    <s v="Focal NGO"/>
    <x v="0"/>
    <n v="0"/>
    <n v="0"/>
    <s v="No"/>
    <n v="1"/>
    <n v="1"/>
    <n v="3000"/>
    <n v="0"/>
    <n v="0"/>
    <n v="1"/>
    <n v="100"/>
    <n v="1"/>
    <n v="100"/>
    <n v="1"/>
    <n v="100"/>
    <x v="0"/>
    <n v="0"/>
    <n v="0"/>
    <n v="0"/>
    <n v="0"/>
    <n v="0"/>
    <n v="1"/>
    <n v="100"/>
    <m/>
    <n v="0"/>
    <n v="0"/>
    <n v="6"/>
    <x v="0"/>
    <n v="1"/>
    <n v="100"/>
    <n v="0"/>
    <n v="0"/>
    <n v="1"/>
    <n v="100"/>
    <n v="0"/>
    <n v="1"/>
    <n v="100"/>
    <n v="0"/>
    <n v="2"/>
    <x v="3"/>
    <n v="1"/>
    <n v="100"/>
    <n v="0"/>
    <n v="1"/>
    <n v="100"/>
    <n v="3"/>
    <n v="1"/>
    <n v="0"/>
    <n v="1"/>
    <m/>
    <d v="2015-02-13T00:00:00"/>
    <d v="2016-02-13T00:00:00"/>
    <n v="22"/>
    <n v="3"/>
    <n v="0"/>
    <n v="1"/>
    <n v="100"/>
    <x v="0"/>
    <m/>
    <n v="1"/>
    <n v="100"/>
    <n v="2"/>
    <s v="Excellent coverage"/>
    <n v="1"/>
    <x v="0"/>
    <s v="temporary incinerator have implemented as pilot by Oxfam but it was not functioning now"/>
  </r>
  <r>
    <x v="7"/>
    <s v="MMR001CMP021"/>
    <x v="5"/>
    <x v="46"/>
    <n v="97.291079999999994"/>
    <n v="25.371179999999999"/>
    <x v="0"/>
    <x v="0"/>
    <n v="14"/>
    <n v="73"/>
    <n v="73"/>
    <x v="1"/>
    <s v="Shalom"/>
    <x v="0"/>
    <x v="0"/>
    <d v="2015-05-31T00:00:00"/>
    <m/>
    <m/>
    <s v="Focal NGO"/>
    <x v="0"/>
    <n v="0"/>
    <n v="0"/>
    <s v="No"/>
    <n v="1"/>
    <n v="0"/>
    <n v="3000"/>
    <n v="0"/>
    <n v="0"/>
    <n v="1"/>
    <n v="73"/>
    <n v="1"/>
    <n v="73"/>
    <n v="1"/>
    <n v="73"/>
    <x v="0"/>
    <n v="0"/>
    <n v="0"/>
    <n v="0"/>
    <n v="0"/>
    <n v="0"/>
    <n v="1"/>
    <n v="73"/>
    <m/>
    <n v="0"/>
    <n v="2"/>
    <n v="3"/>
    <x v="0"/>
    <n v="1"/>
    <n v="73"/>
    <n v="0.17808219178082196"/>
    <n v="13.000000000000004"/>
    <n v="0.82191780821917804"/>
    <n v="60"/>
    <n v="0"/>
    <n v="1"/>
    <n v="73"/>
    <n v="0.64999999999999991"/>
    <n v="2"/>
    <x v="0"/>
    <n v="1"/>
    <n v="73"/>
    <n v="0"/>
    <n v="1"/>
    <n v="73"/>
    <n v="3"/>
    <n v="1"/>
    <n v="0"/>
    <n v="1"/>
    <m/>
    <d v="2015-02-13T00:00:00"/>
    <d v="2016-02-13T00:00:00"/>
    <n v="14"/>
    <n v="3"/>
    <n v="0"/>
    <n v="1"/>
    <n v="73"/>
    <x v="0"/>
    <m/>
    <n v="1"/>
    <n v="73"/>
    <n v="2"/>
    <s v="Excellent coverage"/>
    <n v="0"/>
    <x v="0"/>
    <m/>
  </r>
  <r>
    <x v="7"/>
    <s v="MMR001CMP024"/>
    <x v="5"/>
    <x v="47"/>
    <n v="97.359380000000002"/>
    <n v="25.411770000000001"/>
    <x v="0"/>
    <x v="0"/>
    <n v="72"/>
    <n v="308"/>
    <n v="308"/>
    <x v="0"/>
    <s v="KMSS"/>
    <x v="2"/>
    <x v="0"/>
    <d v="2015-12-31T00:00:00"/>
    <m/>
    <m/>
    <s v="Focal NGO"/>
    <x v="0"/>
    <n v="0"/>
    <n v="0"/>
    <s v="No"/>
    <n v="0"/>
    <n v="4"/>
    <n v="8000"/>
    <n v="0"/>
    <n v="1"/>
    <n v="1"/>
    <n v="308"/>
    <n v="1"/>
    <n v="308"/>
    <n v="1"/>
    <n v="308"/>
    <x v="0"/>
    <n v="0"/>
    <n v="0"/>
    <n v="0"/>
    <n v="72"/>
    <n v="0"/>
    <n v="1"/>
    <n v="308"/>
    <s v="74 CWF distributed on 27th February 15 (with ICRC)"/>
    <n v="33"/>
    <n v="17"/>
    <n v="6"/>
    <x v="1"/>
    <n v="1"/>
    <n v="308"/>
    <n v="0.61038961038961037"/>
    <n v="188"/>
    <n v="0.38961038961038963"/>
    <n v="120"/>
    <n v="0"/>
    <n v="1"/>
    <n v="308"/>
    <n v="9.4"/>
    <n v="3"/>
    <x v="0"/>
    <n v="0.97402597402597402"/>
    <n v="300"/>
    <n v="8.0000000000000071E-2"/>
    <n v="0.97"/>
    <n v="298.76"/>
    <n v="4"/>
    <n v="1"/>
    <n v="0"/>
    <n v="1"/>
    <s v="now all of HWS don't use , they wash their hands only in the Bathing Spaces"/>
    <d v="2014-05-22T00:00:00"/>
    <s v="To be realised"/>
    <n v="72"/>
    <n v="2"/>
    <n v="72"/>
    <n v="0"/>
    <n v="0"/>
    <x v="6"/>
    <m/>
    <n v="0"/>
    <n v="0"/>
    <n v="0"/>
    <s v="No coverage"/>
    <n v="0"/>
    <x v="1"/>
    <m/>
  </r>
  <r>
    <x v="7"/>
    <s v="MMR001CMP002"/>
    <x v="5"/>
    <x v="48"/>
    <n v="97.394547000000003"/>
    <n v="25.422194000000001"/>
    <x v="0"/>
    <x v="0"/>
    <n v="55"/>
    <n v="229"/>
    <n v="229"/>
    <x v="0"/>
    <s v="KBC"/>
    <x v="1"/>
    <x v="0"/>
    <d v="2015-06-30T00:00:00"/>
    <s v="OXFAM"/>
    <d v="2015-06-30T00:00:00"/>
    <s v="Focal NGO"/>
    <x v="0"/>
    <n v="0"/>
    <n v="0"/>
    <s v="No"/>
    <n v="2"/>
    <n v="2"/>
    <n v="0"/>
    <n v="0"/>
    <n v="1"/>
    <n v="1"/>
    <n v="229"/>
    <n v="1"/>
    <n v="229"/>
    <n v="1"/>
    <n v="229"/>
    <x v="0"/>
    <n v="0"/>
    <n v="0"/>
    <n v="0"/>
    <n v="55"/>
    <n v="0"/>
    <n v="1"/>
    <n v="229"/>
    <m/>
    <n v="0"/>
    <n v="0"/>
    <n v="8"/>
    <x v="0"/>
    <n v="0.69868995633187769"/>
    <n v="160"/>
    <n v="0"/>
    <n v="0"/>
    <n v="0.69868995633187769"/>
    <n v="160"/>
    <n v="0"/>
    <n v="0.7"/>
    <n v="160.29999999999998"/>
    <n v="3.4499999999999993"/>
    <n v="2"/>
    <x v="0"/>
    <n v="0.8733624454148472"/>
    <n v="200"/>
    <n v="0.29000000000000004"/>
    <n v="0.87"/>
    <n v="199.23"/>
    <n v="6"/>
    <n v="1"/>
    <n v="0"/>
    <n v="1"/>
    <s v="have limited spaces to construct more sanitation facilities. "/>
    <d v="2015-02-18T00:00:00"/>
    <d v="2016-02-18T00:00:00"/>
    <n v="55"/>
    <n v="3"/>
    <n v="0"/>
    <n v="1"/>
    <n v="229"/>
    <x v="0"/>
    <m/>
    <n v="0.8"/>
    <n v="183.20000000000002"/>
    <n v="1"/>
    <s v="Excellent coverage"/>
    <n v="0"/>
    <x v="1"/>
    <m/>
  </r>
  <r>
    <x v="7"/>
    <s v="MMR001CMP162"/>
    <x v="5"/>
    <x v="49"/>
    <n v="97.4345"/>
    <n v="25.493819999999999"/>
    <x v="0"/>
    <x v="0"/>
    <n v="28"/>
    <n v="176"/>
    <n v="176"/>
    <x v="1"/>
    <s v="KMSS"/>
    <x v="2"/>
    <x v="0"/>
    <d v="2015-12-31T00:00:00"/>
    <m/>
    <m/>
    <s v="Focal NGO"/>
    <x v="0"/>
    <n v="0"/>
    <n v="0"/>
    <s v="No"/>
    <n v="1"/>
    <n v="1"/>
    <n v="3000"/>
    <n v="0"/>
    <n v="1"/>
    <n v="1"/>
    <n v="176"/>
    <n v="1"/>
    <n v="176"/>
    <n v="1"/>
    <n v="176"/>
    <x v="0"/>
    <n v="0"/>
    <n v="0"/>
    <n v="0"/>
    <n v="28"/>
    <n v="0"/>
    <n v="1"/>
    <n v="176"/>
    <s v="28 CWF distri buted on 27th February 15"/>
    <n v="10"/>
    <n v="0"/>
    <n v="10"/>
    <x v="0"/>
    <n v="1"/>
    <n v="176"/>
    <n v="0"/>
    <n v="0"/>
    <n v="1"/>
    <n v="176"/>
    <n v="0"/>
    <n v="1"/>
    <n v="176"/>
    <n v="0"/>
    <n v="2"/>
    <x v="0"/>
    <n v="1"/>
    <n v="176"/>
    <n v="0"/>
    <n v="1"/>
    <n v="176"/>
    <n v="3"/>
    <n v="1"/>
    <n v="0"/>
    <n v="1"/>
    <m/>
    <d v="2014-05-22T00:00:00"/>
    <s v="To be realised"/>
    <n v="28"/>
    <n v="2"/>
    <n v="28"/>
    <n v="0"/>
    <n v="0"/>
    <x v="6"/>
    <m/>
    <n v="0"/>
    <n v="0"/>
    <n v="0"/>
    <s v="No coverage"/>
    <n v="0"/>
    <x v="1"/>
    <m/>
  </r>
  <r>
    <x v="7"/>
    <s v="MMR001CMP006"/>
    <x v="5"/>
    <x v="50"/>
    <n v="97.399628000000007"/>
    <n v="25.412313000000001"/>
    <x v="0"/>
    <x v="0"/>
    <n v="100"/>
    <n v="400"/>
    <n v="400"/>
    <x v="0"/>
    <s v="KBC"/>
    <x v="1"/>
    <x v="0"/>
    <d v="2015-06-30T00:00:00"/>
    <s v="OXFAM"/>
    <d v="2015-06-30T00:00:00"/>
    <s v="Focal NGO"/>
    <x v="0"/>
    <n v="0"/>
    <n v="0"/>
    <s v="No"/>
    <n v="2"/>
    <n v="1"/>
    <n v="3000"/>
    <n v="0"/>
    <n v="1"/>
    <n v="1"/>
    <n v="400"/>
    <n v="1"/>
    <n v="400"/>
    <n v="1"/>
    <n v="400"/>
    <x v="0"/>
    <n v="0"/>
    <n v="0"/>
    <n v="0"/>
    <n v="100"/>
    <n v="0"/>
    <n v="1"/>
    <n v="400"/>
    <m/>
    <n v="0"/>
    <n v="0"/>
    <n v="15"/>
    <x v="0"/>
    <n v="0.75"/>
    <n v="300"/>
    <n v="0"/>
    <n v="0"/>
    <n v="0.75"/>
    <n v="300"/>
    <n v="0"/>
    <n v="0.75"/>
    <n v="300"/>
    <n v="5"/>
    <n v="2"/>
    <x v="1"/>
    <n v="0.5"/>
    <n v="200"/>
    <n v="2"/>
    <n v="0.51"/>
    <n v="204"/>
    <n v="12"/>
    <n v="1"/>
    <n v="0"/>
    <n v="1"/>
    <s v="have limited spaces to construct more latrines"/>
    <d v="2015-02-18T00:00:00"/>
    <d v="2016-02-18T00:00:00"/>
    <n v="100"/>
    <n v="3"/>
    <n v="0"/>
    <n v="1"/>
    <n v="400"/>
    <x v="0"/>
    <m/>
    <n v="0.8"/>
    <n v="320"/>
    <n v="2"/>
    <s v="Excellent coverage"/>
    <n v="0"/>
    <x v="1"/>
    <m/>
  </r>
  <r>
    <x v="7"/>
    <s v="MMR001CMP007"/>
    <x v="5"/>
    <x v="51"/>
    <n v="97.418004999999994"/>
    <n v="25.423817"/>
    <x v="0"/>
    <x v="0"/>
    <n v="28"/>
    <n v="130"/>
    <n v="130"/>
    <x v="1"/>
    <s v="Shalom"/>
    <x v="0"/>
    <x v="0"/>
    <d v="2015-05-31T00:00:00"/>
    <m/>
    <m/>
    <s v="Focal NGO"/>
    <x v="0"/>
    <n v="0"/>
    <n v="0"/>
    <s v="No"/>
    <n v="2"/>
    <n v="0"/>
    <n v="0"/>
    <n v="0"/>
    <n v="0"/>
    <n v="1"/>
    <n v="130"/>
    <n v="1"/>
    <n v="130"/>
    <n v="1"/>
    <n v="130"/>
    <x v="0"/>
    <n v="0"/>
    <n v="0"/>
    <n v="0"/>
    <n v="0"/>
    <n v="0"/>
    <n v="1"/>
    <n v="130"/>
    <m/>
    <n v="0"/>
    <n v="0"/>
    <n v="5"/>
    <x v="0"/>
    <n v="0.76923076923076927"/>
    <n v="100"/>
    <n v="0"/>
    <n v="0"/>
    <n v="0.76923076923076927"/>
    <n v="100"/>
    <n v="0"/>
    <n v="1"/>
    <n v="130"/>
    <n v="1.5"/>
    <n v="2"/>
    <x v="0"/>
    <n v="1"/>
    <n v="130"/>
    <n v="0"/>
    <n v="1"/>
    <n v="130"/>
    <n v="2"/>
    <n v="1"/>
    <n v="0"/>
    <n v="1"/>
    <m/>
    <d v="2015-02-13T00:00:00"/>
    <d v="2016-02-13T00:00:00"/>
    <n v="16"/>
    <n v="3"/>
    <n v="12"/>
    <n v="0.5714285714285714"/>
    <n v="74.285714285714278"/>
    <x v="0"/>
    <m/>
    <n v="1"/>
    <n v="130"/>
    <n v="2"/>
    <s v="Excellent coverage"/>
    <n v="0"/>
    <x v="0"/>
    <m/>
  </r>
  <r>
    <x v="7"/>
    <s v="MMR001CMP009"/>
    <x v="5"/>
    <x v="52"/>
    <n v="97.419403000000003"/>
    <n v="25.440928"/>
    <x v="0"/>
    <x v="0"/>
    <n v="83"/>
    <n v="425"/>
    <n v="425"/>
    <x v="0"/>
    <s v="KBC"/>
    <x v="1"/>
    <x v="0"/>
    <d v="2015-06-30T00:00:00"/>
    <s v="OXFAM"/>
    <d v="2015-06-30T00:00:00"/>
    <s v="Focal NGO"/>
    <x v="0"/>
    <n v="0"/>
    <n v="0"/>
    <s v="No"/>
    <n v="2"/>
    <n v="0"/>
    <n v="2000"/>
    <n v="0"/>
    <n v="1"/>
    <n v="1"/>
    <n v="425"/>
    <n v="1"/>
    <n v="425"/>
    <n v="1"/>
    <n v="425"/>
    <x v="0"/>
    <n v="0"/>
    <n v="0"/>
    <n v="0"/>
    <n v="83"/>
    <n v="0"/>
    <n v="1"/>
    <n v="425"/>
    <m/>
    <n v="0"/>
    <n v="0"/>
    <n v="16"/>
    <x v="0"/>
    <n v="0.75294117647058822"/>
    <n v="320"/>
    <n v="0"/>
    <n v="0"/>
    <n v="0.75294117647058822"/>
    <n v="320"/>
    <n v="0"/>
    <n v="0.75"/>
    <n v="318.75"/>
    <n v="5.25"/>
    <n v="1"/>
    <x v="1"/>
    <n v="0.23529411764705882"/>
    <n v="100"/>
    <n v="3.25"/>
    <n v="0.24"/>
    <n v="102"/>
    <n v="6"/>
    <n v="1"/>
    <n v="0"/>
    <n v="1"/>
    <s v="have limited spaces to construct more latrines, 1 BS can be repair by updating water supply system"/>
    <d v="2015-02-18T00:00:00"/>
    <d v="2016-02-18T00:00:00"/>
    <n v="83"/>
    <n v="3"/>
    <n v="0"/>
    <n v="1"/>
    <n v="425"/>
    <x v="0"/>
    <m/>
    <n v="0.8"/>
    <n v="340"/>
    <n v="1"/>
    <s v="Excellent coverage"/>
    <n v="0"/>
    <x v="1"/>
    <m/>
  </r>
  <r>
    <x v="7"/>
    <s v="MMR001CMP001"/>
    <x v="5"/>
    <x v="53"/>
    <n v="97.386718999999999"/>
    <n v="25.415482000000001"/>
    <x v="0"/>
    <x v="0"/>
    <n v="87"/>
    <n v="258"/>
    <n v="258"/>
    <x v="0"/>
    <s v="KBC"/>
    <x v="1"/>
    <x v="0"/>
    <d v="2015-06-30T00:00:00"/>
    <s v="OXFAM"/>
    <d v="2015-06-30T00:00:00"/>
    <s v="Focal NGO"/>
    <x v="0"/>
    <n v="0"/>
    <n v="0"/>
    <s v="No"/>
    <n v="0"/>
    <n v="3"/>
    <n v="1000"/>
    <n v="0"/>
    <n v="1"/>
    <n v="1"/>
    <n v="258"/>
    <n v="1"/>
    <n v="258"/>
    <n v="1"/>
    <n v="258"/>
    <x v="0"/>
    <n v="0"/>
    <n v="0"/>
    <n v="0"/>
    <n v="87"/>
    <n v="0"/>
    <n v="1"/>
    <n v="258"/>
    <m/>
    <n v="0"/>
    <n v="0"/>
    <n v="10"/>
    <x v="1"/>
    <n v="0.77519379844961245"/>
    <n v="200"/>
    <n v="0"/>
    <n v="0"/>
    <n v="0.77519379844961245"/>
    <n v="200"/>
    <n v="0"/>
    <n v="0.78"/>
    <n v="201.24"/>
    <n v="2.9000000000000004"/>
    <n v="2"/>
    <x v="2"/>
    <n v="0.77519379844961245"/>
    <n v="200"/>
    <n v="0.58000000000000007"/>
    <n v="0.78"/>
    <n v="201.24"/>
    <n v="1"/>
    <n v="0.38759689922480622"/>
    <n v="1.58"/>
    <n v="0.39"/>
    <s v="have limited spaces to construct more sanitation facilities. "/>
    <d v="2015-02-18T00:00:00"/>
    <d v="2016-02-18T00:00:00"/>
    <n v="87"/>
    <n v="3"/>
    <n v="0"/>
    <n v="1"/>
    <n v="258"/>
    <x v="0"/>
    <m/>
    <n v="0.8"/>
    <n v="206.4"/>
    <n v="1"/>
    <s v="Excellent coverage"/>
    <n v="0"/>
    <x v="1"/>
    <m/>
  </r>
  <r>
    <x v="7"/>
    <s v="MMR001CMP023"/>
    <x v="5"/>
    <x v="54"/>
    <n v="97.387370000000004"/>
    <n v="25.42595"/>
    <x v="0"/>
    <x v="0"/>
    <n v="34"/>
    <n v="176"/>
    <n v="176"/>
    <x v="1"/>
    <s v="Shalom"/>
    <x v="0"/>
    <x v="0"/>
    <d v="2015-05-31T00:00:00"/>
    <m/>
    <m/>
    <s v="Focal NGO"/>
    <x v="0"/>
    <n v="0"/>
    <n v="15840"/>
    <s v="Yes"/>
    <n v="1"/>
    <n v="2"/>
    <n v="0"/>
    <n v="0"/>
    <n v="0"/>
    <n v="1"/>
    <n v="176"/>
    <n v="1"/>
    <n v="176"/>
    <n v="1"/>
    <n v="176"/>
    <x v="0"/>
    <n v="0"/>
    <n v="0"/>
    <n v="0"/>
    <n v="0"/>
    <n v="0"/>
    <n v="1"/>
    <n v="176"/>
    <m/>
    <n v="0"/>
    <n v="2"/>
    <n v="8"/>
    <x v="0"/>
    <n v="1"/>
    <n v="176"/>
    <n v="9.0909090909090939E-2"/>
    <n v="16.000000000000007"/>
    <n v="0.90909090909090906"/>
    <n v="160"/>
    <n v="0"/>
    <n v="1"/>
    <n v="176"/>
    <n v="0.80000000000000071"/>
    <n v="2"/>
    <x v="1"/>
    <n v="1"/>
    <n v="176"/>
    <n v="0"/>
    <n v="1"/>
    <n v="176"/>
    <n v="2"/>
    <n v="1"/>
    <n v="0"/>
    <n v="1"/>
    <m/>
    <d v="2015-02-13T00:00:00"/>
    <d v="2016-02-13T00:00:00"/>
    <n v="34"/>
    <n v="3"/>
    <n v="0"/>
    <n v="1"/>
    <n v="176"/>
    <x v="0"/>
    <m/>
    <n v="1"/>
    <n v="176"/>
    <n v="1"/>
    <s v="Excellent coverage"/>
    <n v="0"/>
    <x v="0"/>
    <m/>
  </r>
  <r>
    <x v="7"/>
    <s v="MMR001CMP023"/>
    <x v="5"/>
    <x v="55"/>
    <n v="97.388400000000004"/>
    <n v="25.40982"/>
    <x v="0"/>
    <x v="0"/>
    <n v="35"/>
    <n v="160"/>
    <n v="160"/>
    <x v="1"/>
    <s v="Shalom"/>
    <x v="0"/>
    <x v="0"/>
    <d v="2015-05-31T00:00:00"/>
    <m/>
    <m/>
    <s v="Focal NGO"/>
    <x v="0"/>
    <n v="0"/>
    <n v="14400"/>
    <s v="Yes"/>
    <n v="1"/>
    <n v="2"/>
    <n v="2000"/>
    <n v="0"/>
    <n v="0"/>
    <n v="1"/>
    <n v="160"/>
    <n v="1"/>
    <n v="160"/>
    <n v="1"/>
    <n v="160"/>
    <x v="0"/>
    <n v="0"/>
    <n v="0"/>
    <n v="0"/>
    <n v="0"/>
    <n v="0"/>
    <n v="1"/>
    <n v="160"/>
    <m/>
    <n v="16"/>
    <n v="3"/>
    <n v="6"/>
    <x v="0"/>
    <n v="1"/>
    <n v="160"/>
    <n v="0.25"/>
    <n v="40"/>
    <n v="0.75"/>
    <n v="120"/>
    <n v="0"/>
    <n v="1"/>
    <n v="160"/>
    <n v="2"/>
    <n v="2"/>
    <x v="0"/>
    <n v="1"/>
    <n v="160"/>
    <n v="0"/>
    <n v="1"/>
    <n v="160"/>
    <n v="6"/>
    <n v="1"/>
    <n v="0"/>
    <n v="1"/>
    <m/>
    <d v="2015-02-13T00:00:00"/>
    <d v="2016-02-13T00:00:00"/>
    <n v="35"/>
    <n v="3"/>
    <n v="0"/>
    <n v="1"/>
    <n v="160"/>
    <x v="0"/>
    <m/>
    <n v="1"/>
    <n v="160"/>
    <n v="1"/>
    <s v="Excellent coverage"/>
    <n v="0"/>
    <x v="0"/>
    <m/>
  </r>
  <r>
    <x v="7"/>
    <s v="MMR001CMP004"/>
    <x v="5"/>
    <x v="56"/>
    <n v="97.379272"/>
    <n v="25.401074999999999"/>
    <x v="0"/>
    <x v="0"/>
    <n v="7"/>
    <n v="30"/>
    <n v="30"/>
    <x v="1"/>
    <s v="Shalom"/>
    <x v="0"/>
    <x v="0"/>
    <d v="2015-05-31T00:00:00"/>
    <m/>
    <m/>
    <s v="Focal NGO"/>
    <x v="0"/>
    <n v="0"/>
    <n v="0"/>
    <s v="No"/>
    <n v="0"/>
    <n v="1"/>
    <n v="3600"/>
    <n v="0"/>
    <n v="0"/>
    <n v="1"/>
    <n v="30"/>
    <n v="1"/>
    <n v="30"/>
    <n v="1"/>
    <n v="30"/>
    <x v="0"/>
    <n v="0"/>
    <n v="0"/>
    <n v="0"/>
    <n v="0"/>
    <n v="0"/>
    <n v="1"/>
    <n v="30"/>
    <m/>
    <n v="0"/>
    <n v="0"/>
    <n v="2"/>
    <x v="0"/>
    <n v="1"/>
    <n v="30"/>
    <n v="0"/>
    <n v="0"/>
    <n v="1"/>
    <n v="30"/>
    <n v="0"/>
    <n v="1"/>
    <n v="30"/>
    <n v="0"/>
    <n v="1"/>
    <x v="0"/>
    <n v="1"/>
    <n v="30"/>
    <n v="0"/>
    <n v="1"/>
    <n v="30"/>
    <n v="3"/>
    <n v="1"/>
    <n v="0"/>
    <n v="1"/>
    <m/>
    <d v="2015-02-13T00:00:00"/>
    <d v="2016-02-13T00:00:00"/>
    <n v="7"/>
    <n v="3"/>
    <n v="0"/>
    <n v="1"/>
    <n v="30"/>
    <x v="0"/>
    <m/>
    <n v="1"/>
    <n v="30"/>
    <n v="2"/>
    <s v="Excellent coverage"/>
    <n v="1"/>
    <x v="0"/>
    <s v="temporary incinerator have implemented as pilot by Oxfam but it was not functioning now"/>
  </r>
  <r>
    <x v="7"/>
    <s v="MMR001CMP003"/>
    <x v="5"/>
    <x v="57"/>
    <n v="97.377662999999998"/>
    <n v="25.404752999999999"/>
    <x v="0"/>
    <x v="0"/>
    <n v="31"/>
    <n v="131"/>
    <n v="131"/>
    <x v="1"/>
    <s v="KBC"/>
    <x v="1"/>
    <x v="0"/>
    <d v="2015-06-30T00:00:00"/>
    <s v="OXFAM"/>
    <d v="2015-06-30T00:00:00"/>
    <s v="Focal NGO"/>
    <x v="0"/>
    <n v="0"/>
    <n v="0"/>
    <s v="No"/>
    <n v="0"/>
    <n v="2"/>
    <n v="2000"/>
    <n v="0"/>
    <n v="1"/>
    <n v="1"/>
    <n v="131"/>
    <n v="1"/>
    <n v="131"/>
    <n v="1"/>
    <n v="131"/>
    <x v="0"/>
    <n v="0"/>
    <n v="0"/>
    <n v="0"/>
    <n v="31"/>
    <n v="0"/>
    <n v="1"/>
    <n v="131"/>
    <m/>
    <n v="0"/>
    <n v="0"/>
    <n v="7"/>
    <x v="1"/>
    <n v="1"/>
    <n v="131"/>
    <n v="0"/>
    <n v="0"/>
    <n v="1"/>
    <n v="131"/>
    <n v="0"/>
    <n v="1"/>
    <n v="131"/>
    <n v="0"/>
    <n v="2"/>
    <x v="1"/>
    <n v="1"/>
    <n v="131"/>
    <n v="0"/>
    <n v="1"/>
    <n v="131"/>
    <n v="4"/>
    <n v="1"/>
    <n v="0"/>
    <n v="1"/>
    <m/>
    <d v="2015-02-18T00:00:00"/>
    <d v="2016-02-18T00:00:00"/>
    <n v="31"/>
    <n v="3"/>
    <n v="0"/>
    <n v="1"/>
    <n v="131"/>
    <x v="0"/>
    <m/>
    <n v="0.8"/>
    <n v="104.80000000000001"/>
    <n v="1"/>
    <s v="Excellent coverage"/>
    <n v="1"/>
    <x v="1"/>
    <s v="temporary  incinerator not functioning"/>
  </r>
  <r>
    <x v="7"/>
    <s v="MMR001CMP005"/>
    <x v="5"/>
    <x v="58"/>
    <n v="97.382192000000003"/>
    <n v="25.404015000000001"/>
    <x v="0"/>
    <x v="0"/>
    <n v="33"/>
    <n v="120"/>
    <n v="120"/>
    <x v="1"/>
    <s v="KBC"/>
    <x v="1"/>
    <x v="0"/>
    <d v="2015-06-30T00:00:00"/>
    <s v="OXFAM"/>
    <d v="2015-06-30T00:00:00"/>
    <s v="Focal NGO"/>
    <x v="0"/>
    <n v="0"/>
    <n v="0"/>
    <s v="No"/>
    <n v="0"/>
    <n v="2"/>
    <n v="0"/>
    <n v="0"/>
    <n v="1"/>
    <n v="1"/>
    <n v="120"/>
    <n v="1"/>
    <n v="120"/>
    <n v="1"/>
    <n v="120"/>
    <x v="0"/>
    <n v="0"/>
    <n v="0"/>
    <n v="0"/>
    <n v="33"/>
    <n v="0"/>
    <n v="1"/>
    <n v="120"/>
    <m/>
    <n v="0"/>
    <n v="0"/>
    <n v="8"/>
    <x v="0"/>
    <n v="1"/>
    <n v="120"/>
    <n v="0"/>
    <n v="0"/>
    <n v="1"/>
    <n v="120"/>
    <n v="0"/>
    <n v="1"/>
    <n v="120"/>
    <n v="0"/>
    <n v="1"/>
    <x v="1"/>
    <n v="0.83333333333333337"/>
    <n v="100"/>
    <n v="0.19999999999999996"/>
    <n v="0.83"/>
    <n v="99.6"/>
    <n v="5"/>
    <n v="1"/>
    <n v="0"/>
    <n v="1"/>
    <s v="And also land limited for new sanitation facitlies construction. But Church committee have a plan to relocate some people from this camp to another place. "/>
    <d v="2015-02-18T00:00:00"/>
    <d v="2016-02-18T00:00:00"/>
    <n v="33"/>
    <n v="3"/>
    <n v="0"/>
    <n v="1"/>
    <n v="120"/>
    <x v="0"/>
    <m/>
    <n v="0.8"/>
    <n v="96"/>
    <n v="1"/>
    <s v="Excellent coverage"/>
    <n v="0"/>
    <x v="1"/>
    <m/>
  </r>
  <r>
    <x v="7"/>
    <s v="MMR001CMP022"/>
    <x v="5"/>
    <x v="59"/>
    <n v="97.403407999999999"/>
    <n v="25.377545999999999"/>
    <x v="0"/>
    <x v="0"/>
    <n v="6"/>
    <n v="37"/>
    <n v="37"/>
    <x v="1"/>
    <s v="Shalom"/>
    <x v="0"/>
    <x v="0"/>
    <d v="2015-05-31T00:00:00"/>
    <m/>
    <m/>
    <s v="Focal NGO"/>
    <x v="0"/>
    <n v="0"/>
    <n v="0"/>
    <s v="No"/>
    <n v="0"/>
    <n v="0"/>
    <n v="7200"/>
    <n v="0"/>
    <n v="0"/>
    <n v="1"/>
    <n v="37"/>
    <n v="1"/>
    <n v="37"/>
    <n v="1"/>
    <n v="37"/>
    <x v="0"/>
    <n v="0"/>
    <n v="0"/>
    <n v="9.2499999999999999E-2"/>
    <n v="0"/>
    <n v="0"/>
    <n v="1"/>
    <n v="37"/>
    <m/>
    <n v="0"/>
    <n v="0"/>
    <n v="6"/>
    <x v="0"/>
    <n v="1"/>
    <n v="37"/>
    <n v="0"/>
    <n v="0"/>
    <n v="1"/>
    <n v="37"/>
    <n v="0"/>
    <n v="1"/>
    <n v="37"/>
    <n v="0"/>
    <n v="1"/>
    <x v="3"/>
    <n v="1"/>
    <n v="37"/>
    <n v="0"/>
    <n v="1"/>
    <n v="37"/>
    <n v="2"/>
    <n v="1"/>
    <n v="0"/>
    <n v="1"/>
    <m/>
    <d v="2015-02-13T00:00:00"/>
    <d v="2016-02-13T00:00:00"/>
    <n v="6"/>
    <n v="3"/>
    <n v="0"/>
    <n v="1"/>
    <n v="37"/>
    <x v="0"/>
    <m/>
    <n v="1"/>
    <n v="37"/>
    <n v="2"/>
    <s v="Excellent coverage"/>
    <n v="0"/>
    <x v="0"/>
    <m/>
  </r>
  <r>
    <x v="8"/>
    <s v="MMR001CMP075"/>
    <x v="0"/>
    <x v="60"/>
    <n v="97.418279999999996"/>
    <n v="27.310880000000001"/>
    <x v="1"/>
    <x v="0"/>
    <n v="14"/>
    <n v="64"/>
    <n v="64"/>
    <x v="1"/>
    <m/>
    <x v="3"/>
    <x v="1"/>
    <m/>
    <m/>
    <m/>
    <s v="WASH cluster"/>
    <x v="0"/>
    <n v="0"/>
    <n v="0"/>
    <s v="No"/>
    <n v="1"/>
    <n v="0"/>
    <n v="0"/>
    <n v="0"/>
    <n v="0"/>
    <n v="1"/>
    <n v="64"/>
    <n v="1"/>
    <n v="64"/>
    <n v="1"/>
    <n v="64"/>
    <x v="0"/>
    <n v="0"/>
    <n v="0"/>
    <n v="0"/>
    <n v="0"/>
    <n v="0"/>
    <n v="1"/>
    <n v="64"/>
    <m/>
    <n v="14"/>
    <n v="14"/>
    <n v="0"/>
    <x v="2"/>
    <n v="1"/>
    <n v="64"/>
    <n v="1"/>
    <n v="64"/>
    <n v="0"/>
    <n v="0"/>
    <n v="0"/>
    <n v="1"/>
    <n v="64"/>
    <n v="3.2"/>
    <n v="0"/>
    <x v="1"/>
    <n v="0"/>
    <n v="0"/>
    <n v="0.64"/>
    <n v="0"/>
    <n v="0"/>
    <n v="0"/>
    <n v="0"/>
    <n v="0.64"/>
    <n v="0"/>
    <m/>
    <m/>
    <s v="To be realised"/>
    <n v="0"/>
    <n v="0"/>
    <n v="14"/>
    <n v="0"/>
    <n v="0"/>
    <x v="5"/>
    <m/>
    <n v="0"/>
    <n v="0"/>
    <n v="0"/>
    <s v="No coverage"/>
    <n v="0"/>
    <x v="3"/>
    <m/>
  </r>
  <r>
    <x v="8"/>
    <m/>
    <x v="0"/>
    <x v="61"/>
    <s v="NA"/>
    <s v="NA"/>
    <x v="0"/>
    <x v="0"/>
    <n v="27"/>
    <n v="82"/>
    <n v="82"/>
    <x v="1"/>
    <m/>
    <x v="1"/>
    <x v="0"/>
    <s v="Gap"/>
    <m/>
    <m/>
    <s v="Focal NGO"/>
    <x v="0"/>
    <n v="0"/>
    <n v="0"/>
    <s v="No"/>
    <n v="1"/>
    <n v="0"/>
    <n v="0"/>
    <n v="0"/>
    <n v="0"/>
    <n v="1"/>
    <n v="82"/>
    <n v="1"/>
    <n v="82"/>
    <n v="1"/>
    <n v="82"/>
    <x v="0"/>
    <n v="0"/>
    <n v="0"/>
    <n v="0"/>
    <n v="0"/>
    <n v="0"/>
    <n v="1"/>
    <n v="82"/>
    <m/>
    <n v="6"/>
    <n v="6"/>
    <n v="0"/>
    <x v="2"/>
    <n v="1"/>
    <n v="82"/>
    <n v="1"/>
    <n v="82"/>
    <n v="0"/>
    <n v="0"/>
    <n v="0"/>
    <n v="1"/>
    <n v="82"/>
    <n v="4.0999999999999996"/>
    <n v="0"/>
    <x v="1"/>
    <n v="0"/>
    <n v="0"/>
    <n v="0.82"/>
    <n v="0"/>
    <n v="0"/>
    <n v="0"/>
    <n v="0"/>
    <n v="0.82"/>
    <n v="0"/>
    <s v="KBC didn't have plan to construct sanitation facilities"/>
    <d v="2015-05-05T00:00:00"/>
    <d v="2016-05-04T00:00:00"/>
    <n v="27"/>
    <n v="0"/>
    <n v="0"/>
    <n v="1"/>
    <n v="82"/>
    <x v="0"/>
    <m/>
    <n v="0"/>
    <n v="0"/>
    <n v="0"/>
    <s v="No coverage"/>
    <n v="0"/>
    <x v="2"/>
    <m/>
  </r>
  <r>
    <x v="8"/>
    <s v="MMR001CMP220"/>
    <x v="0"/>
    <x v="62"/>
    <n v="97.584950000000006"/>
    <n v="27.26989"/>
    <x v="0"/>
    <x v="0"/>
    <n v="13"/>
    <n v="87"/>
    <n v="87"/>
    <x v="1"/>
    <s v="KBC"/>
    <x v="1"/>
    <x v="0"/>
    <s v="Gap"/>
    <m/>
    <m/>
    <s v="Focal NGO"/>
    <x v="0"/>
    <n v="0"/>
    <n v="0"/>
    <s v="No"/>
    <n v="0"/>
    <n v="0"/>
    <n v="225"/>
    <n v="0"/>
    <n v="0"/>
    <n v="0.17241379310344829"/>
    <n v="15.000000000000002"/>
    <n v="0.17241379310344829"/>
    <n v="15.000000000000002"/>
    <n v="0.17241379310344829"/>
    <n v="15.000000000000002"/>
    <x v="2"/>
    <n v="0"/>
    <n v="0"/>
    <n v="0.2175"/>
    <n v="0"/>
    <n v="0"/>
    <n v="0.17"/>
    <n v="14.790000000000001"/>
    <s v="this place have a plan to relocate into Lone Sut camp"/>
    <n v="2"/>
    <n v="2"/>
    <n v="0"/>
    <x v="2"/>
    <n v="0.45977011494252873"/>
    <n v="40"/>
    <n v="0.45977011494252873"/>
    <n v="40"/>
    <n v="0"/>
    <n v="0"/>
    <n v="0"/>
    <n v="0.46"/>
    <n v="40.020000000000003"/>
    <n v="4.3499999999999996"/>
    <n v="0"/>
    <x v="1"/>
    <n v="0"/>
    <n v="0"/>
    <n v="0.87"/>
    <n v="0"/>
    <n v="0"/>
    <n v="0"/>
    <n v="0"/>
    <n v="0.87"/>
    <n v="0"/>
    <s v="will move to lone sut camp"/>
    <d v="2015-05-05T00:00:00"/>
    <d v="2016-05-04T00:00:00"/>
    <n v="13"/>
    <n v="0"/>
    <n v="0"/>
    <n v="1"/>
    <n v="87"/>
    <x v="0"/>
    <m/>
    <n v="0"/>
    <n v="0"/>
    <n v="0"/>
    <s v="No coverage"/>
    <n v="0"/>
    <x v="2"/>
    <m/>
  </r>
  <r>
    <x v="9"/>
    <s v="MMR001CMP113"/>
    <x v="4"/>
    <x v="63"/>
    <n v="97.915833000000006"/>
    <n v="25.220278"/>
    <x v="0"/>
    <x v="1"/>
    <n v="133"/>
    <n v="645"/>
    <n v="645"/>
    <x v="0"/>
    <s v="IRRC"/>
    <x v="2"/>
    <x v="0"/>
    <d v="2015-12-31T00:00:00"/>
    <m/>
    <m/>
    <s v="Focal NGO"/>
    <x v="0"/>
    <n v="0"/>
    <n v="0"/>
    <s v="No"/>
    <n v="0"/>
    <n v="0"/>
    <n v="15000"/>
    <n v="0"/>
    <n v="1"/>
    <n v="1"/>
    <n v="645"/>
    <n v="1"/>
    <n v="645"/>
    <n v="1"/>
    <n v="645"/>
    <x v="0"/>
    <n v="0"/>
    <n v="0"/>
    <n v="1.6125"/>
    <n v="133"/>
    <n v="0"/>
    <n v="1"/>
    <n v="645"/>
    <s v="180 chinese water filter  distributed in 2014"/>
    <n v="115"/>
    <n v="95"/>
    <n v="8"/>
    <x v="0"/>
    <n v="1"/>
    <n v="645"/>
    <n v="0.75193798449612403"/>
    <n v="485"/>
    <n v="0.24806201550387597"/>
    <n v="160"/>
    <n v="0"/>
    <n v="1"/>
    <n v="645"/>
    <n v="24.25"/>
    <n v="1"/>
    <x v="0"/>
    <n v="0.15503875968992248"/>
    <n v="100"/>
    <n v="5.45"/>
    <n v="0.16"/>
    <n v="103.2"/>
    <n v="4"/>
    <n v="0.62015503875968991"/>
    <n v="2.4500000000000002"/>
    <n v="0.62"/>
    <s v="hard to implement due to rocky, logistic issues"/>
    <d v="2015-04-28T00:00:00"/>
    <d v="2016-04-27T00:00:00"/>
    <n v="133"/>
    <n v="3"/>
    <n v="0"/>
    <n v="1"/>
    <n v="645"/>
    <x v="0"/>
    <m/>
    <n v="0"/>
    <n v="0"/>
    <n v="0"/>
    <s v="No coverage"/>
    <n v="0"/>
    <x v="1"/>
    <m/>
  </r>
  <r>
    <x v="9"/>
    <s v="MMR001CMP028"/>
    <x v="5"/>
    <x v="64"/>
    <n v="97.408302000000006"/>
    <n v="25.324567999999999"/>
    <x v="0"/>
    <x v="0"/>
    <n v="110"/>
    <n v="505"/>
    <n v="505"/>
    <x v="0"/>
    <s v="Shalom"/>
    <x v="0"/>
    <x v="0"/>
    <d v="2015-05-31T00:00:00"/>
    <m/>
    <m/>
    <s v="Focal NGO"/>
    <x v="0"/>
    <n v="0"/>
    <n v="0"/>
    <s v="No"/>
    <n v="3"/>
    <n v="1"/>
    <n v="3600"/>
    <n v="0"/>
    <n v="0"/>
    <n v="1"/>
    <n v="505"/>
    <n v="1"/>
    <n v="505"/>
    <n v="1"/>
    <n v="505"/>
    <x v="0"/>
    <n v="0"/>
    <n v="0"/>
    <n v="0"/>
    <n v="0"/>
    <n v="0"/>
    <n v="1"/>
    <n v="505"/>
    <m/>
    <n v="2"/>
    <n v="2"/>
    <n v="26"/>
    <x v="0"/>
    <n v="1"/>
    <n v="505"/>
    <n v="0"/>
    <n v="0"/>
    <n v="1"/>
    <n v="505"/>
    <n v="0"/>
    <n v="1"/>
    <n v="505"/>
    <n v="0"/>
    <n v="4"/>
    <x v="0"/>
    <n v="0.79207920792079212"/>
    <n v="400"/>
    <n v="1.0499999999999998"/>
    <n v="0.79"/>
    <n v="398.95000000000005"/>
    <n v="15"/>
    <n v="1"/>
    <n v="0"/>
    <n v="1"/>
    <m/>
    <d v="2015-02-13T00:00:00"/>
    <d v="2016-02-13T00:00:00"/>
    <n v="110"/>
    <n v="3"/>
    <n v="0"/>
    <n v="1"/>
    <n v="505"/>
    <x v="0"/>
    <m/>
    <n v="1"/>
    <n v="505"/>
    <n v="2"/>
    <s v="Excellent coverage"/>
    <n v="0"/>
    <x v="0"/>
    <m/>
  </r>
  <r>
    <x v="9"/>
    <s v="MMR001CMP115"/>
    <x v="4"/>
    <x v="65"/>
    <n v="97.807182999999995"/>
    <n v="25.200333000000001"/>
    <x v="0"/>
    <x v="1"/>
    <n v="170"/>
    <n v="1156"/>
    <n v="1156"/>
    <x v="0"/>
    <s v="KBC"/>
    <x v="1"/>
    <x v="0"/>
    <d v="2015-06-30T00:00:00"/>
    <s v="OXFAM"/>
    <d v="2015-06-30T00:00:00"/>
    <s v="Focal NGO"/>
    <x v="0"/>
    <n v="0"/>
    <n v="0"/>
    <s v="No"/>
    <n v="0"/>
    <n v="0"/>
    <n v="30000"/>
    <n v="0"/>
    <n v="0"/>
    <n v="1"/>
    <n v="1156"/>
    <n v="1"/>
    <n v="1156"/>
    <n v="1"/>
    <n v="1156"/>
    <x v="0"/>
    <n v="0"/>
    <n v="0"/>
    <n v="2.89"/>
    <n v="0"/>
    <n v="0"/>
    <n v="1"/>
    <n v="1156"/>
    <m/>
    <n v="0"/>
    <n v="70"/>
    <n v="0"/>
    <x v="0"/>
    <n v="1"/>
    <n v="1156"/>
    <n v="1"/>
    <n v="1156"/>
    <n v="0"/>
    <n v="0"/>
    <n v="0"/>
    <n v="1"/>
    <n v="1156"/>
    <n v="57.8"/>
    <n v="3"/>
    <x v="0"/>
    <n v="0.25951557093425603"/>
    <n v="300"/>
    <n v="8.56"/>
    <n v="0.26"/>
    <n v="300.56"/>
    <n v="24"/>
    <n v="1"/>
    <n v="0"/>
    <n v="1"/>
    <s v="These IDPs from NGCA didn't need more Semi - permanent construction because of IDPs have sufficient HH latrines at each HH level. Semi-permanent isn't appropriate construciton due to Rocky land and logistic issue in this IDPs camp. "/>
    <d v="2015-02-18T00:00:00"/>
    <d v="2016-02-18T00:00:00"/>
    <n v="170"/>
    <n v="3"/>
    <n v="0"/>
    <n v="1"/>
    <n v="1156"/>
    <x v="0"/>
    <m/>
    <n v="0.8"/>
    <n v="924.80000000000007"/>
    <n v="3"/>
    <s v="Excellent coverage"/>
    <n v="0"/>
    <x v="1"/>
    <m/>
  </r>
  <r>
    <x v="9"/>
    <s v="MMR001CMP027"/>
    <x v="5"/>
    <x v="66"/>
    <n v="97.451965000000001"/>
    <n v="25.356632000000001"/>
    <x v="0"/>
    <x v="0"/>
    <n v="21"/>
    <n v="109"/>
    <n v="109"/>
    <x v="1"/>
    <s v="Shalom"/>
    <x v="1"/>
    <x v="0"/>
    <d v="2015-06-30T00:00:00"/>
    <s v="OXFAM"/>
    <d v="2015-06-30T00:00:00"/>
    <s v="Focal NGO"/>
    <x v="0"/>
    <n v="0"/>
    <n v="0"/>
    <s v="No"/>
    <n v="1"/>
    <n v="0"/>
    <n v="2000"/>
    <n v="0"/>
    <n v="1"/>
    <n v="1"/>
    <n v="109"/>
    <n v="1"/>
    <n v="109"/>
    <n v="1"/>
    <n v="109"/>
    <x v="0"/>
    <n v="0"/>
    <n v="0"/>
    <n v="0"/>
    <n v="21"/>
    <n v="0"/>
    <n v="1"/>
    <n v="109"/>
    <m/>
    <n v="0"/>
    <n v="0"/>
    <n v="6"/>
    <x v="0"/>
    <n v="1"/>
    <n v="109"/>
    <n v="0"/>
    <n v="0"/>
    <n v="1"/>
    <n v="109"/>
    <n v="0"/>
    <n v="1"/>
    <n v="109"/>
    <n v="0"/>
    <n v="1"/>
    <x v="1"/>
    <n v="0.91743119266055051"/>
    <n v="100"/>
    <n v="9.000000000000008E-2"/>
    <n v="0.92"/>
    <n v="100.28"/>
    <n v="3"/>
    <n v="1"/>
    <n v="0"/>
    <n v="1"/>
    <m/>
    <d v="2015-02-18T00:00:00"/>
    <d v="2016-02-18T00:00:00"/>
    <n v="21"/>
    <n v="3"/>
    <n v="0"/>
    <n v="1"/>
    <n v="109"/>
    <x v="0"/>
    <m/>
    <n v="0.8"/>
    <n v="87.2"/>
    <n v="1"/>
    <s v="Excellent coverage"/>
    <n v="1"/>
    <x v="1"/>
    <s v="temporary  incinerator not functioning"/>
  </r>
  <r>
    <x v="9"/>
    <s v="MMR001CMP119"/>
    <x v="4"/>
    <x v="67"/>
    <n v="97.715230000000005"/>
    <n v="24.980250000000002"/>
    <x v="0"/>
    <x v="1"/>
    <n v="645"/>
    <n v="2810"/>
    <n v="2810"/>
    <x v="3"/>
    <s v="IRRC"/>
    <x v="1"/>
    <x v="0"/>
    <d v="2015-06-30T00:00:00"/>
    <s v="OXFAM"/>
    <d v="2015-06-30T00:00:00"/>
    <s v="Focal NGO"/>
    <x v="0"/>
    <n v="0"/>
    <n v="0"/>
    <s v="No"/>
    <n v="0"/>
    <n v="0"/>
    <n v="45000"/>
    <n v="0"/>
    <n v="0"/>
    <n v="1"/>
    <n v="2810"/>
    <n v="1"/>
    <n v="2810"/>
    <n v="1"/>
    <n v="2810"/>
    <x v="0"/>
    <n v="0"/>
    <n v="0"/>
    <n v="7.0250000000000004"/>
    <n v="0"/>
    <n v="0"/>
    <n v="1"/>
    <n v="2810"/>
    <m/>
    <n v="190"/>
    <n v="229"/>
    <n v="0"/>
    <x v="0"/>
    <n v="1"/>
    <n v="2810"/>
    <n v="1"/>
    <n v="2810"/>
    <n v="0"/>
    <n v="0"/>
    <n v="0"/>
    <n v="1"/>
    <n v="2810"/>
    <n v="140.5"/>
    <n v="26"/>
    <x v="0"/>
    <n v="0.92526690391459077"/>
    <n v="2600"/>
    <n v="2.1000000000000014"/>
    <n v="0.93"/>
    <n v="2613.3000000000002"/>
    <n v="51"/>
    <n v="1"/>
    <n v="0"/>
    <n v="1"/>
    <s v="These IDPs from NGCA didn't need more Semi - permanent construction because of IDPs have sufficient HH latrines at each HH level. Semi-permanent isn't appropriate construciton due to Rocky land and logistic issue in this IDPs camp. "/>
    <d v="2015-02-18T00:00:00"/>
    <d v="2016-02-18T00:00:00"/>
    <n v="645"/>
    <n v="3"/>
    <n v="0"/>
    <n v="1"/>
    <n v="2810"/>
    <x v="0"/>
    <m/>
    <n v="1"/>
    <n v="2810"/>
    <n v="5"/>
    <s v="Good coverage"/>
    <n v="0"/>
    <x v="1"/>
    <m/>
  </r>
  <r>
    <x v="9"/>
    <s v="MMR001CMP031"/>
    <x v="5"/>
    <x v="68"/>
    <n v="97.435233999999994"/>
    <n v="25.425276"/>
    <x v="0"/>
    <x v="0"/>
    <n v="126"/>
    <n v="685"/>
    <n v="492"/>
    <x v="0"/>
    <s v="Shalom"/>
    <x v="0"/>
    <x v="0"/>
    <d v="2015-05-31T00:00:00"/>
    <m/>
    <m/>
    <s v="Focal NGO"/>
    <x v="0"/>
    <n v="0"/>
    <n v="0"/>
    <s v="No"/>
    <n v="4"/>
    <n v="0"/>
    <n v="2500"/>
    <n v="0"/>
    <n v="0"/>
    <n v="1"/>
    <n v="492"/>
    <n v="1"/>
    <n v="492"/>
    <n v="1"/>
    <n v="492"/>
    <x v="0"/>
    <n v="0"/>
    <n v="0"/>
    <n v="0"/>
    <n v="0"/>
    <n v="0"/>
    <n v="1"/>
    <n v="492"/>
    <m/>
    <n v="0"/>
    <n v="4"/>
    <n v="20"/>
    <x v="0"/>
    <n v="0.97560975609756095"/>
    <n v="480"/>
    <n v="0.16260162601626016"/>
    <n v="80"/>
    <n v="0.81300813008130079"/>
    <n v="400"/>
    <n v="0"/>
    <n v="0.98"/>
    <n v="482.15999999999997"/>
    <n v="4.6000000000000014"/>
    <n v="6"/>
    <x v="0"/>
    <n v="1"/>
    <n v="492"/>
    <n v="0.84999999999999964"/>
    <n v="1"/>
    <n v="492"/>
    <n v="15"/>
    <n v="1"/>
    <n v="0"/>
    <n v="1"/>
    <m/>
    <d v="2015-02-13T00:00:00"/>
    <d v="2016-02-13T00:00:00"/>
    <n v="126"/>
    <n v="3"/>
    <n v="0"/>
    <n v="1"/>
    <n v="492"/>
    <x v="0"/>
    <m/>
    <n v="1"/>
    <n v="492"/>
    <n v="2"/>
    <s v="Excellent coverage"/>
    <n v="6"/>
    <x v="0"/>
    <s v="temporary incinerator have implemented as pilot by Oxfam but it was not functioning now"/>
  </r>
  <r>
    <x v="9"/>
    <s v="MMR001CMP029"/>
    <x v="5"/>
    <x v="69"/>
    <n v="97.438450000000003"/>
    <n v="25.415900000000001"/>
    <x v="0"/>
    <x v="0"/>
    <n v="238"/>
    <n v="1234"/>
    <n v="1234"/>
    <x v="0"/>
    <s v="KMSS"/>
    <x v="2"/>
    <x v="0"/>
    <d v="2015-12-31T00:00:00"/>
    <m/>
    <m/>
    <s v="Focal NGO"/>
    <x v="0"/>
    <n v="0"/>
    <n v="0"/>
    <s v="No"/>
    <n v="10"/>
    <n v="1"/>
    <n v="15000"/>
    <n v="0"/>
    <n v="1"/>
    <n v="1"/>
    <n v="1234"/>
    <n v="1"/>
    <n v="1234"/>
    <n v="1"/>
    <n v="1234"/>
    <x v="0"/>
    <n v="0"/>
    <n v="0"/>
    <n v="0"/>
    <n v="238"/>
    <n v="0"/>
    <n v="1"/>
    <n v="1234"/>
    <s v="240 CWF diistributed within 26th February 15"/>
    <n v="78"/>
    <n v="32"/>
    <n v="16"/>
    <x v="0"/>
    <n v="0.77795786061588335"/>
    <n v="960"/>
    <n v="0.5186385737439223"/>
    <n v="640.00000000000011"/>
    <n v="0.2593192868719611"/>
    <n v="320"/>
    <n v="0"/>
    <n v="0.78"/>
    <n v="962.52"/>
    <n v="45.7"/>
    <n v="0"/>
    <x v="0"/>
    <n v="0"/>
    <n v="0"/>
    <n v="12.34"/>
    <n v="0"/>
    <n v="0"/>
    <n v="0"/>
    <n v="0"/>
    <n v="12.34"/>
    <n v="0"/>
    <s v="due to lack of running cost, the HWS facilities have not functioing/ 4 bathing space have constructed but all are not functioning currently/8-10 latrines closeed due to near shelter/need to renovate in some latrine "/>
    <d v="2014-05-22T00:00:00"/>
    <s v="To be realised"/>
    <n v="238"/>
    <n v="2"/>
    <n v="238"/>
    <n v="0"/>
    <n v="0"/>
    <x v="6"/>
    <m/>
    <n v="0"/>
    <n v="0"/>
    <n v="0"/>
    <s v="No coverage"/>
    <n v="0"/>
    <x v="1"/>
    <m/>
  </r>
  <r>
    <x v="9"/>
    <s v="MMR001CMP040"/>
    <x v="5"/>
    <x v="70"/>
    <n v="97.437434999999994"/>
    <n v="25.411413"/>
    <x v="0"/>
    <x v="0"/>
    <n v="415"/>
    <n v="2077"/>
    <n v="2077"/>
    <x v="2"/>
    <s v="KBC"/>
    <x v="1"/>
    <x v="0"/>
    <d v="2015-06-30T00:00:00"/>
    <s v="OXFAM"/>
    <d v="2015-06-30T00:00:00"/>
    <s v="Focal NGO"/>
    <x v="0"/>
    <n v="0"/>
    <n v="0"/>
    <s v="No"/>
    <n v="8"/>
    <n v="0"/>
    <n v="16800"/>
    <n v="0"/>
    <n v="1"/>
    <n v="1"/>
    <n v="2077"/>
    <n v="1"/>
    <n v="2077"/>
    <n v="1"/>
    <n v="2077"/>
    <x v="0"/>
    <n v="0"/>
    <n v="0"/>
    <n v="0"/>
    <n v="415"/>
    <n v="0"/>
    <n v="1"/>
    <n v="2077"/>
    <m/>
    <n v="0"/>
    <n v="0"/>
    <n v="132"/>
    <x v="0"/>
    <n v="1"/>
    <n v="2077"/>
    <n v="0"/>
    <n v="0"/>
    <n v="1"/>
    <n v="2077"/>
    <n v="4"/>
    <n v="1"/>
    <n v="2077"/>
    <n v="0"/>
    <n v="6"/>
    <x v="0"/>
    <n v="0.28887818969667789"/>
    <n v="600"/>
    <n v="14.77"/>
    <n v="0.28999999999999998"/>
    <n v="602.32999999999993"/>
    <n v="45"/>
    <n v="1"/>
    <n v="0"/>
    <n v="1"/>
    <s v="due to IDPs make and used individual bathing space, no need to construct more. "/>
    <d v="2015-02-18T00:00:00"/>
    <d v="2016-02-18T00:00:00"/>
    <n v="415"/>
    <n v="3"/>
    <n v="0"/>
    <n v="1"/>
    <n v="2077"/>
    <x v="0"/>
    <m/>
    <n v="0.8"/>
    <n v="1661.6000000000001"/>
    <n v="4"/>
    <s v="Good coverage"/>
    <n v="0"/>
    <x v="1"/>
    <s v="6 temporary  incinerator was not functioning "/>
  </r>
  <r>
    <x v="9"/>
    <s v="MMR001CMP039"/>
    <x v="5"/>
    <x v="71"/>
    <n v="97.426297000000005"/>
    <n v="25.409566000000002"/>
    <x v="0"/>
    <x v="0"/>
    <n v="44"/>
    <n v="187"/>
    <n v="187"/>
    <x v="1"/>
    <s v="KBC"/>
    <x v="1"/>
    <x v="0"/>
    <d v="2015-06-30T00:00:00"/>
    <s v="OXFAM"/>
    <d v="2015-06-30T00:00:00"/>
    <s v="Focal NGO"/>
    <x v="0"/>
    <n v="0"/>
    <n v="0"/>
    <s v="No"/>
    <n v="2"/>
    <n v="0"/>
    <n v="3000"/>
    <n v="0"/>
    <n v="1"/>
    <n v="1"/>
    <n v="187"/>
    <n v="1"/>
    <n v="187"/>
    <n v="1"/>
    <n v="187"/>
    <x v="0"/>
    <n v="0"/>
    <n v="0"/>
    <n v="0"/>
    <n v="44"/>
    <n v="0"/>
    <n v="1"/>
    <n v="187"/>
    <m/>
    <n v="0"/>
    <n v="0"/>
    <n v="14"/>
    <x v="0"/>
    <n v="1"/>
    <n v="187"/>
    <n v="0"/>
    <n v="0"/>
    <n v="1"/>
    <n v="187"/>
    <n v="0"/>
    <n v="1"/>
    <n v="187"/>
    <n v="0"/>
    <n v="2"/>
    <x v="2"/>
    <n v="1"/>
    <n v="187"/>
    <n v="0"/>
    <n v="1"/>
    <n v="187"/>
    <n v="3"/>
    <n v="1"/>
    <n v="0"/>
    <n v="1"/>
    <m/>
    <d v="2015-02-18T00:00:00"/>
    <d v="2016-02-18T00:00:00"/>
    <n v="44"/>
    <n v="3"/>
    <n v="0"/>
    <n v="1"/>
    <n v="187"/>
    <x v="0"/>
    <m/>
    <n v="0.8"/>
    <n v="149.6"/>
    <n v="1"/>
    <s v="Excellent coverage"/>
    <n v="0"/>
    <x v="1"/>
    <m/>
  </r>
  <r>
    <x v="9"/>
    <s v="MMR001CMP120"/>
    <x v="4"/>
    <x v="72"/>
    <n v="97.751389000000003"/>
    <n v="24.831944"/>
    <x v="0"/>
    <x v="1"/>
    <n v="191"/>
    <n v="770"/>
    <n v="770"/>
    <x v="0"/>
    <s v="KBC"/>
    <x v="1"/>
    <x v="0"/>
    <d v="2015-06-30T00:00:00"/>
    <s v="OXFAM"/>
    <d v="2015-06-30T00:00:00"/>
    <s v="Focal NGO"/>
    <x v="0"/>
    <n v="0"/>
    <n v="0"/>
    <s v="No"/>
    <n v="0"/>
    <n v="0"/>
    <n v="12000"/>
    <n v="0"/>
    <n v="0"/>
    <n v="1"/>
    <n v="770"/>
    <n v="1"/>
    <n v="770"/>
    <n v="1"/>
    <n v="770"/>
    <x v="0"/>
    <n v="0"/>
    <n v="0"/>
    <n v="1.925"/>
    <n v="0"/>
    <n v="0"/>
    <n v="1"/>
    <n v="770"/>
    <m/>
    <n v="11"/>
    <n v="50"/>
    <n v="0"/>
    <x v="0"/>
    <n v="1"/>
    <n v="770"/>
    <n v="1"/>
    <n v="770"/>
    <n v="0"/>
    <n v="0"/>
    <n v="0"/>
    <n v="1"/>
    <n v="770"/>
    <n v="38.5"/>
    <n v="6"/>
    <x v="0"/>
    <n v="0.77922077922077926"/>
    <n v="600"/>
    <n v="1.7000000000000002"/>
    <n v="0.78"/>
    <n v="600.6"/>
    <n v="12"/>
    <n v="1"/>
    <n v="0"/>
    <n v="1"/>
    <s v="These IDPs from NGCA didn't need more Semi - permanent construction because of IDPs have sufficient HH latrines at each HH level. Semi-permanent isn't appropriate construciton due to Rocky land and logistic issue in this IDPs camp. "/>
    <d v="2015-02-18T00:00:00"/>
    <d v="2016-02-18T00:00:00"/>
    <n v="191"/>
    <n v="3"/>
    <n v="0"/>
    <n v="1"/>
    <n v="770"/>
    <x v="0"/>
    <m/>
    <n v="0.8"/>
    <n v="616"/>
    <n v="3"/>
    <s v="Excellent coverage"/>
    <n v="0"/>
    <x v="1"/>
    <m/>
  </r>
  <r>
    <x v="9"/>
    <s v="MMR001CMP160"/>
    <x v="4"/>
    <x v="73"/>
    <n v="97.990555999999998"/>
    <n v="25.265277999999999"/>
    <x v="0"/>
    <x v="1"/>
    <n v="109"/>
    <n v="640"/>
    <n v="640"/>
    <x v="0"/>
    <s v="IRRC"/>
    <x v="2"/>
    <x v="0"/>
    <d v="2015-12-31T00:00:00"/>
    <m/>
    <m/>
    <s v="Focal NGO"/>
    <x v="0"/>
    <n v="0"/>
    <n v="0"/>
    <s v="No"/>
    <n v="0"/>
    <n v="0"/>
    <n v="13000"/>
    <n v="0"/>
    <n v="1"/>
    <n v="1"/>
    <n v="640"/>
    <n v="1"/>
    <n v="640"/>
    <n v="1"/>
    <n v="640"/>
    <x v="0"/>
    <n v="0"/>
    <n v="0"/>
    <n v="1.6"/>
    <n v="109"/>
    <n v="0"/>
    <n v="1"/>
    <n v="640"/>
    <s v="120 chinese water filter  distributed in 2014"/>
    <n v="80"/>
    <n v="109"/>
    <n v="14"/>
    <x v="0"/>
    <n v="1"/>
    <n v="640"/>
    <n v="0.5625"/>
    <n v="360"/>
    <n v="0.4375"/>
    <n v="280"/>
    <n v="0"/>
    <n v="1"/>
    <n v="640"/>
    <n v="18"/>
    <n v="2"/>
    <x v="0"/>
    <n v="0.3125"/>
    <n v="200"/>
    <n v="4.4000000000000004"/>
    <n v="0.31"/>
    <n v="198.4"/>
    <n v="4"/>
    <n v="0.625"/>
    <n v="2.4000000000000004"/>
    <n v="0.63"/>
    <s v="hard to implement due to rocky, logistic issues"/>
    <d v="2015-04-29T00:00:00"/>
    <d v="2016-04-28T00:00:00"/>
    <n v="109"/>
    <n v="3"/>
    <n v="0"/>
    <n v="1"/>
    <n v="640"/>
    <x v="0"/>
    <m/>
    <n v="0"/>
    <n v="0"/>
    <n v="0"/>
    <s v="No coverage"/>
    <n v="0"/>
    <x v="1"/>
    <m/>
  </r>
  <r>
    <x v="9"/>
    <s v="MMR001CMP032"/>
    <x v="5"/>
    <x v="74"/>
    <n v="97.441483000000005"/>
    <n v="25.354883999999998"/>
    <x v="0"/>
    <x v="0"/>
    <n v="102"/>
    <n v="340"/>
    <n v="280"/>
    <x v="0"/>
    <s v="Shalom"/>
    <x v="0"/>
    <x v="0"/>
    <d v="2015-05-31T00:00:00"/>
    <m/>
    <m/>
    <s v="Focal NGO"/>
    <x v="0"/>
    <n v="0"/>
    <n v="22140"/>
    <s v="Yes"/>
    <n v="1"/>
    <n v="1"/>
    <n v="0"/>
    <n v="0"/>
    <n v="0"/>
    <n v="1"/>
    <n v="280"/>
    <n v="1"/>
    <n v="280"/>
    <n v="1"/>
    <n v="280"/>
    <x v="0"/>
    <n v="0"/>
    <n v="0"/>
    <n v="0"/>
    <n v="0"/>
    <n v="0"/>
    <n v="1"/>
    <n v="280"/>
    <m/>
    <n v="0"/>
    <n v="0"/>
    <n v="11"/>
    <x v="0"/>
    <n v="0.7857142857142857"/>
    <n v="220"/>
    <n v="0"/>
    <n v="0"/>
    <n v="0.7857142857142857"/>
    <n v="220"/>
    <n v="0"/>
    <n v="0.79"/>
    <n v="221.20000000000002"/>
    <n v="3"/>
    <n v="4"/>
    <x v="0"/>
    <n v="1"/>
    <n v="280"/>
    <n v="0"/>
    <n v="1"/>
    <n v="280"/>
    <n v="3"/>
    <n v="1"/>
    <n v="0.39999999999999991"/>
    <n v="1"/>
    <m/>
    <d v="2015-02-13T00:00:00"/>
    <d v="2016-02-13T00:00:00"/>
    <n v="102"/>
    <n v="3"/>
    <n v="0"/>
    <n v="1"/>
    <n v="280"/>
    <x v="0"/>
    <m/>
    <n v="1"/>
    <n v="280"/>
    <n v="2"/>
    <s v="Excellent coverage"/>
    <n v="0"/>
    <x v="0"/>
    <m/>
  </r>
  <r>
    <x v="9"/>
    <s v="MMR001CMP025"/>
    <x v="5"/>
    <x v="75"/>
    <n v="97.438271"/>
    <n v="25.351655000000001"/>
    <x v="0"/>
    <x v="0"/>
    <n v="67"/>
    <n v="315"/>
    <n v="151"/>
    <x v="0"/>
    <s v="KBC"/>
    <x v="1"/>
    <x v="0"/>
    <d v="2015-06-30T00:00:00"/>
    <s v="OXFAM"/>
    <d v="2015-06-30T00:00:00"/>
    <s v="Focal NGO"/>
    <x v="0"/>
    <n v="0"/>
    <n v="0"/>
    <s v="No"/>
    <n v="2"/>
    <n v="1"/>
    <n v="0"/>
    <n v="0"/>
    <n v="1"/>
    <n v="1"/>
    <n v="151"/>
    <n v="1"/>
    <n v="151"/>
    <n v="1"/>
    <n v="151"/>
    <x v="0"/>
    <n v="0"/>
    <n v="0"/>
    <n v="0"/>
    <n v="67"/>
    <n v="0"/>
    <n v="1"/>
    <n v="151"/>
    <m/>
    <n v="0"/>
    <n v="0"/>
    <n v="12"/>
    <x v="0"/>
    <n v="1"/>
    <n v="151"/>
    <n v="0"/>
    <n v="0"/>
    <n v="1"/>
    <n v="151"/>
    <n v="0"/>
    <n v="1"/>
    <n v="151"/>
    <n v="0"/>
    <n v="2"/>
    <x v="0"/>
    <n v="1"/>
    <n v="151"/>
    <n v="1.1499999999999999"/>
    <n v="1"/>
    <n v="151"/>
    <n v="3"/>
    <n v="1"/>
    <n v="0.14999999999999991"/>
    <n v="1"/>
    <s v="have limited spaces to construct more sanitation facilities. Some household has alaready moved to new location (have a plan to move all HHs to this new site. "/>
    <d v="2015-02-18T00:00:00"/>
    <d v="2016-02-18T00:00:00"/>
    <n v="67"/>
    <n v="3"/>
    <n v="0"/>
    <n v="1"/>
    <n v="151"/>
    <x v="0"/>
    <m/>
    <n v="0.8"/>
    <n v="120.80000000000001"/>
    <n v="1"/>
    <s v="Excellent coverage"/>
    <n v="0"/>
    <x v="1"/>
    <m/>
  </r>
  <r>
    <x v="9"/>
    <s v="MMR001CMP030"/>
    <x v="5"/>
    <x v="76"/>
    <n v="97.437568999999996"/>
    <n v="25.346004000000001"/>
    <x v="0"/>
    <x v="0"/>
    <n v="31"/>
    <n v="169"/>
    <n v="169"/>
    <x v="1"/>
    <s v="Shalom"/>
    <x v="0"/>
    <x v="0"/>
    <d v="2015-05-31T00:00:00"/>
    <m/>
    <m/>
    <s v="Focal NGO"/>
    <x v="0"/>
    <n v="0"/>
    <n v="15210"/>
    <s v="Yes"/>
    <n v="2"/>
    <n v="0"/>
    <n v="3000"/>
    <n v="0"/>
    <n v="0"/>
    <n v="1"/>
    <n v="169"/>
    <n v="1"/>
    <n v="169"/>
    <n v="1"/>
    <n v="169"/>
    <x v="0"/>
    <n v="0"/>
    <n v="0"/>
    <n v="0"/>
    <n v="0"/>
    <n v="0"/>
    <n v="1"/>
    <n v="169"/>
    <m/>
    <n v="0"/>
    <n v="0"/>
    <n v="7"/>
    <x v="0"/>
    <n v="0.82840236686390534"/>
    <n v="140"/>
    <n v="0"/>
    <n v="0"/>
    <n v="0.82840236686390534"/>
    <n v="140"/>
    <n v="0"/>
    <n v="0.83"/>
    <n v="140.26999999999998"/>
    <n v="1.4499999999999993"/>
    <n v="4"/>
    <x v="0"/>
    <n v="1"/>
    <n v="169"/>
    <n v="0"/>
    <n v="1"/>
    <n v="169"/>
    <n v="3"/>
    <n v="1"/>
    <n v="0"/>
    <n v="1"/>
    <m/>
    <d v="2015-02-13T00:00:00"/>
    <d v="2016-02-13T00:00:00"/>
    <n v="31"/>
    <n v="3"/>
    <n v="0"/>
    <n v="1"/>
    <n v="169"/>
    <x v="0"/>
    <m/>
    <n v="1"/>
    <n v="169"/>
    <n v="2"/>
    <s v="Excellent coverage"/>
    <n v="0"/>
    <x v="0"/>
    <m/>
  </r>
  <r>
    <x v="9"/>
    <s v="MMR001CMP026"/>
    <x v="5"/>
    <x v="77"/>
    <n v="97.432495000000003"/>
    <n v="25.350809000000002"/>
    <x v="0"/>
    <x v="0"/>
    <n v="91"/>
    <n v="467"/>
    <n v="467"/>
    <x v="0"/>
    <s v="Shalom"/>
    <x v="0"/>
    <x v="0"/>
    <d v="2015-05-31T00:00:00"/>
    <m/>
    <m/>
    <s v="Focal NGO"/>
    <x v="0"/>
    <n v="0"/>
    <n v="42030"/>
    <s v="Yes"/>
    <n v="4"/>
    <n v="0"/>
    <n v="3600"/>
    <n v="0"/>
    <n v="0"/>
    <n v="1"/>
    <n v="467"/>
    <n v="1"/>
    <n v="467"/>
    <n v="1"/>
    <n v="467"/>
    <x v="0"/>
    <n v="0"/>
    <n v="0"/>
    <n v="0"/>
    <n v="0"/>
    <n v="0"/>
    <n v="1"/>
    <n v="467"/>
    <m/>
    <n v="6"/>
    <n v="8"/>
    <n v="19"/>
    <x v="0"/>
    <n v="1"/>
    <n v="467"/>
    <n v="0.1862955032119914"/>
    <n v="86.999999999999986"/>
    <n v="0.8137044967880086"/>
    <n v="380"/>
    <n v="0"/>
    <n v="1"/>
    <n v="467"/>
    <n v="4.3500000000000014"/>
    <n v="5"/>
    <x v="0"/>
    <n v="1"/>
    <n v="467"/>
    <n v="0"/>
    <n v="1"/>
    <n v="467"/>
    <n v="6"/>
    <n v="1"/>
    <n v="0"/>
    <n v="1"/>
    <m/>
    <d v="2015-02-13T00:00:00"/>
    <d v="2016-02-13T00:00:00"/>
    <n v="91"/>
    <n v="3"/>
    <n v="0"/>
    <n v="1"/>
    <n v="467"/>
    <x v="0"/>
    <m/>
    <n v="1"/>
    <n v="467"/>
    <n v="2"/>
    <s v="Excellent coverage"/>
    <n v="1"/>
    <x v="0"/>
    <s v="temporary incinerator have implemented as pilot by Oxfam but it was not functioning now"/>
  </r>
  <r>
    <x v="9"/>
    <s v="MMR001CMP041"/>
    <x v="4"/>
    <x v="78"/>
    <n v="98.025662999999994"/>
    <n v="25.418084"/>
    <x v="0"/>
    <x v="1"/>
    <n v="198"/>
    <n v="872"/>
    <n v="872"/>
    <x v="0"/>
    <s v="KBC"/>
    <x v="1"/>
    <x v="0"/>
    <d v="2015-06-30T00:00:00"/>
    <s v="OXFAM"/>
    <d v="2015-06-30T00:00:00"/>
    <s v="Focal NGO"/>
    <x v="0"/>
    <n v="0"/>
    <n v="0"/>
    <s v="No"/>
    <n v="0"/>
    <n v="0"/>
    <n v="18000"/>
    <n v="0"/>
    <n v="0"/>
    <n v="1"/>
    <n v="872"/>
    <n v="1"/>
    <n v="872"/>
    <n v="1"/>
    <n v="872"/>
    <x v="0"/>
    <n v="0"/>
    <n v="0"/>
    <n v="2.1800000000000002"/>
    <n v="0"/>
    <n v="0"/>
    <n v="1"/>
    <n v="872"/>
    <m/>
    <n v="0"/>
    <n v="44"/>
    <n v="0"/>
    <x v="0"/>
    <n v="1"/>
    <n v="872"/>
    <n v="1"/>
    <n v="872"/>
    <n v="0"/>
    <n v="0"/>
    <n v="0"/>
    <n v="1"/>
    <n v="872"/>
    <n v="43.6"/>
    <n v="6"/>
    <x v="0"/>
    <n v="0.68807339449541283"/>
    <n v="600"/>
    <n v="2.7200000000000006"/>
    <n v="0.69"/>
    <n v="601.67999999999995"/>
    <n v="24"/>
    <n v="1"/>
    <n v="0"/>
    <n v="1"/>
    <s v="These IDPs from NGCA didn't need more Semi - permanent construction because of IDPs have sufficient HH latrines at each HH level. Semi-permanent isn't appropriate construciton due to Rocky land and logistic issue in this IDPs camp. "/>
    <d v="2015-02-18T00:00:00"/>
    <d v="2016-02-18T00:00:00"/>
    <n v="198"/>
    <n v="3"/>
    <n v="0"/>
    <n v="1"/>
    <n v="872"/>
    <x v="0"/>
    <m/>
    <n v="0.8"/>
    <n v="697.6"/>
    <n v="3"/>
    <s v="Excellent coverage"/>
    <n v="0"/>
    <x v="1"/>
    <m/>
  </r>
  <r>
    <x v="9"/>
    <s v="MMR001CMP037"/>
    <x v="5"/>
    <x v="79"/>
    <n v="97.427959999999999"/>
    <n v="25.33351"/>
    <x v="0"/>
    <x v="0"/>
    <n v="67"/>
    <n v="307"/>
    <n v="307"/>
    <x v="0"/>
    <s v="Shalom"/>
    <x v="0"/>
    <x v="0"/>
    <d v="2015-05-31T00:00:00"/>
    <m/>
    <m/>
    <s v="Focal NGO"/>
    <x v="0"/>
    <n v="0"/>
    <n v="27630"/>
    <s v="Yes"/>
    <n v="3"/>
    <n v="0"/>
    <n v="0"/>
    <n v="0"/>
    <n v="0"/>
    <n v="1"/>
    <n v="307"/>
    <n v="1"/>
    <n v="307"/>
    <n v="1"/>
    <n v="307"/>
    <x v="0"/>
    <n v="0"/>
    <n v="0"/>
    <n v="0"/>
    <n v="0"/>
    <n v="0"/>
    <n v="1"/>
    <n v="307"/>
    <m/>
    <n v="0"/>
    <n v="0"/>
    <n v="13"/>
    <x v="0"/>
    <n v="0.84690553745928343"/>
    <n v="260"/>
    <n v="0"/>
    <n v="0"/>
    <n v="0.84690553745928343"/>
    <n v="260"/>
    <n v="0"/>
    <n v="0.85"/>
    <n v="260.95"/>
    <n v="2.3499999999999996"/>
    <n v="4"/>
    <x v="0"/>
    <n v="1"/>
    <n v="307"/>
    <n v="0"/>
    <n v="1"/>
    <n v="307"/>
    <n v="9"/>
    <n v="1"/>
    <n v="0"/>
    <n v="1"/>
    <m/>
    <d v="2015-02-13T00:00:00"/>
    <d v="2016-02-13T00:00:00"/>
    <n v="67"/>
    <n v="3"/>
    <n v="0"/>
    <n v="1"/>
    <n v="307"/>
    <x v="0"/>
    <m/>
    <n v="1"/>
    <n v="307"/>
    <n v="2"/>
    <s v="Excellent coverage"/>
    <n v="0"/>
    <x v="0"/>
    <m/>
  </r>
  <r>
    <x v="9"/>
    <s v="MMR001CMP038"/>
    <x v="5"/>
    <x v="80"/>
    <n v="97.443702000000002"/>
    <n v="25.351241999999999"/>
    <x v="0"/>
    <x v="0"/>
    <n v="85"/>
    <n v="357"/>
    <n v="179"/>
    <x v="0"/>
    <s v="Shalom"/>
    <x v="0"/>
    <x v="0"/>
    <d v="2015-05-31T00:00:00"/>
    <m/>
    <m/>
    <s v="Focal NGO"/>
    <x v="0"/>
    <n v="0"/>
    <n v="24120"/>
    <s v="Yes"/>
    <n v="3"/>
    <n v="0"/>
    <n v="3000"/>
    <n v="0"/>
    <n v="0"/>
    <n v="1"/>
    <n v="179"/>
    <n v="1"/>
    <n v="179"/>
    <n v="1"/>
    <n v="179"/>
    <x v="0"/>
    <n v="0"/>
    <n v="0"/>
    <n v="0"/>
    <n v="0"/>
    <n v="0"/>
    <n v="1"/>
    <n v="179"/>
    <m/>
    <n v="2"/>
    <n v="0"/>
    <n v="6"/>
    <x v="0"/>
    <n v="0.67039106145251393"/>
    <n v="119.99999999999999"/>
    <n v="0"/>
    <n v="0"/>
    <n v="0.67039106145251393"/>
    <n v="119.99999999999999"/>
    <n v="0"/>
    <n v="0.67"/>
    <n v="119.93"/>
    <n v="2.9499999999999993"/>
    <n v="3"/>
    <x v="0"/>
    <n v="1"/>
    <n v="179"/>
    <n v="0.56999999999999984"/>
    <n v="1"/>
    <n v="179"/>
    <n v="6"/>
    <n v="1"/>
    <n v="0"/>
    <n v="1"/>
    <m/>
    <d v="2015-02-13T00:00:00"/>
    <d v="2016-02-13T00:00:00"/>
    <n v="91"/>
    <n v="3"/>
    <n v="0"/>
    <n v="1"/>
    <n v="179"/>
    <x v="0"/>
    <m/>
    <n v="1"/>
    <n v="179"/>
    <n v="2"/>
    <s v="Excellent coverage"/>
    <n v="0"/>
    <x v="0"/>
    <m/>
  </r>
  <r>
    <x v="9"/>
    <s v="MMR001CMP036"/>
    <x v="5"/>
    <x v="81"/>
    <n v="97.438259000000002"/>
    <n v="25.355841999999999"/>
    <x v="0"/>
    <x v="0"/>
    <n v="33"/>
    <n v="85"/>
    <n v="85"/>
    <x v="1"/>
    <s v="KBC"/>
    <x v="1"/>
    <x v="0"/>
    <d v="2015-06-30T00:00:00"/>
    <s v="OXFAM"/>
    <d v="2015-06-30T00:00:00"/>
    <s v="Focal NGO"/>
    <x v="0"/>
    <n v="0"/>
    <n v="0"/>
    <s v="No"/>
    <n v="2"/>
    <n v="0"/>
    <n v="6000"/>
    <n v="0"/>
    <n v="1"/>
    <n v="1"/>
    <n v="85"/>
    <n v="1"/>
    <n v="85"/>
    <n v="1"/>
    <n v="85"/>
    <x v="0"/>
    <n v="0"/>
    <n v="0"/>
    <n v="0"/>
    <n v="33"/>
    <n v="0"/>
    <n v="1"/>
    <n v="85"/>
    <m/>
    <n v="0"/>
    <n v="0"/>
    <n v="16"/>
    <x v="1"/>
    <n v="1"/>
    <n v="85"/>
    <n v="0"/>
    <n v="0"/>
    <n v="1"/>
    <n v="85"/>
    <n v="0"/>
    <n v="1"/>
    <n v="85"/>
    <n v="0"/>
    <n v="1"/>
    <x v="1"/>
    <n v="1"/>
    <n v="85"/>
    <n v="0"/>
    <n v="1"/>
    <n v="85"/>
    <n v="3"/>
    <n v="1"/>
    <n v="0"/>
    <n v="1"/>
    <m/>
    <d v="2015-02-18T00:00:00"/>
    <d v="2016-02-18T00:00:00"/>
    <n v="33"/>
    <n v="3"/>
    <n v="0"/>
    <n v="1"/>
    <n v="85"/>
    <x v="0"/>
    <m/>
    <n v="0.8"/>
    <n v="68"/>
    <n v="1"/>
    <s v="Excellent coverage"/>
    <n v="0"/>
    <x v="1"/>
    <m/>
  </r>
  <r>
    <x v="9"/>
    <s v="MMR001CMP116"/>
    <x v="4"/>
    <x v="82"/>
    <s v="NA"/>
    <s v="NA"/>
    <x v="0"/>
    <x v="1"/>
    <n v="48"/>
    <n v="218"/>
    <n v="218"/>
    <x v="1"/>
    <s v="IRRC"/>
    <x v="4"/>
    <x v="0"/>
    <s v="Gap"/>
    <m/>
    <m/>
    <s v="Focal NGO"/>
    <x v="0"/>
    <n v="0"/>
    <n v="0"/>
    <s v="No"/>
    <n v="0"/>
    <n v="0"/>
    <n v="30240"/>
    <n v="0"/>
    <n v="1"/>
    <n v="1"/>
    <n v="218"/>
    <n v="1"/>
    <n v="218"/>
    <n v="1"/>
    <n v="218"/>
    <x v="0"/>
    <n v="0"/>
    <n v="0"/>
    <n v="0.54500000000000004"/>
    <n v="48"/>
    <n v="0"/>
    <n v="1"/>
    <n v="218"/>
    <m/>
    <n v="0"/>
    <n v="0"/>
    <n v="12"/>
    <x v="2"/>
    <n v="1"/>
    <n v="218"/>
    <n v="0"/>
    <n v="0"/>
    <n v="1"/>
    <n v="218"/>
    <n v="0"/>
    <n v="1"/>
    <n v="218"/>
    <n v="0"/>
    <n v="4"/>
    <x v="1"/>
    <n v="1"/>
    <n v="218"/>
    <n v="0"/>
    <n v="1"/>
    <n v="218"/>
    <n v="6"/>
    <n v="1"/>
    <n v="0"/>
    <n v="1"/>
    <m/>
    <d v="2014-04-01T00:00:00"/>
    <s v="To be realised"/>
    <n v="48"/>
    <n v="13"/>
    <n v="48"/>
    <n v="0"/>
    <n v="0"/>
    <x v="0"/>
    <s v="Metta only distributed refill HK in 2015"/>
    <n v="0.5"/>
    <n v="109"/>
    <n v="0"/>
    <s v="No coverage"/>
    <n v="0"/>
    <x v="2"/>
    <m/>
  </r>
  <r>
    <x v="9"/>
    <s v="MMR001CMP116"/>
    <x v="4"/>
    <x v="83"/>
    <n v="97.567116999999996"/>
    <n v="24.768383"/>
    <x v="1"/>
    <x v="1"/>
    <n v="659"/>
    <n v="3541"/>
    <n v="3541"/>
    <x v="3"/>
    <m/>
    <x v="4"/>
    <x v="0"/>
    <s v="Gap"/>
    <m/>
    <m/>
    <s v="Focal NGO"/>
    <x v="0"/>
    <n v="0"/>
    <n v="0"/>
    <s v="No"/>
    <n v="3"/>
    <n v="0"/>
    <n v="70000"/>
    <n v="0"/>
    <n v="1"/>
    <n v="1"/>
    <n v="3541"/>
    <n v="1"/>
    <n v="3541"/>
    <n v="1"/>
    <n v="3541"/>
    <x v="0"/>
    <n v="0"/>
    <n v="0"/>
    <n v="5.8524999999999991"/>
    <n v="659"/>
    <n v="0"/>
    <n v="1"/>
    <n v="3541"/>
    <m/>
    <n v="0"/>
    <n v="0"/>
    <n v="659"/>
    <x v="2"/>
    <n v="1"/>
    <n v="3541"/>
    <n v="0"/>
    <n v="0"/>
    <n v="1"/>
    <n v="3541"/>
    <n v="0"/>
    <n v="1"/>
    <n v="3541"/>
    <n v="0"/>
    <n v="0"/>
    <x v="1"/>
    <n v="0"/>
    <n v="0"/>
    <n v="35.409999999999997"/>
    <n v="0"/>
    <n v="0"/>
    <n v="0"/>
    <n v="0"/>
    <n v="35.409999999999997"/>
    <n v="0"/>
    <s v="every host families HH have a latrine"/>
    <d v="2014-04-01T00:00:00"/>
    <s v="To be realised"/>
    <n v="659"/>
    <n v="13"/>
    <n v="659"/>
    <n v="0"/>
    <n v="0"/>
    <x v="0"/>
    <s v="Metta only distributed refill HK in 2015"/>
    <n v="0"/>
    <n v="0"/>
    <n v="0"/>
    <s v="No coverage"/>
    <n v="0"/>
    <x v="2"/>
    <m/>
  </r>
  <r>
    <x v="9"/>
    <s v="MMR001CMP116"/>
    <x v="4"/>
    <x v="84"/>
    <n v="97.567116999999996"/>
    <n v="24.768383"/>
    <x v="0"/>
    <x v="1"/>
    <n v="281"/>
    <n v="1534"/>
    <n v="1534"/>
    <x v="2"/>
    <s v="IRRC"/>
    <x v="4"/>
    <x v="0"/>
    <s v="Gap"/>
    <m/>
    <m/>
    <s v="Focal NGO"/>
    <x v="0"/>
    <n v="0"/>
    <n v="0"/>
    <s v="No"/>
    <n v="0"/>
    <n v="0"/>
    <n v="53805"/>
    <n v="0"/>
    <n v="1"/>
    <n v="1"/>
    <n v="1534"/>
    <n v="1"/>
    <n v="1534"/>
    <n v="1"/>
    <n v="1534"/>
    <x v="0"/>
    <n v="0"/>
    <n v="0"/>
    <n v="3.835"/>
    <n v="281"/>
    <n v="0"/>
    <n v="1"/>
    <n v="1534"/>
    <m/>
    <n v="0"/>
    <n v="29"/>
    <n v="53"/>
    <x v="2"/>
    <n v="1"/>
    <n v="1534"/>
    <n v="0.30899608865710559"/>
    <n v="474"/>
    <n v="0.69100391134289441"/>
    <n v="1060"/>
    <n v="0"/>
    <n v="1"/>
    <n v="1534"/>
    <n v="23.700000000000003"/>
    <n v="16"/>
    <x v="1"/>
    <n v="1"/>
    <n v="1534"/>
    <n v="0"/>
    <n v="1"/>
    <n v="1534"/>
    <n v="7"/>
    <n v="0.45632333767926986"/>
    <n v="8.34"/>
    <n v="0.46"/>
    <s v="land limited for more semi-permanent latrine construciton and also for other sanitation facilities, they more preferred to take a bath near their  shelter."/>
    <d v="2014-04-01T00:00:00"/>
    <s v="To be realised"/>
    <n v="281"/>
    <n v="13"/>
    <n v="281"/>
    <n v="0"/>
    <n v="0"/>
    <x v="0"/>
    <s v="Metta only distributed refill HK in 2015"/>
    <n v="0.5"/>
    <n v="767"/>
    <n v="5"/>
    <s v="Excellent coverage"/>
    <n v="0"/>
    <x v="1"/>
    <m/>
  </r>
  <r>
    <x v="9"/>
    <s v="MMR001CMP111"/>
    <x v="4"/>
    <x v="85"/>
    <n v="97.756789999999995"/>
    <n v="25.106670000000001"/>
    <x v="0"/>
    <x v="1"/>
    <n v="646"/>
    <n v="2440"/>
    <n v="2440"/>
    <x v="3"/>
    <s v="KBC"/>
    <x v="1"/>
    <x v="0"/>
    <d v="2015-06-30T00:00:00"/>
    <s v="OXFAM"/>
    <d v="2015-06-30T00:00:00"/>
    <s v="Focal NGO"/>
    <x v="0"/>
    <n v="0"/>
    <n v="0"/>
    <s v="No"/>
    <n v="0"/>
    <n v="0"/>
    <n v="40000"/>
    <n v="0"/>
    <n v="0"/>
    <n v="1"/>
    <n v="2440"/>
    <n v="1"/>
    <n v="2440"/>
    <n v="1"/>
    <n v="2440"/>
    <x v="0"/>
    <n v="0"/>
    <n v="0"/>
    <n v="6.1"/>
    <n v="0"/>
    <n v="0"/>
    <n v="1"/>
    <n v="2440"/>
    <m/>
    <n v="80"/>
    <n v="160"/>
    <n v="0"/>
    <x v="0"/>
    <n v="1"/>
    <n v="2440"/>
    <n v="1"/>
    <n v="2440"/>
    <n v="0"/>
    <n v="0"/>
    <n v="0"/>
    <n v="1"/>
    <n v="2440"/>
    <n v="122"/>
    <n v="12"/>
    <x v="0"/>
    <n v="0.49180327868852458"/>
    <n v="1200"/>
    <n v="12.399999999999999"/>
    <n v="0.49"/>
    <n v="1195.5999999999999"/>
    <n v="54"/>
    <n v="1"/>
    <n v="0"/>
    <n v="1"/>
    <s v="These IDPs from NGCA didn't need more Semi - permanent construction because of IDPs have sufficient HH latrines at each HH level. Semi-permanent isn't appropriate construciton due to Rocky land and logistic issue in this IDPs camp. "/>
    <d v="2015-02-18T00:00:00"/>
    <d v="2016-02-18T00:00:00"/>
    <n v="646"/>
    <n v="3"/>
    <n v="0"/>
    <n v="1"/>
    <n v="2440"/>
    <x v="0"/>
    <m/>
    <n v="0.8"/>
    <n v="1952"/>
    <n v="5"/>
    <s v="Excellent coverage"/>
    <n v="0"/>
    <x v="1"/>
    <m/>
  </r>
  <r>
    <x v="0"/>
    <m/>
    <x v="0"/>
    <x v="86"/>
    <n v="98.134313888888897"/>
    <n v="25.8873472222222"/>
    <x v="2"/>
    <x v="0"/>
    <n v="0"/>
    <n v="45"/>
    <n v="45"/>
    <x v="1"/>
    <s v="KMSS"/>
    <x v="2"/>
    <x v="0"/>
    <d v="2015-12-31T00:00:00"/>
    <m/>
    <m/>
    <s v="Focal NGO"/>
    <x v="0"/>
    <n v="0"/>
    <n v="0"/>
    <s v="No"/>
    <n v="0"/>
    <n v="0"/>
    <n v="860"/>
    <n v="0"/>
    <n v="1"/>
    <n v="1"/>
    <n v="45"/>
    <n v="1"/>
    <n v="45"/>
    <n v="1"/>
    <n v="45"/>
    <x v="0"/>
    <n v="0"/>
    <n v="0"/>
    <n v="0.1125"/>
    <n v="0"/>
    <n v="0"/>
    <n v="1"/>
    <n v="45"/>
    <s v="14 chinese water filter distributed 2014"/>
    <n v="4"/>
    <n v="2"/>
    <n v="2"/>
    <x v="1"/>
    <n v="1"/>
    <n v="45"/>
    <n v="0.11111111111111116"/>
    <n v="5.0000000000000018"/>
    <n v="0.88888888888888884"/>
    <n v="40"/>
    <n v="0"/>
    <n v="1"/>
    <n v="45"/>
    <n v="0.25"/>
    <n v="2"/>
    <x v="0"/>
    <n v="1"/>
    <n v="45"/>
    <n v="0"/>
    <n v="1"/>
    <n v="45"/>
    <n v="5"/>
    <n v="1"/>
    <n v="0"/>
    <n v="1"/>
    <m/>
    <d v="2014-05-21T00:00:00"/>
    <s v="To be realised"/>
    <n v="43"/>
    <n v="10"/>
    <n v="0"/>
    <n v="1"/>
    <n v="45"/>
    <x v="1"/>
    <m/>
    <n v="0"/>
    <n v="0"/>
    <n v="0"/>
    <s v="No coverage"/>
    <n v="0"/>
    <x v="0"/>
    <m/>
  </r>
  <r>
    <x v="9"/>
    <s v="MMR001CMP208"/>
    <x v="4"/>
    <x v="87"/>
    <n v="97.541793999999996"/>
    <n v="24.752471"/>
    <x v="2"/>
    <x v="1"/>
    <n v="0"/>
    <n v="391"/>
    <n v="391"/>
    <x v="1"/>
    <m/>
    <x v="4"/>
    <x v="0"/>
    <s v="Gap"/>
    <m/>
    <m/>
    <s v="Focal NGO"/>
    <x v="0"/>
    <n v="0"/>
    <n v="0"/>
    <s v="No"/>
    <n v="0"/>
    <n v="0"/>
    <n v="6000"/>
    <n v="0"/>
    <n v="1"/>
    <n v="1"/>
    <n v="391"/>
    <n v="1"/>
    <n v="391"/>
    <n v="1"/>
    <n v="391"/>
    <x v="0"/>
    <n v="0"/>
    <n v="0"/>
    <n v="0.97750000000000004"/>
    <n v="0"/>
    <n v="0"/>
    <n v="1"/>
    <n v="391"/>
    <m/>
    <n v="0"/>
    <n v="8"/>
    <n v="20"/>
    <x v="1"/>
    <n v="1"/>
    <n v="391"/>
    <n v="0"/>
    <n v="0"/>
    <n v="1"/>
    <n v="391"/>
    <n v="0"/>
    <n v="1"/>
    <n v="391"/>
    <n v="0"/>
    <n v="4"/>
    <x v="0"/>
    <n v="1"/>
    <n v="391"/>
    <n v="0"/>
    <n v="1"/>
    <n v="391"/>
    <n v="1"/>
    <n v="0.25575447570332482"/>
    <n v="2.91"/>
    <n v="0.26"/>
    <m/>
    <m/>
    <s v="To be realised"/>
    <n v="0"/>
    <n v="13"/>
    <n v="0"/>
    <n v="1"/>
    <n v="391"/>
    <x v="5"/>
    <s v="Metta only distributed refill HK in 2015"/>
    <n v="0"/>
    <n v="0"/>
    <n v="0"/>
    <s v="No coverage"/>
    <n v="0"/>
    <x v="2"/>
    <m/>
  </r>
  <r>
    <x v="9"/>
    <s v="MMR001CMP208"/>
    <x v="4"/>
    <x v="88"/>
    <n v="97.541793999999996"/>
    <n v="24.752471"/>
    <x v="2"/>
    <x v="1"/>
    <n v="0"/>
    <n v="528"/>
    <n v="528"/>
    <x v="1"/>
    <m/>
    <x v="4"/>
    <x v="0"/>
    <s v="Gap"/>
    <m/>
    <m/>
    <s v="Focal NGO"/>
    <x v="0"/>
    <n v="0"/>
    <n v="0"/>
    <s v="No"/>
    <n v="1"/>
    <n v="0"/>
    <n v="7920"/>
    <n v="0"/>
    <n v="1"/>
    <n v="1"/>
    <n v="528"/>
    <n v="1"/>
    <n v="528"/>
    <n v="1"/>
    <n v="528"/>
    <x v="0"/>
    <n v="0"/>
    <n v="0"/>
    <n v="0.32000000000000006"/>
    <n v="0"/>
    <n v="0"/>
    <n v="1"/>
    <n v="528"/>
    <m/>
    <n v="0"/>
    <n v="7"/>
    <n v="15"/>
    <x v="1"/>
    <n v="0.83333333333333337"/>
    <n v="440"/>
    <n v="0.26515151515151514"/>
    <n v="140"/>
    <n v="0.56818181818181823"/>
    <n v="300"/>
    <n v="0"/>
    <n v="0.83"/>
    <n v="438.23999999999995"/>
    <n v="11.399999999999999"/>
    <n v="4"/>
    <x v="0"/>
    <n v="0.75757575757575757"/>
    <n v="400"/>
    <n v="1.2800000000000002"/>
    <n v="0.76"/>
    <n v="401.28000000000003"/>
    <n v="0"/>
    <n v="0"/>
    <n v="5.28"/>
    <n v="0"/>
    <m/>
    <m/>
    <s v="To be realised"/>
    <n v="0"/>
    <n v="13"/>
    <n v="0"/>
    <n v="1"/>
    <n v="528"/>
    <x v="5"/>
    <s v="Metta only distributed refill HK in 2015"/>
    <n v="0"/>
    <n v="0"/>
    <n v="0"/>
    <s v="No coverage"/>
    <n v="0"/>
    <x v="2"/>
    <m/>
  </r>
  <r>
    <x v="8"/>
    <s v="MMR001CMP227"/>
    <x v="0"/>
    <x v="89"/>
    <n v="97.561105999999995"/>
    <n v="27.248964999999998"/>
    <x v="1"/>
    <x v="0"/>
    <n v="12"/>
    <n v="52"/>
    <n v="52"/>
    <x v="1"/>
    <m/>
    <x v="1"/>
    <x v="0"/>
    <s v="Gap"/>
    <m/>
    <m/>
    <s v="Focal NGO"/>
    <x v="0"/>
    <n v="0"/>
    <n v="0"/>
    <s v="No"/>
    <n v="1"/>
    <n v="0"/>
    <n v="0"/>
    <n v="0"/>
    <n v="0"/>
    <n v="1"/>
    <n v="52"/>
    <n v="1"/>
    <n v="52"/>
    <n v="1"/>
    <n v="52"/>
    <x v="0"/>
    <n v="0"/>
    <n v="0"/>
    <n v="0"/>
    <n v="0"/>
    <n v="0"/>
    <n v="1"/>
    <n v="52"/>
    <s v="this place have a plan to relocate into Lone Sut camp"/>
    <n v="10"/>
    <n v="10"/>
    <n v="0"/>
    <x v="2"/>
    <n v="1"/>
    <n v="52"/>
    <n v="1"/>
    <n v="52"/>
    <n v="0"/>
    <n v="0"/>
    <n v="0"/>
    <n v="1"/>
    <n v="52"/>
    <n v="2.6"/>
    <n v="0"/>
    <x v="1"/>
    <n v="0"/>
    <n v="0"/>
    <n v="0.52"/>
    <n v="0"/>
    <n v="0"/>
    <n v="0"/>
    <n v="0"/>
    <n v="0.52"/>
    <n v="0"/>
    <m/>
    <m/>
    <s v="To be realised"/>
    <n v="0"/>
    <n v="0"/>
    <n v="12"/>
    <n v="0"/>
    <n v="0"/>
    <x v="5"/>
    <m/>
    <n v="0"/>
    <n v="0"/>
    <n v="0"/>
    <s v="No coverage"/>
    <n v="0"/>
    <x v="3"/>
    <m/>
  </r>
  <r>
    <x v="9"/>
    <s v="MMR001CMP033"/>
    <x v="5"/>
    <x v="90"/>
    <n v="97.345039"/>
    <n v="25.351965"/>
    <x v="0"/>
    <x v="0"/>
    <n v="18"/>
    <n v="78"/>
    <n v="78"/>
    <x v="1"/>
    <s v="Shalom"/>
    <x v="0"/>
    <x v="0"/>
    <d v="2015-05-31T00:00:00"/>
    <m/>
    <m/>
    <s v="Focal NGO"/>
    <x v="0"/>
    <n v="0"/>
    <n v="0"/>
    <s v="No"/>
    <n v="1"/>
    <n v="1"/>
    <n v="0"/>
    <n v="0"/>
    <n v="0"/>
    <n v="1"/>
    <n v="78"/>
    <n v="1"/>
    <n v="78"/>
    <n v="1"/>
    <n v="78"/>
    <x v="0"/>
    <n v="0"/>
    <n v="0"/>
    <n v="0"/>
    <n v="0"/>
    <n v="0"/>
    <n v="1"/>
    <n v="78"/>
    <m/>
    <n v="0"/>
    <n v="0"/>
    <n v="5"/>
    <x v="0"/>
    <n v="1"/>
    <n v="78"/>
    <n v="0"/>
    <n v="0"/>
    <n v="1"/>
    <n v="78"/>
    <n v="0"/>
    <n v="1"/>
    <n v="78"/>
    <n v="0"/>
    <n v="1"/>
    <x v="1"/>
    <n v="1"/>
    <n v="78"/>
    <n v="0"/>
    <n v="1"/>
    <n v="78"/>
    <n v="0"/>
    <n v="0"/>
    <n v="0.78"/>
    <n v="0"/>
    <m/>
    <d v="2015-02-13T00:00:00"/>
    <d v="2016-02-13T00:00:00"/>
    <n v="18"/>
    <n v="3"/>
    <n v="0"/>
    <n v="1"/>
    <n v="78"/>
    <x v="0"/>
    <m/>
    <n v="1"/>
    <n v="78"/>
    <n v="1"/>
    <s v="Excellent coverage"/>
    <n v="0"/>
    <x v="0"/>
    <m/>
  </r>
  <r>
    <x v="1"/>
    <s v="MMR001CMP231"/>
    <x v="1"/>
    <x v="91"/>
    <n v="96.341520000000003"/>
    <n v="25.655280000000001"/>
    <x v="0"/>
    <x v="0"/>
    <n v="58"/>
    <n v="224"/>
    <n v="224"/>
    <x v="0"/>
    <m/>
    <x v="3"/>
    <x v="1"/>
    <m/>
    <m/>
    <m/>
    <s v="WASH cluster"/>
    <x v="0"/>
    <n v="0"/>
    <n v="0"/>
    <s v="No"/>
    <n v="2"/>
    <n v="0"/>
    <n v="12960"/>
    <n v="0"/>
    <n v="0"/>
    <n v="1"/>
    <n v="224"/>
    <n v="1"/>
    <n v="224"/>
    <n v="1"/>
    <n v="224"/>
    <x v="0"/>
    <n v="0"/>
    <n v="0"/>
    <n v="0"/>
    <n v="0"/>
    <n v="0"/>
    <n v="1"/>
    <n v="224"/>
    <m/>
    <n v="0"/>
    <n v="0"/>
    <n v="6"/>
    <x v="2"/>
    <n v="0.5357142857142857"/>
    <n v="120"/>
    <n v="0"/>
    <n v="0"/>
    <n v="0.5357142857142857"/>
    <n v="120"/>
    <n v="0"/>
    <n v="0.54"/>
    <n v="120.96000000000001"/>
    <n v="5.1999999999999993"/>
    <n v="1"/>
    <x v="1"/>
    <n v="0.44642857142857145"/>
    <n v="100"/>
    <n v="1.2400000000000002"/>
    <n v="0.45"/>
    <n v="100.8"/>
    <n v="0"/>
    <n v="0"/>
    <n v="2.2400000000000002"/>
    <n v="0"/>
    <m/>
    <m/>
    <s v="To be realised"/>
    <n v="0"/>
    <m/>
    <n v="58"/>
    <n v="0"/>
    <n v="0"/>
    <x v="5"/>
    <m/>
    <n v="0"/>
    <n v="0"/>
    <n v="0"/>
    <s v="No coverage"/>
    <n v="0"/>
    <x v="1"/>
    <m/>
  </r>
  <r>
    <x v="0"/>
    <s v="MMR001CMP225"/>
    <x v="0"/>
    <x v="92"/>
    <n v="98.356405555555497"/>
    <n v="25.645869444444401"/>
    <x v="0"/>
    <x v="0"/>
    <n v="30"/>
    <n v="165"/>
    <n v="165"/>
    <x v="1"/>
    <s v="KMSS"/>
    <x v="2"/>
    <x v="0"/>
    <d v="2015-12-31T00:00:00"/>
    <m/>
    <m/>
    <s v="Focal NGO"/>
    <x v="0"/>
    <n v="0"/>
    <n v="0"/>
    <s v="No"/>
    <n v="0"/>
    <n v="0"/>
    <n v="3200"/>
    <n v="0"/>
    <n v="1"/>
    <n v="1"/>
    <n v="165"/>
    <n v="1"/>
    <n v="165"/>
    <n v="1"/>
    <n v="165"/>
    <x v="0"/>
    <n v="0"/>
    <n v="0"/>
    <n v="0.41249999999999998"/>
    <n v="30"/>
    <n v="0"/>
    <n v="1"/>
    <n v="165"/>
    <s v="30 chinese water filter distrubuted in 2014"/>
    <n v="0"/>
    <n v="4"/>
    <n v="0"/>
    <x v="1"/>
    <n v="0.48484848484848486"/>
    <n v="80"/>
    <n v="0.48484848484848486"/>
    <n v="80"/>
    <n v="0"/>
    <n v="0"/>
    <n v="0"/>
    <n v="0.48"/>
    <n v="79.2"/>
    <n v="8.25"/>
    <n v="0"/>
    <x v="1"/>
    <n v="0"/>
    <n v="0"/>
    <n v="1.65"/>
    <n v="0"/>
    <n v="0"/>
    <n v="0"/>
    <n v="0"/>
    <n v="1.65"/>
    <n v="0"/>
    <m/>
    <d v="2014-05-21T00:00:00"/>
    <s v="To be realised"/>
    <n v="30"/>
    <n v="10"/>
    <n v="30"/>
    <n v="0"/>
    <n v="0"/>
    <x v="1"/>
    <m/>
    <n v="0"/>
    <n v="0"/>
    <n v="0"/>
    <s v="No coverage"/>
    <n v="0"/>
    <x v="2"/>
    <m/>
  </r>
  <r>
    <x v="10"/>
    <s v="MMR001CMP212"/>
    <x v="3"/>
    <x v="93"/>
    <n v="97.710989999999995"/>
    <n v="24.181640000000002"/>
    <x v="0"/>
    <x v="0"/>
    <n v="282"/>
    <n v="1214"/>
    <n v="1203"/>
    <x v="2"/>
    <s v="KBC"/>
    <x v="5"/>
    <x v="0"/>
    <d v="2015-08-31T00:00:00"/>
    <m/>
    <m/>
    <s v="Focal NGO"/>
    <x v="0"/>
    <n v="0"/>
    <n v="0"/>
    <s v="No"/>
    <n v="2"/>
    <n v="0"/>
    <n v="36000"/>
    <n v="0"/>
    <n v="0"/>
    <n v="1"/>
    <n v="1203"/>
    <n v="1"/>
    <n v="1203"/>
    <n v="1"/>
    <n v="1203"/>
    <x v="0"/>
    <n v="0"/>
    <n v="0"/>
    <n v="1.0074999999999998"/>
    <n v="0"/>
    <n v="0"/>
    <n v="1"/>
    <n v="1203"/>
    <m/>
    <n v="24"/>
    <n v="19"/>
    <n v="38"/>
    <x v="2"/>
    <n v="0.94763092269326688"/>
    <n v="1140"/>
    <n v="0.31587697423108896"/>
    <n v="380"/>
    <n v="0.63175394846217792"/>
    <n v="760"/>
    <n v="6"/>
    <n v="1"/>
    <n v="1203"/>
    <n v="28.15"/>
    <n v="6"/>
    <x v="4"/>
    <n v="0.49875311720698257"/>
    <n v="600"/>
    <n v="6.1400000000000006"/>
    <n v="0.49"/>
    <n v="589.47"/>
    <n v="19"/>
    <n v="1"/>
    <n v="0"/>
    <n v="1"/>
    <s v="Land limited to costruct more Semi-permanent in this camp"/>
    <d v="2015-02-20T00:00:00"/>
    <d v="2016-02-20T00:00:00"/>
    <n v="285"/>
    <n v="2"/>
    <n v="0"/>
    <n v="1"/>
    <n v="1203"/>
    <x v="0"/>
    <m/>
    <n v="1"/>
    <n v="1203"/>
    <n v="2"/>
    <s v="Good coverage"/>
    <n v="0"/>
    <x v="5"/>
    <m/>
  </r>
  <r>
    <x v="10"/>
    <s v="MMR001CMP213"/>
    <x v="3"/>
    <x v="94"/>
    <n v="97.710989999999995"/>
    <n v="24.181640000000002"/>
    <x v="0"/>
    <x v="0"/>
    <n v="134"/>
    <n v="609"/>
    <n v="595"/>
    <x v="0"/>
    <s v="KMSS"/>
    <x v="5"/>
    <x v="0"/>
    <d v="2015-08-31T00:00:00"/>
    <m/>
    <m/>
    <s v="Focal NGO"/>
    <x v="0"/>
    <n v="0"/>
    <n v="0"/>
    <s v="No"/>
    <n v="1"/>
    <n v="0"/>
    <n v="13500"/>
    <n v="0"/>
    <n v="0"/>
    <n v="1"/>
    <n v="595"/>
    <n v="1"/>
    <n v="595"/>
    <n v="1"/>
    <n v="595"/>
    <x v="0"/>
    <n v="0"/>
    <n v="0"/>
    <n v="0.48750000000000004"/>
    <n v="0"/>
    <n v="0"/>
    <n v="1"/>
    <n v="595"/>
    <m/>
    <n v="9"/>
    <n v="9"/>
    <n v="16"/>
    <x v="4"/>
    <n v="0.84033613445378152"/>
    <n v="500"/>
    <n v="0.30252100840336138"/>
    <n v="180.00000000000003"/>
    <n v="0.53781512605042014"/>
    <n v="320"/>
    <n v="0"/>
    <n v="1"/>
    <n v="595"/>
    <n v="13.75"/>
    <n v="3"/>
    <x v="4"/>
    <n v="0.50420168067226889"/>
    <n v="300"/>
    <n v="3.09"/>
    <n v="0.49"/>
    <n v="291.55"/>
    <n v="9"/>
    <n v="1"/>
    <n v="0"/>
    <n v="1"/>
    <s v="Land limited to costruct more Semi-permanent in this camp"/>
    <d v="2015-02-20T00:00:00"/>
    <d v="2016-02-20T00:00:00"/>
    <n v="135"/>
    <n v="2"/>
    <n v="0"/>
    <n v="1"/>
    <n v="595"/>
    <x v="0"/>
    <m/>
    <n v="1"/>
    <n v="595"/>
    <n v="1"/>
    <s v="Good coverage"/>
    <n v="0"/>
    <x v="5"/>
    <m/>
  </r>
  <r>
    <x v="6"/>
    <s v="MMR001CMP197"/>
    <x v="6"/>
    <x v="95"/>
    <n v="97.344350000000006"/>
    <n v="24.25067"/>
    <x v="1"/>
    <x v="0"/>
    <n v="394"/>
    <n v="1504"/>
    <n v="1504"/>
    <x v="2"/>
    <m/>
    <x v="5"/>
    <x v="0"/>
    <d v="2015-08-31T00:00:00"/>
    <m/>
    <m/>
    <s v="Focal NGO"/>
    <x v="0"/>
    <n v="0"/>
    <n v="0"/>
    <s v="No"/>
    <n v="150"/>
    <n v="63"/>
    <n v="0"/>
    <n v="0"/>
    <n v="0"/>
    <n v="1"/>
    <n v="1504"/>
    <n v="1"/>
    <n v="1504"/>
    <n v="1"/>
    <n v="1504"/>
    <x v="0"/>
    <n v="0"/>
    <n v="0"/>
    <n v="0"/>
    <n v="0"/>
    <n v="0"/>
    <n v="1"/>
    <n v="1504"/>
    <s v="CESVI implement WASH activities such HP and HK distribution and renovation of WASH facilities in this host families"/>
    <n v="285"/>
    <n v="276"/>
    <n v="9"/>
    <x v="4"/>
    <n v="1"/>
    <n v="1504"/>
    <n v="0.88031914893617025"/>
    <n v="1324"/>
    <n v="0.11968085106382979"/>
    <n v="180"/>
    <n v="0"/>
    <n v="1"/>
    <n v="1504"/>
    <n v="66.2"/>
    <n v="213"/>
    <x v="1"/>
    <n v="1"/>
    <n v="1504"/>
    <n v="0"/>
    <n v="1"/>
    <n v="1504"/>
    <n v="0"/>
    <n v="0"/>
    <n v="15.04"/>
    <n v="0"/>
    <m/>
    <d v="2014-12-19T00:00:00"/>
    <d v="2015-12-19T00:00:00"/>
    <n v="334"/>
    <n v="0"/>
    <n v="60"/>
    <n v="0.84771573604060912"/>
    <n v="1274.9644670050761"/>
    <x v="2"/>
    <m/>
    <n v="1"/>
    <n v="1504"/>
    <n v="4"/>
    <s v="Excellent coverage"/>
    <n v="0"/>
    <x v="5"/>
    <m/>
  </r>
  <r>
    <x v="11"/>
    <s v="MMR001CMP163"/>
    <x v="6"/>
    <x v="96"/>
    <n v="97.228769999999997"/>
    <n v="24.26502"/>
    <x v="1"/>
    <x v="0"/>
    <n v="195"/>
    <n v="926"/>
    <n v="926"/>
    <x v="0"/>
    <m/>
    <x v="5"/>
    <x v="0"/>
    <d v="2015-08-31T00:00:00"/>
    <m/>
    <m/>
    <s v="Focal NGO"/>
    <x v="0"/>
    <n v="0"/>
    <n v="0"/>
    <s v="No"/>
    <n v="40"/>
    <n v="105"/>
    <n v="0"/>
    <n v="0"/>
    <n v="0"/>
    <n v="1"/>
    <n v="926"/>
    <n v="1"/>
    <n v="926"/>
    <n v="1"/>
    <n v="926"/>
    <x v="0"/>
    <n v="0"/>
    <n v="0"/>
    <n v="0"/>
    <n v="0"/>
    <n v="0"/>
    <n v="1"/>
    <n v="926"/>
    <s v="CESVI implement WASH activities such HP and HK distribution and renovation of WASH facilities in this host families"/>
    <n v="112"/>
    <n v="100"/>
    <n v="12"/>
    <x v="4"/>
    <n v="1"/>
    <n v="926"/>
    <n v="0.74082073434125273"/>
    <n v="686"/>
    <n v="0.25917926565874733"/>
    <n v="240.00000000000003"/>
    <n v="0"/>
    <n v="1"/>
    <n v="926"/>
    <n v="34.299999999999997"/>
    <n v="163"/>
    <x v="1"/>
    <n v="1"/>
    <n v="926"/>
    <n v="0"/>
    <n v="1"/>
    <n v="926"/>
    <n v="0"/>
    <n v="0"/>
    <n v="9.26"/>
    <n v="0"/>
    <m/>
    <m/>
    <s v="To be realised"/>
    <n v="0"/>
    <n v="0"/>
    <n v="195"/>
    <n v="0"/>
    <n v="0"/>
    <x v="5"/>
    <m/>
    <n v="1"/>
    <n v="926"/>
    <n v="4"/>
    <s v="Excellent coverage"/>
    <n v="0"/>
    <x v="5"/>
    <m/>
  </r>
  <r>
    <x v="11"/>
    <s v="MMR001CMP194"/>
    <x v="6"/>
    <x v="97"/>
    <n v="97.252650000000003"/>
    <n v="24.260466999999998"/>
    <x v="0"/>
    <x v="0"/>
    <n v="13"/>
    <n v="58"/>
    <n v="58"/>
    <x v="1"/>
    <s v="KBC"/>
    <x v="4"/>
    <x v="0"/>
    <s v="Gap"/>
    <m/>
    <m/>
    <s v="Focal NGO"/>
    <x v="0"/>
    <n v="0"/>
    <n v="0"/>
    <s v="No"/>
    <n v="1"/>
    <n v="0"/>
    <n v="0"/>
    <n v="0"/>
    <n v="0"/>
    <n v="1"/>
    <n v="58"/>
    <n v="1"/>
    <n v="58"/>
    <n v="1"/>
    <n v="58"/>
    <x v="0"/>
    <n v="0"/>
    <n v="0"/>
    <n v="0"/>
    <n v="0"/>
    <n v="0"/>
    <n v="1"/>
    <n v="58"/>
    <m/>
    <n v="2"/>
    <n v="3"/>
    <n v="0"/>
    <x v="2"/>
    <n v="1"/>
    <n v="58"/>
    <n v="1"/>
    <n v="58"/>
    <n v="0"/>
    <n v="0"/>
    <n v="0"/>
    <n v="1"/>
    <n v="58"/>
    <n v="2.9"/>
    <n v="0"/>
    <x v="1"/>
    <n v="0"/>
    <n v="0"/>
    <n v="0.57999999999999996"/>
    <n v="0"/>
    <n v="0"/>
    <n v="1"/>
    <n v="1"/>
    <n v="0"/>
    <n v="1"/>
    <m/>
    <d v="2014-05-12T00:00:00"/>
    <s v="To be realised"/>
    <n v="13"/>
    <n v="6"/>
    <n v="13"/>
    <n v="0"/>
    <n v="0"/>
    <x v="7"/>
    <m/>
    <n v="0.9"/>
    <n v="52.2"/>
    <n v="0"/>
    <s v="No coverage"/>
    <n v="0"/>
    <x v="2"/>
    <m/>
  </r>
  <r>
    <x v="11"/>
    <s v="MMR001CMP052"/>
    <x v="6"/>
    <x v="98"/>
    <n v="97.236919999999998"/>
    <n v="24.24766"/>
    <x v="0"/>
    <x v="0"/>
    <n v="45"/>
    <n v="241"/>
    <n v="236"/>
    <x v="1"/>
    <s v="KBC"/>
    <x v="4"/>
    <x v="0"/>
    <s v="Gap"/>
    <m/>
    <m/>
    <s v="Focal NGO"/>
    <x v="0"/>
    <n v="0"/>
    <n v="0"/>
    <s v="No"/>
    <n v="1"/>
    <n v="0"/>
    <n v="14400"/>
    <n v="7.0000000000000007E-2"/>
    <n v="0"/>
    <n v="1"/>
    <n v="236"/>
    <n v="1"/>
    <n v="236"/>
    <n v="1"/>
    <n v="236"/>
    <x v="0"/>
    <n v="0"/>
    <n v="0"/>
    <n v="0"/>
    <n v="0"/>
    <n v="16.520000000000003"/>
    <n v="1"/>
    <n v="236"/>
    <m/>
    <n v="24"/>
    <n v="2"/>
    <n v="7"/>
    <x v="0"/>
    <n v="0.76271186440677963"/>
    <n v="180"/>
    <n v="0.16949152542372881"/>
    <n v="40"/>
    <n v="0.59322033898305082"/>
    <n v="140"/>
    <n v="0"/>
    <n v="0.76"/>
    <n v="179.36"/>
    <n v="4.8000000000000007"/>
    <n v="2"/>
    <x v="2"/>
    <n v="0.84745762711864403"/>
    <n v="200"/>
    <n v="0.41000000000000014"/>
    <n v="0.83"/>
    <n v="195.88"/>
    <n v="4"/>
    <n v="1"/>
    <n v="0"/>
    <n v="1"/>
    <m/>
    <d v="2014-07-08T00:00:00"/>
    <d v="2015-07-08T00:00:00"/>
    <n v="46"/>
    <n v="6"/>
    <n v="0"/>
    <n v="1"/>
    <n v="236"/>
    <x v="2"/>
    <m/>
    <n v="0.8"/>
    <n v="188.8"/>
    <n v="1"/>
    <s v="Excellent coverage"/>
    <n v="0"/>
    <x v="0"/>
    <m/>
  </r>
  <r>
    <x v="11"/>
    <s v="MMR001CMP049"/>
    <x v="6"/>
    <x v="99"/>
    <n v="97.241630000000001"/>
    <n v="24.266110000000001"/>
    <x v="0"/>
    <x v="0"/>
    <n v="91"/>
    <n v="553"/>
    <n v="511"/>
    <x v="0"/>
    <s v="Shalom"/>
    <x v="4"/>
    <x v="0"/>
    <s v="Gap"/>
    <m/>
    <m/>
    <s v="Focal NGO"/>
    <x v="0"/>
    <n v="0"/>
    <n v="0"/>
    <s v="No"/>
    <n v="3"/>
    <n v="0"/>
    <n v="13500"/>
    <n v="0.01"/>
    <n v="0"/>
    <n v="1"/>
    <n v="511"/>
    <n v="1"/>
    <n v="511"/>
    <n v="1"/>
    <n v="511"/>
    <x v="0"/>
    <n v="0"/>
    <n v="0"/>
    <n v="0"/>
    <n v="0"/>
    <n v="5.1100000000000003"/>
    <n v="1"/>
    <n v="511"/>
    <m/>
    <n v="12"/>
    <n v="8"/>
    <n v="14"/>
    <x v="0"/>
    <n v="0.86105675146771032"/>
    <n v="440"/>
    <n v="0.3131115459882583"/>
    <n v="160"/>
    <n v="0.54794520547945202"/>
    <n v="280"/>
    <n v="0"/>
    <n v="0.86"/>
    <n v="439.46"/>
    <n v="11.55"/>
    <n v="4"/>
    <x v="0"/>
    <n v="0.78277886497064575"/>
    <n v="400"/>
    <n v="1.5300000000000002"/>
    <n v="0.72"/>
    <n v="367.91999999999996"/>
    <n v="7"/>
    <n v="1"/>
    <n v="0"/>
    <n v="1"/>
    <s v="Land limited to costruct more Semi-permanent in this camp"/>
    <d v="2014-05-07T00:00:00"/>
    <s v="To be realised"/>
    <n v="103"/>
    <n v="6"/>
    <n v="91"/>
    <n v="0"/>
    <n v="0"/>
    <x v="7"/>
    <m/>
    <n v="0.8"/>
    <n v="408.8"/>
    <n v="2"/>
    <s v="Excellent coverage"/>
    <n v="0"/>
    <x v="1"/>
    <m/>
  </r>
  <r>
    <x v="11"/>
    <s v="MMR001CMP051"/>
    <x v="6"/>
    <x v="100"/>
    <n v="97.234200000000001"/>
    <n v="24.253067000000001"/>
    <x v="0"/>
    <x v="0"/>
    <n v="21"/>
    <n v="96"/>
    <n v="96"/>
    <x v="1"/>
    <s v="Shalom"/>
    <x v="4"/>
    <x v="0"/>
    <s v="Gap"/>
    <m/>
    <m/>
    <s v="Focal NGO"/>
    <x v="0"/>
    <n v="0"/>
    <n v="0"/>
    <s v="No"/>
    <n v="0"/>
    <n v="2"/>
    <n v="0"/>
    <n v="0"/>
    <n v="0"/>
    <n v="1"/>
    <n v="96"/>
    <n v="1"/>
    <n v="96"/>
    <n v="1"/>
    <n v="96"/>
    <x v="0"/>
    <n v="0"/>
    <n v="0"/>
    <n v="0"/>
    <n v="0"/>
    <n v="0"/>
    <n v="1"/>
    <n v="96"/>
    <m/>
    <n v="2"/>
    <n v="0"/>
    <n v="4"/>
    <x v="2"/>
    <n v="0.83333333333333337"/>
    <n v="80"/>
    <n v="0"/>
    <n v="0"/>
    <n v="0.83333333333333337"/>
    <n v="80"/>
    <n v="0"/>
    <n v="0.83"/>
    <n v="79.679999999999993"/>
    <n v="0.79999999999999982"/>
    <n v="3"/>
    <x v="1"/>
    <n v="1"/>
    <n v="96"/>
    <n v="0"/>
    <n v="1"/>
    <n v="96"/>
    <n v="3"/>
    <n v="1"/>
    <n v="0"/>
    <n v="1"/>
    <m/>
    <d v="2014-05-07T00:00:00"/>
    <s v="To be realised"/>
    <n v="19"/>
    <n v="6"/>
    <n v="21"/>
    <n v="0"/>
    <n v="0"/>
    <x v="7"/>
    <m/>
    <n v="0.8"/>
    <n v="76.800000000000011"/>
    <n v="1"/>
    <s v="Excellent coverage"/>
    <n v="0"/>
    <x v="2"/>
    <m/>
  </r>
  <r>
    <x v="11"/>
    <s v="MMR001CMP054"/>
    <x v="6"/>
    <x v="101"/>
    <n v="97.315860000000001"/>
    <n v="24.32638"/>
    <x v="0"/>
    <x v="0"/>
    <n v="22"/>
    <n v="125"/>
    <n v="125"/>
    <x v="1"/>
    <s v="KMSS"/>
    <x v="4"/>
    <x v="0"/>
    <s v="Gap"/>
    <m/>
    <m/>
    <s v="Focal NGO"/>
    <x v="0"/>
    <n v="0"/>
    <n v="0"/>
    <s v="No"/>
    <n v="0"/>
    <n v="0"/>
    <n v="4860"/>
    <n v="0"/>
    <n v="0.5"/>
    <n v="1"/>
    <n v="125"/>
    <n v="1"/>
    <n v="125"/>
    <n v="1"/>
    <n v="125"/>
    <x v="0"/>
    <n v="0"/>
    <n v="0"/>
    <n v="0.3125"/>
    <n v="11"/>
    <n v="0"/>
    <n v="1"/>
    <n v="125"/>
    <m/>
    <n v="8"/>
    <n v="0"/>
    <n v="10"/>
    <x v="1"/>
    <n v="1"/>
    <n v="125"/>
    <n v="0"/>
    <n v="0"/>
    <n v="1"/>
    <n v="125"/>
    <n v="0"/>
    <n v="1"/>
    <n v="125"/>
    <n v="0"/>
    <n v="2"/>
    <x v="0"/>
    <n v="1"/>
    <n v="125"/>
    <n v="0"/>
    <n v="1"/>
    <n v="125"/>
    <n v="1"/>
    <n v="0.8"/>
    <n v="0.25"/>
    <n v="0.8"/>
    <m/>
    <d v="2014-07-14T00:00:00"/>
    <d v="2015-07-14T00:00:00"/>
    <n v="22"/>
    <n v="6"/>
    <n v="0"/>
    <n v="1"/>
    <n v="125"/>
    <x v="2"/>
    <m/>
    <n v="0.8"/>
    <n v="100"/>
    <n v="1"/>
    <s v="Excellent coverage"/>
    <n v="0"/>
    <x v="1"/>
    <m/>
  </r>
  <r>
    <x v="11"/>
    <s v="MMR001CMP053"/>
    <x v="6"/>
    <x v="102"/>
    <n v="97.246889999999993"/>
    <n v="24.244129999999998"/>
    <x v="0"/>
    <x v="0"/>
    <n v="16"/>
    <n v="84"/>
    <n v="80"/>
    <x v="1"/>
    <s v="Shalom"/>
    <x v="4"/>
    <x v="0"/>
    <s v="Gap"/>
    <m/>
    <m/>
    <s v="Focal NGO"/>
    <x v="0"/>
    <n v="0"/>
    <n v="0"/>
    <s v="No"/>
    <n v="0"/>
    <n v="2"/>
    <n v="3915"/>
    <n v="0"/>
    <n v="0"/>
    <n v="1"/>
    <n v="80"/>
    <n v="1"/>
    <n v="80"/>
    <n v="1"/>
    <n v="80"/>
    <x v="0"/>
    <n v="0"/>
    <n v="0"/>
    <n v="0"/>
    <n v="0"/>
    <n v="0"/>
    <n v="1"/>
    <n v="80"/>
    <m/>
    <n v="0"/>
    <n v="0"/>
    <n v="10"/>
    <x v="1"/>
    <n v="1"/>
    <n v="80"/>
    <n v="0"/>
    <n v="0"/>
    <n v="1"/>
    <n v="80"/>
    <n v="0"/>
    <n v="1"/>
    <n v="80"/>
    <n v="0"/>
    <n v="1"/>
    <x v="1"/>
    <n v="1"/>
    <n v="80"/>
    <n v="0"/>
    <n v="1"/>
    <n v="80"/>
    <n v="1"/>
    <n v="1"/>
    <n v="0"/>
    <n v="1"/>
    <m/>
    <d v="2014-05-07T00:00:00"/>
    <s v="To be realised"/>
    <n v="17"/>
    <n v="6"/>
    <n v="16"/>
    <n v="0"/>
    <n v="0"/>
    <x v="7"/>
    <m/>
    <n v="0.8"/>
    <n v="64"/>
    <n v="1"/>
    <s v="Excellent coverage"/>
    <n v="0"/>
    <x v="0"/>
    <m/>
  </r>
  <r>
    <x v="10"/>
    <s v="MMR001CMP066"/>
    <x v="6"/>
    <x v="103"/>
    <n v="97.291820000000001"/>
    <n v="24.129059999999999"/>
    <x v="0"/>
    <x v="0"/>
    <n v="150"/>
    <n v="691"/>
    <n v="691"/>
    <x v="0"/>
    <s v="KBC"/>
    <x v="4"/>
    <x v="0"/>
    <s v="Gap"/>
    <m/>
    <m/>
    <s v="Focal NGO"/>
    <x v="0"/>
    <n v="0"/>
    <n v="0"/>
    <s v="No"/>
    <n v="3"/>
    <n v="0"/>
    <n v="20335"/>
    <n v="0.5"/>
    <n v="0.3"/>
    <n v="1"/>
    <n v="691"/>
    <n v="1"/>
    <n v="691"/>
    <n v="1"/>
    <n v="691"/>
    <x v="0"/>
    <n v="0"/>
    <n v="0"/>
    <n v="0"/>
    <n v="45"/>
    <n v="345.5"/>
    <n v="1"/>
    <n v="691"/>
    <m/>
    <n v="34"/>
    <n v="16"/>
    <n v="14"/>
    <x v="0"/>
    <n v="0.86830680173661356"/>
    <n v="600"/>
    <n v="0.4630969609261939"/>
    <n v="320"/>
    <n v="0.40520984081041966"/>
    <n v="280"/>
    <n v="0"/>
    <n v="0.87"/>
    <n v="601.16999999999996"/>
    <n v="20.549999999999997"/>
    <n v="6"/>
    <x v="2"/>
    <n v="0.86830680173661356"/>
    <n v="600"/>
    <n v="0.91000000000000014"/>
    <n v="0.87"/>
    <n v="601.16999999999996"/>
    <n v="10"/>
    <n v="1"/>
    <n v="0"/>
    <n v="1"/>
    <s v="Land limited to costruct more Semi-permanent in this camp"/>
    <d v="2014-07-15T00:00:00"/>
    <d v="2015-07-15T00:00:00"/>
    <n v="153"/>
    <n v="6"/>
    <n v="0"/>
    <n v="1"/>
    <n v="691"/>
    <x v="2"/>
    <m/>
    <n v="0.75"/>
    <n v="518.25"/>
    <n v="3"/>
    <s v="Excellent coverage"/>
    <n v="0"/>
    <x v="1"/>
    <m/>
  </r>
  <r>
    <x v="6"/>
    <s v="MMR001CMP056"/>
    <x v="6"/>
    <x v="104"/>
    <n v="97.347049999999996"/>
    <n v="24.255870000000002"/>
    <x v="0"/>
    <x v="0"/>
    <n v="141"/>
    <n v="608"/>
    <n v="608"/>
    <x v="0"/>
    <s v="KBC"/>
    <x v="4"/>
    <x v="0"/>
    <s v="Gap"/>
    <m/>
    <m/>
    <s v="Focal NGO"/>
    <x v="0"/>
    <n v="0"/>
    <n v="0"/>
    <s v="No"/>
    <n v="1"/>
    <n v="1"/>
    <n v="9555"/>
    <n v="0.1"/>
    <n v="0.68"/>
    <n v="1"/>
    <n v="608"/>
    <n v="1"/>
    <n v="608"/>
    <n v="1"/>
    <n v="608"/>
    <x v="0"/>
    <n v="0"/>
    <n v="0"/>
    <n v="0"/>
    <n v="95.88000000000001"/>
    <n v="60.800000000000004"/>
    <n v="1"/>
    <n v="608"/>
    <m/>
    <n v="30"/>
    <n v="14"/>
    <n v="16"/>
    <x v="2"/>
    <n v="0.98684210526315785"/>
    <n v="600"/>
    <n v="0.46052631578947367"/>
    <n v="280"/>
    <n v="0.52631578947368418"/>
    <n v="320"/>
    <n v="0"/>
    <n v="0.99"/>
    <n v="601.91999999999996"/>
    <n v="14.399999999999999"/>
    <n v="3"/>
    <x v="2"/>
    <n v="0.49342105263157893"/>
    <n v="300"/>
    <n v="3.08"/>
    <n v="0.49"/>
    <n v="297.92"/>
    <n v="15"/>
    <n v="1"/>
    <n v="0"/>
    <n v="1"/>
    <s v="Land limited to costruct more Semi-permanent in this camp"/>
    <d v="2014-05-12T00:00:00"/>
    <s v="To be realised"/>
    <n v="143"/>
    <n v="6"/>
    <n v="141"/>
    <n v="0"/>
    <n v="0"/>
    <x v="7"/>
    <m/>
    <n v="0.8"/>
    <n v="486.40000000000003"/>
    <n v="1"/>
    <s v="Good coverage"/>
    <n v="0"/>
    <x v="0"/>
    <m/>
  </r>
  <r>
    <x v="6"/>
    <s v="MMR001CMP056"/>
    <x v="6"/>
    <x v="105"/>
    <n v="97.346310000000003"/>
    <n v="24.253630000000001"/>
    <x v="0"/>
    <x v="0"/>
    <n v="18"/>
    <n v="109"/>
    <n v="109"/>
    <x v="1"/>
    <s v="KBC"/>
    <x v="4"/>
    <x v="0"/>
    <s v="Gap"/>
    <m/>
    <m/>
    <s v="Focal NGO"/>
    <x v="0"/>
    <n v="0"/>
    <n v="0"/>
    <s v="No"/>
    <n v="1"/>
    <n v="0"/>
    <n v="2000"/>
    <n v="0"/>
    <n v="1"/>
    <n v="1"/>
    <n v="109"/>
    <n v="1"/>
    <n v="109"/>
    <n v="1"/>
    <n v="109"/>
    <x v="0"/>
    <n v="0"/>
    <n v="0"/>
    <n v="0"/>
    <n v="18"/>
    <n v="0"/>
    <n v="1"/>
    <n v="109"/>
    <m/>
    <n v="2"/>
    <n v="2"/>
    <n v="6"/>
    <x v="2"/>
    <n v="1"/>
    <n v="109"/>
    <n v="0"/>
    <n v="0"/>
    <n v="1"/>
    <n v="109"/>
    <n v="0"/>
    <n v="1"/>
    <n v="109"/>
    <n v="0"/>
    <n v="2"/>
    <x v="1"/>
    <n v="1"/>
    <n v="109"/>
    <n v="0"/>
    <n v="1"/>
    <n v="109"/>
    <n v="3"/>
    <n v="1"/>
    <n v="0"/>
    <n v="1"/>
    <m/>
    <d v="2014-05-12T00:00:00"/>
    <s v="To be realised"/>
    <n v="23"/>
    <n v="6"/>
    <n v="18"/>
    <n v="0"/>
    <n v="0"/>
    <x v="7"/>
    <m/>
    <n v="0.75"/>
    <n v="81.75"/>
    <n v="1"/>
    <s v="Excellent coverage"/>
    <n v="0"/>
    <x v="0"/>
    <m/>
  </r>
  <r>
    <x v="6"/>
    <s v="MMR001CMP056"/>
    <x v="6"/>
    <x v="106"/>
    <n v="97.359300000000005"/>
    <n v="24.267040000000001"/>
    <x v="0"/>
    <x v="0"/>
    <n v="7"/>
    <n v="37"/>
    <n v="37"/>
    <x v="1"/>
    <s v="KBC"/>
    <x v="4"/>
    <x v="0"/>
    <s v="Gap"/>
    <m/>
    <m/>
    <s v="Focal NGO"/>
    <x v="0"/>
    <n v="0"/>
    <n v="0"/>
    <s v="No"/>
    <n v="0"/>
    <n v="0"/>
    <n v="1080"/>
    <n v="0"/>
    <n v="0.8"/>
    <n v="1"/>
    <n v="37"/>
    <n v="1"/>
    <n v="37"/>
    <n v="1"/>
    <n v="37"/>
    <x v="0"/>
    <n v="0"/>
    <n v="0"/>
    <n v="9.2499999999999999E-2"/>
    <n v="5.6000000000000005"/>
    <n v="0"/>
    <n v="1"/>
    <n v="37"/>
    <m/>
    <n v="1"/>
    <n v="2"/>
    <n v="1"/>
    <x v="2"/>
    <n v="1"/>
    <n v="37"/>
    <n v="0.45945945945945943"/>
    <n v="17"/>
    <n v="0.54054054054054057"/>
    <n v="20"/>
    <n v="0"/>
    <n v="1"/>
    <n v="37"/>
    <n v="0.85000000000000009"/>
    <n v="1"/>
    <x v="1"/>
    <n v="1"/>
    <n v="37"/>
    <n v="0"/>
    <n v="1"/>
    <n v="37"/>
    <n v="1"/>
    <n v="1"/>
    <n v="0"/>
    <n v="1"/>
    <m/>
    <d v="2014-05-09T00:00:00"/>
    <s v="To be realised"/>
    <n v="7"/>
    <n v="6"/>
    <n v="7"/>
    <n v="0"/>
    <n v="0"/>
    <x v="7"/>
    <m/>
    <n v="0.85"/>
    <n v="31.45"/>
    <n v="1"/>
    <s v="Excellent coverage"/>
    <n v="0"/>
    <x v="0"/>
    <m/>
  </r>
  <r>
    <x v="6"/>
    <s v="MMR001CMP062"/>
    <x v="6"/>
    <x v="107"/>
    <n v="97.325019999999995"/>
    <n v="24.245100000000001"/>
    <x v="0"/>
    <x v="0"/>
    <n v="259"/>
    <n v="1182"/>
    <n v="1182"/>
    <x v="2"/>
    <s v="KMSS"/>
    <x v="4"/>
    <x v="0"/>
    <s v="Gap"/>
    <m/>
    <m/>
    <s v="Focal NGO"/>
    <x v="0"/>
    <n v="0"/>
    <n v="0"/>
    <s v="No"/>
    <n v="1"/>
    <n v="0"/>
    <n v="52740"/>
    <n v="0.2"/>
    <n v="0.01"/>
    <n v="1"/>
    <n v="1182"/>
    <n v="1"/>
    <n v="1182"/>
    <n v="1"/>
    <n v="1182"/>
    <x v="0"/>
    <n v="0"/>
    <n v="0"/>
    <n v="1.9550000000000001"/>
    <n v="2.59"/>
    <n v="236.4"/>
    <n v="1"/>
    <n v="1182"/>
    <m/>
    <n v="33"/>
    <n v="10"/>
    <n v="41"/>
    <x v="3"/>
    <n v="0.86294416243654826"/>
    <n v="1020"/>
    <n v="0.16920473773265654"/>
    <n v="200.00000000000003"/>
    <n v="0.69373942470389172"/>
    <n v="820"/>
    <n v="2"/>
    <n v="0.87"/>
    <n v="1028.3399999999999"/>
    <n v="20.100000000000001"/>
    <n v="7"/>
    <x v="2"/>
    <n v="0.59221658206429784"/>
    <n v="700"/>
    <n v="4.82"/>
    <n v="0.59"/>
    <n v="697.38"/>
    <n v="15"/>
    <n v="1"/>
    <n v="0"/>
    <n v="1"/>
    <s v="Land limited to costruct more Semi-permanent in this camp"/>
    <d v="2014-05-09T00:00:00"/>
    <s v="To be realised"/>
    <n v="153"/>
    <n v="6"/>
    <n v="259"/>
    <n v="0"/>
    <n v="0"/>
    <x v="7"/>
    <m/>
    <n v="0.85"/>
    <n v="1004.6999999999999"/>
    <n v="3"/>
    <s v="Excellent coverage"/>
    <n v="0"/>
    <x v="0"/>
    <m/>
  </r>
  <r>
    <x v="6"/>
    <s v="MMR001CMP058"/>
    <x v="6"/>
    <x v="108"/>
    <n v="97.346940000000004"/>
    <n v="24.251860000000001"/>
    <x v="0"/>
    <x v="0"/>
    <n v="4"/>
    <n v="18"/>
    <n v="18"/>
    <x v="1"/>
    <s v="Shalom"/>
    <x v="4"/>
    <x v="0"/>
    <s v="Gap"/>
    <m/>
    <m/>
    <s v="Focal NGO"/>
    <x v="0"/>
    <n v="0"/>
    <n v="0"/>
    <s v="No"/>
    <n v="2"/>
    <n v="0"/>
    <n v="720"/>
    <n v="0"/>
    <n v="0.5"/>
    <n v="1"/>
    <n v="18"/>
    <n v="1"/>
    <n v="18"/>
    <n v="1"/>
    <n v="18"/>
    <x v="0"/>
    <n v="0"/>
    <n v="0"/>
    <n v="0"/>
    <n v="2"/>
    <n v="0"/>
    <n v="1"/>
    <n v="18"/>
    <m/>
    <n v="0"/>
    <n v="0"/>
    <n v="5"/>
    <x v="1"/>
    <n v="1"/>
    <n v="18"/>
    <n v="0"/>
    <n v="0"/>
    <n v="1"/>
    <n v="18"/>
    <n v="0"/>
    <n v="1"/>
    <n v="18"/>
    <n v="0"/>
    <n v="2"/>
    <x v="0"/>
    <n v="1"/>
    <n v="18"/>
    <n v="0"/>
    <n v="1"/>
    <n v="18"/>
    <n v="1"/>
    <n v="1"/>
    <n v="0"/>
    <n v="1"/>
    <m/>
    <d v="2014-05-12T00:00:00"/>
    <s v="To be realised"/>
    <n v="4"/>
    <n v="6"/>
    <n v="4"/>
    <n v="0"/>
    <n v="0"/>
    <x v="7"/>
    <m/>
    <n v="0.8"/>
    <n v="14.4"/>
    <n v="1"/>
    <s v="Excellent coverage"/>
    <n v="0"/>
    <x v="0"/>
    <m/>
  </r>
  <r>
    <x v="6"/>
    <s v="MMR001CMP056"/>
    <x v="6"/>
    <x v="109"/>
    <n v="97.344359999999995"/>
    <n v="24.250689999999999"/>
    <x v="0"/>
    <x v="0"/>
    <n v="182"/>
    <n v="730"/>
    <n v="730"/>
    <x v="0"/>
    <s v="KBC"/>
    <x v="4"/>
    <x v="0"/>
    <s v="Gap"/>
    <m/>
    <m/>
    <s v="Focal NGO"/>
    <x v="0"/>
    <n v="0"/>
    <n v="0"/>
    <s v="No"/>
    <n v="1"/>
    <n v="0"/>
    <n v="15020"/>
    <n v="0.1"/>
    <n v="0.01"/>
    <n v="1"/>
    <n v="730"/>
    <n v="1"/>
    <n v="730"/>
    <n v="1"/>
    <n v="730"/>
    <x v="0"/>
    <n v="0"/>
    <n v="0"/>
    <n v="0.82499999999999996"/>
    <n v="1.82"/>
    <n v="73"/>
    <n v="1"/>
    <n v="730"/>
    <m/>
    <n v="64"/>
    <n v="15"/>
    <n v="10"/>
    <x v="0"/>
    <n v="0.68493150684931503"/>
    <n v="500"/>
    <n v="0.41095890410958902"/>
    <n v="300"/>
    <n v="0.27397260273972601"/>
    <n v="200"/>
    <n v="0"/>
    <n v="0.68"/>
    <n v="496.40000000000003"/>
    <n v="26.5"/>
    <n v="4"/>
    <x v="0"/>
    <n v="0.54794520547945202"/>
    <n v="400"/>
    <n v="3.3"/>
    <n v="0.55000000000000004"/>
    <n v="401.50000000000006"/>
    <n v="6"/>
    <n v="0.82191780821917804"/>
    <n v="1.2999999999999998"/>
    <n v="0.82"/>
    <s v="Land limited to costruct more Semi-permanent in this camp"/>
    <d v="2014-05-09T00:00:00"/>
    <s v="To be realised"/>
    <n v="209"/>
    <n v="6"/>
    <n v="182"/>
    <n v="0"/>
    <n v="0"/>
    <x v="7"/>
    <m/>
    <n v="0.75"/>
    <n v="547.5"/>
    <n v="1"/>
    <s v="Good coverage"/>
    <n v="0"/>
    <x v="0"/>
    <m/>
  </r>
  <r>
    <x v="12"/>
    <s v="MMR001CMP067"/>
    <x v="6"/>
    <x v="110"/>
    <n v="96.807353000000006"/>
    <n v="24.200361000000001"/>
    <x v="0"/>
    <x v="0"/>
    <n v="88"/>
    <n v="278"/>
    <n v="278"/>
    <x v="0"/>
    <s v="KBC"/>
    <x v="4"/>
    <x v="0"/>
    <s v="Gap"/>
    <m/>
    <m/>
    <s v="Focal NGO"/>
    <x v="0"/>
    <n v="0"/>
    <n v="0"/>
    <s v="No"/>
    <n v="0"/>
    <n v="1"/>
    <n v="11745"/>
    <n v="0.01"/>
    <n v="0"/>
    <n v="1"/>
    <n v="278"/>
    <n v="1"/>
    <n v="278"/>
    <n v="1"/>
    <n v="278"/>
    <x v="0"/>
    <n v="0"/>
    <n v="0"/>
    <n v="0"/>
    <n v="0"/>
    <n v="2.7800000000000002"/>
    <n v="1"/>
    <n v="278"/>
    <m/>
    <n v="12"/>
    <n v="8"/>
    <n v="11"/>
    <x v="0"/>
    <n v="1"/>
    <n v="278"/>
    <n v="0.20863309352517989"/>
    <n v="58.000000000000007"/>
    <n v="0.79136690647482011"/>
    <n v="220"/>
    <n v="0"/>
    <n v="1"/>
    <n v="278"/>
    <n v="2.9000000000000004"/>
    <n v="5"/>
    <x v="1"/>
    <n v="1"/>
    <n v="278"/>
    <n v="0"/>
    <n v="1"/>
    <n v="278"/>
    <n v="5"/>
    <n v="1"/>
    <n v="0"/>
    <n v="1"/>
    <m/>
    <d v="2014-05-20T00:00:00"/>
    <s v="To be realised"/>
    <n v="70"/>
    <n v="6"/>
    <n v="88"/>
    <n v="0"/>
    <n v="0"/>
    <x v="7"/>
    <m/>
    <n v="0.6"/>
    <n v="166.79999999999998"/>
    <n v="1"/>
    <s v="Excellent coverage"/>
    <n v="0"/>
    <x v="1"/>
    <m/>
  </r>
  <r>
    <x v="12"/>
    <s v="MMR001CMP068"/>
    <x v="6"/>
    <x v="111"/>
    <n v="96.807353000000006"/>
    <n v="24.200367"/>
    <x v="0"/>
    <x v="0"/>
    <n v="49"/>
    <n v="175"/>
    <n v="175"/>
    <x v="1"/>
    <s v="KMSS"/>
    <x v="4"/>
    <x v="0"/>
    <s v="Gap"/>
    <m/>
    <m/>
    <s v="Focal NGO"/>
    <x v="0"/>
    <n v="0"/>
    <n v="0"/>
    <s v="No"/>
    <n v="0"/>
    <n v="3"/>
    <n v="4000"/>
    <n v="0.02"/>
    <n v="0.21"/>
    <n v="1"/>
    <n v="175"/>
    <n v="1"/>
    <n v="175"/>
    <n v="1"/>
    <n v="175"/>
    <x v="0"/>
    <n v="0"/>
    <n v="0"/>
    <n v="0"/>
    <n v="10.29"/>
    <n v="3.5"/>
    <n v="1"/>
    <n v="175"/>
    <m/>
    <n v="14"/>
    <n v="12"/>
    <n v="18"/>
    <x v="3"/>
    <n v="1"/>
    <n v="175"/>
    <n v="0"/>
    <n v="0"/>
    <n v="1"/>
    <n v="175"/>
    <n v="0"/>
    <n v="1"/>
    <n v="175"/>
    <n v="0"/>
    <n v="4"/>
    <x v="1"/>
    <n v="1"/>
    <n v="175"/>
    <n v="0"/>
    <n v="1"/>
    <n v="175"/>
    <n v="2"/>
    <n v="1"/>
    <n v="0"/>
    <n v="1"/>
    <m/>
    <d v="2014-05-20T00:00:00"/>
    <s v="To be realised"/>
    <n v="54"/>
    <n v="6"/>
    <n v="49"/>
    <n v="0"/>
    <n v="0"/>
    <x v="7"/>
    <m/>
    <n v="0.65"/>
    <n v="113.75"/>
    <n v="1"/>
    <s v="Excellent coverage"/>
    <n v="0"/>
    <x v="0"/>
    <m/>
  </r>
  <r>
    <x v="11"/>
    <s v="MMR001CMP050"/>
    <x v="6"/>
    <x v="112"/>
    <n v="97.238829999999993"/>
    <n v="24.260719999999999"/>
    <x v="0"/>
    <x v="0"/>
    <n v="206"/>
    <n v="940"/>
    <n v="940"/>
    <x v="0"/>
    <s v="KMSS"/>
    <x v="6"/>
    <x v="0"/>
    <d v="2015-08-31T00:00:00"/>
    <m/>
    <m/>
    <s v="Focal NGO"/>
    <x v="0"/>
    <n v="0"/>
    <n v="0"/>
    <s v="No"/>
    <n v="0"/>
    <n v="8"/>
    <n v="34200"/>
    <n v="0.93"/>
    <n v="0.62135922330097082"/>
    <n v="1"/>
    <n v="940"/>
    <n v="1"/>
    <n v="940"/>
    <n v="1"/>
    <n v="940"/>
    <x v="0"/>
    <n v="0"/>
    <n v="0"/>
    <n v="0"/>
    <n v="127.99999999999999"/>
    <n v="874.2"/>
    <n v="1"/>
    <n v="940"/>
    <m/>
    <n v="25"/>
    <n v="1"/>
    <n v="24"/>
    <x v="0"/>
    <n v="0.53191489361702127"/>
    <n v="500"/>
    <n v="2.1276595744680882E-2"/>
    <n v="20.000000000000028"/>
    <n v="0.51063829787234039"/>
    <n v="479.99999999999994"/>
    <n v="0"/>
    <n v="0.62"/>
    <n v="582.79999999999995"/>
    <n v="23"/>
    <n v="2"/>
    <x v="2"/>
    <n v="0.21276595744680851"/>
    <n v="200"/>
    <n v="7.4"/>
    <n v="0.21"/>
    <n v="197.4"/>
    <n v="4"/>
    <n v="0.42553191489361702"/>
    <n v="5.4"/>
    <n v="0.43"/>
    <s v="we have plan additional construction 4 doors SPL."/>
    <d v="2014-05-29T00:00:00"/>
    <s v="To be realised"/>
    <n v="212"/>
    <n v="6"/>
    <n v="206"/>
    <n v="0"/>
    <n v="0"/>
    <x v="8"/>
    <m/>
    <n v="1"/>
    <n v="940"/>
    <n v="5"/>
    <s v="Excellent coverage"/>
    <n v="0"/>
    <x v="0"/>
    <m/>
  </r>
  <r>
    <x v="11"/>
    <s v="MMR001CMP050"/>
    <x v="6"/>
    <x v="113"/>
    <n v="97.243579999999994"/>
    <n v="24.260120000000001"/>
    <x v="0"/>
    <x v="0"/>
    <n v="83"/>
    <n v="435"/>
    <n v="435"/>
    <x v="0"/>
    <s v="KMSS"/>
    <x v="6"/>
    <x v="0"/>
    <d v="2015-08-31T00:00:00"/>
    <m/>
    <m/>
    <s v="Focal NGO"/>
    <x v="0"/>
    <n v="0"/>
    <n v="0"/>
    <s v="No"/>
    <n v="0"/>
    <n v="1"/>
    <n v="3600"/>
    <n v="0.16"/>
    <n v="0.45"/>
    <n v="1"/>
    <n v="435"/>
    <n v="1"/>
    <n v="435"/>
    <n v="1"/>
    <n v="435"/>
    <x v="0"/>
    <n v="0"/>
    <n v="0"/>
    <n v="8.7499999999999911E-2"/>
    <n v="37.35"/>
    <n v="69.600000000000009"/>
    <n v="1"/>
    <n v="435"/>
    <m/>
    <n v="0"/>
    <n v="5"/>
    <n v="8"/>
    <x v="0"/>
    <n v="0.5977011494252874"/>
    <n v="260"/>
    <n v="0.22988505747126442"/>
    <n v="100.00000000000003"/>
    <n v="0.36781609195402298"/>
    <n v="160"/>
    <n v="0"/>
    <n v="0.6"/>
    <n v="261"/>
    <n v="13.75"/>
    <n v="1"/>
    <x v="2"/>
    <n v="0.22988505747126436"/>
    <n v="100"/>
    <n v="3.3499999999999996"/>
    <n v="0.23"/>
    <n v="100.05000000000001"/>
    <n v="3"/>
    <n v="0.68965517241379315"/>
    <n v="1.3499999999999996"/>
    <n v="0.69"/>
    <m/>
    <d v="2014-05-29T00:00:00"/>
    <s v="To be realised"/>
    <n v="78"/>
    <n v="6"/>
    <n v="83"/>
    <n v="0"/>
    <n v="0"/>
    <x v="8"/>
    <m/>
    <n v="1"/>
    <n v="435"/>
    <n v="2"/>
    <s v="Excellent coverage"/>
    <n v="0"/>
    <x v="0"/>
    <m/>
  </r>
  <r>
    <x v="11"/>
    <s v="MMR001CMP193"/>
    <x v="6"/>
    <x v="114"/>
    <n v="97.252650000000003"/>
    <n v="24.222349999999999"/>
    <x v="0"/>
    <x v="0"/>
    <n v="170"/>
    <n v="817"/>
    <n v="817"/>
    <x v="0"/>
    <s v="KBC"/>
    <x v="6"/>
    <x v="0"/>
    <d v="2015-08-31T00:00:00"/>
    <m/>
    <m/>
    <s v="Focal NGO"/>
    <x v="0"/>
    <n v="0"/>
    <n v="0"/>
    <s v="No"/>
    <n v="0"/>
    <n v="3"/>
    <n v="54000"/>
    <n v="0"/>
    <n v="0.81"/>
    <n v="1"/>
    <n v="817"/>
    <n v="1"/>
    <n v="817"/>
    <n v="1"/>
    <n v="817"/>
    <x v="0"/>
    <n v="0"/>
    <n v="0"/>
    <n v="0"/>
    <n v="137.70000000000002"/>
    <n v="0"/>
    <n v="1"/>
    <n v="817"/>
    <m/>
    <n v="34"/>
    <n v="32"/>
    <n v="6"/>
    <x v="2"/>
    <n v="0.93023255813953487"/>
    <n v="760"/>
    <n v="0.78335373317013457"/>
    <n v="640"/>
    <n v="0.14687882496940025"/>
    <n v="120"/>
    <n v="0"/>
    <n v="1"/>
    <n v="817"/>
    <n v="34.85"/>
    <n v="7"/>
    <x v="0"/>
    <n v="0.85679314565483478"/>
    <n v="700"/>
    <n v="1.17"/>
    <n v="0.86"/>
    <n v="702.62"/>
    <n v="18"/>
    <n v="1"/>
    <n v="0"/>
    <n v="1"/>
    <s v="we have plan additional construction 12 doors SPL."/>
    <d v="2014-05-28T00:00:00"/>
    <s v="To be realised"/>
    <n v="178"/>
    <n v="6"/>
    <n v="170"/>
    <n v="0"/>
    <n v="0"/>
    <x v="8"/>
    <m/>
    <n v="1"/>
    <n v="817"/>
    <n v="7"/>
    <s v="Excellent coverage"/>
    <n v="0"/>
    <x v="0"/>
    <m/>
  </r>
  <r>
    <x v="11"/>
    <s v="MMR001CMP047"/>
    <x v="6"/>
    <x v="115"/>
    <n v="97.228769999999997"/>
    <n v="24.26502"/>
    <x v="0"/>
    <x v="0"/>
    <n v="620"/>
    <n v="3805"/>
    <n v="3805"/>
    <x v="3"/>
    <s v="KBC"/>
    <x v="6"/>
    <x v="0"/>
    <d v="2015-08-31T00:00:00"/>
    <m/>
    <m/>
    <s v="Focal NGO"/>
    <x v="0"/>
    <n v="0"/>
    <n v="0"/>
    <s v="No"/>
    <n v="0"/>
    <n v="23"/>
    <n v="86400"/>
    <n v="0.89"/>
    <n v="0.72"/>
    <n v="1"/>
    <n v="3805"/>
    <n v="1"/>
    <n v="3805"/>
    <n v="1"/>
    <n v="3805"/>
    <x v="0"/>
    <n v="0"/>
    <n v="0"/>
    <n v="0"/>
    <n v="446.4"/>
    <n v="3386.4500000000003"/>
    <n v="1"/>
    <n v="3805"/>
    <m/>
    <n v="113"/>
    <n v="48"/>
    <n v="98"/>
    <x v="2"/>
    <n v="0.76741130091984233"/>
    <n v="2920"/>
    <n v="0.25229960578186594"/>
    <n v="959.99999999999989"/>
    <n v="0.51511169513797639"/>
    <n v="1960.0000000000002"/>
    <n v="4"/>
    <n v="0.87"/>
    <n v="3310.35"/>
    <n v="96.25"/>
    <n v="10"/>
    <x v="2"/>
    <n v="0.26281208935611039"/>
    <n v="1000"/>
    <n v="28.049999999999997"/>
    <n v="0.26"/>
    <n v="989.30000000000007"/>
    <n v="30"/>
    <n v="0.78843626806833111"/>
    <n v="8.0499999999999972"/>
    <n v="0.79"/>
    <s v="we have plan additional construction 20doors SPL."/>
    <d v="2014-05-09T00:00:00"/>
    <s v="To be realised"/>
    <n v="649"/>
    <n v="6"/>
    <n v="620"/>
    <n v="0"/>
    <n v="0"/>
    <x v="7"/>
    <m/>
    <n v="1"/>
    <n v="3805"/>
    <n v="11"/>
    <s v="Excellent coverage"/>
    <n v="0"/>
    <x v="0"/>
    <m/>
  </r>
  <r>
    <x v="11"/>
    <s v="MMR001CMP055"/>
    <x v="6"/>
    <x v="116"/>
    <n v="97.227789999999999"/>
    <n v="24.29138"/>
    <x v="0"/>
    <x v="0"/>
    <n v="37"/>
    <n v="166"/>
    <n v="166"/>
    <x v="1"/>
    <s v="Shalom"/>
    <x v="6"/>
    <x v="0"/>
    <d v="2015-08-31T00:00:00"/>
    <m/>
    <m/>
    <s v="Focal NGO"/>
    <x v="0"/>
    <n v="0"/>
    <n v="0"/>
    <s v="No"/>
    <n v="0"/>
    <n v="4"/>
    <n v="43200"/>
    <n v="0"/>
    <n v="0.76"/>
    <n v="1"/>
    <n v="166"/>
    <n v="1"/>
    <n v="166"/>
    <n v="1"/>
    <n v="166"/>
    <x v="0"/>
    <n v="0"/>
    <n v="0"/>
    <n v="0"/>
    <n v="28.12"/>
    <n v="0"/>
    <n v="1"/>
    <n v="166"/>
    <m/>
    <n v="4"/>
    <n v="8"/>
    <n v="10"/>
    <x v="0"/>
    <n v="1"/>
    <n v="166"/>
    <n v="0"/>
    <n v="0"/>
    <n v="1"/>
    <n v="166"/>
    <n v="0"/>
    <n v="1"/>
    <n v="166"/>
    <n v="0"/>
    <n v="3"/>
    <x v="0"/>
    <n v="1"/>
    <n v="166"/>
    <n v="0"/>
    <n v="1"/>
    <n v="166"/>
    <n v="3"/>
    <n v="1"/>
    <n v="0"/>
    <n v="1"/>
    <m/>
    <d v="2014-06-10T00:00:00"/>
    <d v="2015-06-10T00:00:00"/>
    <n v="42"/>
    <n v="6"/>
    <n v="0"/>
    <n v="1"/>
    <n v="166"/>
    <x v="8"/>
    <m/>
    <n v="1"/>
    <n v="166"/>
    <n v="2"/>
    <s v="Excellent coverage"/>
    <n v="0"/>
    <x v="0"/>
    <m/>
  </r>
  <r>
    <x v="6"/>
    <s v="MMR001CMP121"/>
    <x v="4"/>
    <x v="117"/>
    <n v="97.568282999999994"/>
    <n v="24.688167"/>
    <x v="0"/>
    <x v="1"/>
    <n v="1701"/>
    <n v="7108"/>
    <n v="6516"/>
    <x v="4"/>
    <s v="KMSS"/>
    <x v="1"/>
    <x v="0"/>
    <d v="2015-08-31T00:00:00"/>
    <s v="SI"/>
    <d v="2015-08-31T00:00:00"/>
    <s v="Focal NGO"/>
    <x v="0"/>
    <n v="0"/>
    <n v="0"/>
    <s v="No"/>
    <n v="5"/>
    <n v="0"/>
    <n v="23721"/>
    <n v="0"/>
    <n v="0.5"/>
    <n v="0.5496316758747698"/>
    <n v="3581.4"/>
    <n v="0.5496316758747698"/>
    <n v="3581.4"/>
    <n v="0.5496316758747698"/>
    <n v="3581.4"/>
    <x v="3"/>
    <n v="0"/>
    <n v="0"/>
    <n v="11.29"/>
    <n v="850.5"/>
    <n v="0"/>
    <n v="0.5"/>
    <n v="3258"/>
    <s v="water distribution pipe line system broken at currently due to Road construction. KBC try to fix it. hopefully, that will function again in June. According to that no water access issues."/>
    <n v="573"/>
    <n v="23"/>
    <n v="500"/>
    <x v="2"/>
    <n v="1"/>
    <n v="6516"/>
    <n v="0"/>
    <n v="0"/>
    <n v="1"/>
    <n v="6516"/>
    <n v="0"/>
    <n v="1"/>
    <n v="6516"/>
    <n v="0"/>
    <n v="49"/>
    <x v="1"/>
    <n v="0.75199508901166356"/>
    <n v="4900"/>
    <n v="22.08"/>
    <n v="0.69"/>
    <n v="4496.04"/>
    <n v="82"/>
    <n v="1"/>
    <n v="0"/>
    <n v="1"/>
    <m/>
    <d v="2013-10-10T00:00:00"/>
    <s v="To be realised"/>
    <n v="1646"/>
    <n v="5"/>
    <n v="1701"/>
    <n v="0"/>
    <n v="0"/>
    <x v="9"/>
    <s v="Latest distribution of HK refill in April 15 "/>
    <n v="1"/>
    <n v="6516"/>
    <n v="17"/>
    <s v="Excellent coverage"/>
    <n v="0"/>
    <x v="0"/>
    <m/>
  </r>
  <r>
    <x v="6"/>
    <s v="MMR001CMP071"/>
    <x v="3"/>
    <x v="118"/>
    <n v="97.718582999999995"/>
    <n v="24.200972"/>
    <x v="0"/>
    <x v="0"/>
    <n v="30"/>
    <n v="174"/>
    <n v="174"/>
    <x v="1"/>
    <s v="KBC"/>
    <x v="6"/>
    <x v="0"/>
    <d v="2015-08-31T00:00:00"/>
    <m/>
    <m/>
    <s v="Focal NGO"/>
    <x v="0"/>
    <n v="0"/>
    <n v="0"/>
    <s v="No"/>
    <n v="0"/>
    <n v="1"/>
    <n v="5670"/>
    <n v="0"/>
    <n v="0.73"/>
    <n v="1"/>
    <n v="174"/>
    <n v="1"/>
    <n v="174"/>
    <n v="1"/>
    <n v="174"/>
    <x v="0"/>
    <n v="0"/>
    <n v="0"/>
    <n v="0"/>
    <n v="21.9"/>
    <n v="0"/>
    <n v="1"/>
    <n v="174"/>
    <m/>
    <n v="0"/>
    <n v="0"/>
    <n v="13"/>
    <x v="5"/>
    <n v="1"/>
    <n v="174"/>
    <n v="0"/>
    <n v="0"/>
    <n v="1"/>
    <n v="174"/>
    <n v="0"/>
    <n v="1"/>
    <n v="174"/>
    <n v="0"/>
    <n v="1"/>
    <x v="0"/>
    <n v="0.57471264367816088"/>
    <n v="100"/>
    <n v="0.74"/>
    <n v="0.56999999999999995"/>
    <n v="99.179999999999993"/>
    <n v="6"/>
    <n v="1"/>
    <n v="0"/>
    <n v="1"/>
    <m/>
    <d v="2014-06-04T00:00:00"/>
    <d v="2015-06-04T00:00:00"/>
    <n v="29"/>
    <n v="6"/>
    <n v="1"/>
    <n v="0.96666666666666667"/>
    <n v="168.2"/>
    <x v="8"/>
    <m/>
    <n v="1"/>
    <n v="174"/>
    <n v="1"/>
    <s v="Excellent coverage"/>
    <n v="0"/>
    <x v="0"/>
    <m/>
  </r>
  <r>
    <x v="6"/>
    <s v="MMR001CMP069"/>
    <x v="3"/>
    <x v="119"/>
    <n v="97.724566999999993"/>
    <n v="24.205417000000001"/>
    <x v="0"/>
    <x v="0"/>
    <n v="69"/>
    <n v="368"/>
    <n v="368"/>
    <x v="0"/>
    <s v="KMSS"/>
    <x v="6"/>
    <x v="0"/>
    <d v="2015-08-31T00:00:00"/>
    <m/>
    <m/>
    <s v="Focal NGO"/>
    <x v="0"/>
    <n v="0"/>
    <n v="0"/>
    <s v="No"/>
    <n v="0"/>
    <n v="1"/>
    <n v="21600"/>
    <n v="0.2"/>
    <n v="0.54"/>
    <n v="1"/>
    <n v="368"/>
    <n v="1"/>
    <n v="368"/>
    <n v="1"/>
    <n v="368"/>
    <x v="0"/>
    <n v="0"/>
    <n v="0"/>
    <n v="0"/>
    <n v="37.260000000000005"/>
    <n v="73.600000000000009"/>
    <n v="1"/>
    <n v="368"/>
    <m/>
    <n v="16"/>
    <n v="6"/>
    <n v="5"/>
    <x v="0"/>
    <n v="0.59782608695652173"/>
    <n v="220"/>
    <n v="0.32608695652173914"/>
    <n v="120"/>
    <n v="0.27173913043478259"/>
    <n v="100"/>
    <n v="0"/>
    <n v="0.6"/>
    <n v="220.79999999999998"/>
    <n v="13.399999999999999"/>
    <n v="2"/>
    <x v="1"/>
    <n v="0.54347826086956519"/>
    <n v="200"/>
    <n v="1.6800000000000002"/>
    <n v="0.54"/>
    <n v="198.72000000000003"/>
    <n v="5"/>
    <n v="1"/>
    <n v="0"/>
    <n v="1"/>
    <s v="7 SPL to be constructed by May/June 2015"/>
    <d v="2014-06-04T00:00:00"/>
    <d v="2015-06-04T00:00:00"/>
    <n v="55"/>
    <n v="6"/>
    <n v="14"/>
    <n v="0.79710144927536231"/>
    <n v="293.33333333333331"/>
    <x v="8"/>
    <m/>
    <n v="1"/>
    <n v="368"/>
    <n v="3"/>
    <s v="Excellent coverage"/>
    <n v="0"/>
    <x v="0"/>
    <m/>
  </r>
  <r>
    <x v="6"/>
    <s v="MMR001CMP070"/>
    <x v="3"/>
    <x v="120"/>
    <n v="97.717133000000004"/>
    <n v="24.200433"/>
    <x v="0"/>
    <x v="0"/>
    <n v="75"/>
    <n v="437"/>
    <n v="437"/>
    <x v="0"/>
    <s v="KBC"/>
    <x v="6"/>
    <x v="0"/>
    <d v="2015-08-31T00:00:00"/>
    <m/>
    <m/>
    <s v="Focal NGO"/>
    <x v="0"/>
    <n v="0"/>
    <n v="0"/>
    <s v="No"/>
    <n v="0"/>
    <n v="2"/>
    <n v="25340"/>
    <n v="0"/>
    <n v="0.89"/>
    <n v="1"/>
    <n v="437"/>
    <n v="1"/>
    <n v="437"/>
    <n v="1"/>
    <n v="437"/>
    <x v="0"/>
    <n v="0"/>
    <n v="0"/>
    <n v="0"/>
    <n v="66.75"/>
    <n v="0"/>
    <n v="1"/>
    <n v="437"/>
    <m/>
    <n v="15"/>
    <n v="0"/>
    <n v="12"/>
    <x v="0"/>
    <n v="0.54919908466819223"/>
    <n v="240"/>
    <n v="0"/>
    <n v="0"/>
    <n v="0.54919908466819223"/>
    <n v="240"/>
    <n v="0"/>
    <n v="0.55000000000000004"/>
    <n v="240.35000000000002"/>
    <n v="9.8500000000000014"/>
    <n v="1"/>
    <x v="1"/>
    <n v="0.2288329519450801"/>
    <n v="100"/>
    <n v="3.37"/>
    <n v="0.23"/>
    <n v="100.51"/>
    <n v="4"/>
    <n v="0.91533180778032042"/>
    <n v="0.37000000000000011"/>
    <n v="0.92"/>
    <m/>
    <d v="2014-06-06T00:00:00"/>
    <d v="2015-06-06T00:00:00"/>
    <n v="113"/>
    <n v="6"/>
    <n v="0"/>
    <n v="1"/>
    <n v="437"/>
    <x v="8"/>
    <m/>
    <n v="1"/>
    <n v="437"/>
    <n v="4"/>
    <s v="Excellent coverage"/>
    <n v="0"/>
    <x v="0"/>
    <m/>
  </r>
  <r>
    <x v="6"/>
    <s v="MMR001CMP070"/>
    <x v="3"/>
    <x v="121"/>
    <n v="97.715400000000002"/>
    <n v="24.20083"/>
    <x v="0"/>
    <x v="0"/>
    <n v="35"/>
    <n v="202"/>
    <n v="202"/>
    <x v="1"/>
    <s v="KBC"/>
    <x v="6"/>
    <x v="0"/>
    <d v="2015-08-31T00:00:00"/>
    <m/>
    <m/>
    <s v="Focal NGO"/>
    <x v="0"/>
    <n v="0"/>
    <n v="0"/>
    <s v="No"/>
    <n v="0"/>
    <n v="1"/>
    <n v="1000"/>
    <n v="0"/>
    <n v="0.56999999999999995"/>
    <n v="1"/>
    <n v="202"/>
    <n v="1"/>
    <n v="202"/>
    <n v="1"/>
    <n v="202"/>
    <x v="0"/>
    <n v="0"/>
    <n v="0"/>
    <n v="0"/>
    <n v="19.95"/>
    <n v="0"/>
    <n v="1"/>
    <n v="202"/>
    <m/>
    <n v="0"/>
    <n v="2"/>
    <n v="10"/>
    <x v="0"/>
    <n v="1"/>
    <n v="202"/>
    <n v="9.9009900990099098E-3"/>
    <n v="2.0000000000000018"/>
    <n v="0.99009900990099009"/>
    <n v="200"/>
    <n v="0"/>
    <n v="1"/>
    <n v="202"/>
    <n v="9.9999999999999645E-2"/>
    <n v="1"/>
    <x v="1"/>
    <n v="0.49504950495049505"/>
    <n v="100"/>
    <n v="1.02"/>
    <n v="0.5"/>
    <n v="101"/>
    <n v="4"/>
    <n v="1"/>
    <n v="0"/>
    <n v="1"/>
    <m/>
    <d v="2014-06-06T00:00:00"/>
    <d v="2015-06-06T00:00:00"/>
    <n v="35"/>
    <n v="6"/>
    <n v="0"/>
    <n v="1"/>
    <n v="202"/>
    <x v="8"/>
    <m/>
    <n v="1"/>
    <n v="202"/>
    <n v="1"/>
    <s v="Excellent coverage"/>
    <n v="0"/>
    <x v="0"/>
    <m/>
  </r>
  <r>
    <x v="6"/>
    <s v="MMR001CMP070"/>
    <x v="3"/>
    <x v="122"/>
    <n v="97.716260000000005"/>
    <n v="24.20411"/>
    <x v="0"/>
    <x v="0"/>
    <n v="22"/>
    <n v="82"/>
    <n v="82"/>
    <x v="1"/>
    <s v="KBC"/>
    <x v="6"/>
    <x v="0"/>
    <d v="2015-08-31T00:00:00"/>
    <m/>
    <m/>
    <s v="Focal NGO"/>
    <x v="0"/>
    <n v="0"/>
    <n v="0"/>
    <s v="No"/>
    <n v="0"/>
    <n v="1"/>
    <n v="2000"/>
    <n v="0"/>
    <n v="0.95"/>
    <n v="1"/>
    <n v="82"/>
    <n v="1"/>
    <n v="82"/>
    <n v="1"/>
    <n v="82"/>
    <x v="0"/>
    <n v="0"/>
    <n v="0"/>
    <n v="0"/>
    <n v="20.9"/>
    <n v="0"/>
    <n v="1"/>
    <n v="82"/>
    <m/>
    <n v="0"/>
    <n v="2"/>
    <n v="3"/>
    <x v="0"/>
    <n v="1"/>
    <n v="82"/>
    <n v="0.26829268292682928"/>
    <n v="22"/>
    <n v="0.73170731707317072"/>
    <n v="60"/>
    <n v="0"/>
    <n v="1"/>
    <n v="82"/>
    <n v="1.0999999999999996"/>
    <n v="1"/>
    <x v="1"/>
    <n v="1"/>
    <n v="82"/>
    <n v="0"/>
    <n v="1"/>
    <n v="82"/>
    <n v="1"/>
    <n v="1"/>
    <n v="0"/>
    <n v="1"/>
    <s v="3 SPL to be constructed by May/June 2015"/>
    <d v="2014-06-06T00:00:00"/>
    <d v="2015-06-06T00:00:00"/>
    <n v="22"/>
    <n v="6"/>
    <n v="0"/>
    <n v="1"/>
    <n v="82"/>
    <x v="8"/>
    <m/>
    <n v="1"/>
    <n v="82"/>
    <n v="1"/>
    <s v="Excellent coverage"/>
    <n v="0"/>
    <x v="0"/>
    <m/>
  </r>
  <r>
    <x v="6"/>
    <s v="MMR001CMP070"/>
    <x v="3"/>
    <x v="123"/>
    <n v="97.714839999999995"/>
    <n v="24.20757"/>
    <x v="0"/>
    <x v="0"/>
    <n v="47"/>
    <n v="237"/>
    <n v="237"/>
    <x v="1"/>
    <s v="KBC"/>
    <x v="6"/>
    <x v="0"/>
    <d v="2015-08-31T00:00:00"/>
    <m/>
    <m/>
    <s v="Focal NGO"/>
    <x v="0"/>
    <n v="0"/>
    <n v="0"/>
    <s v="No"/>
    <n v="0"/>
    <n v="1"/>
    <n v="2000"/>
    <n v="0"/>
    <n v="0.55000000000000004"/>
    <n v="1"/>
    <n v="237"/>
    <n v="1"/>
    <n v="237"/>
    <n v="1"/>
    <n v="237"/>
    <x v="0"/>
    <n v="0"/>
    <n v="0"/>
    <n v="0"/>
    <n v="25.85"/>
    <n v="0"/>
    <n v="1"/>
    <n v="237"/>
    <m/>
    <n v="0"/>
    <n v="0"/>
    <n v="10"/>
    <x v="2"/>
    <n v="0.84388185654008441"/>
    <n v="200"/>
    <n v="0"/>
    <n v="0"/>
    <n v="0.84388185654008441"/>
    <n v="200"/>
    <m/>
    <n v="0.84"/>
    <n v="199.07999999999998"/>
    <n v="1.8499999999999996"/>
    <n v="2"/>
    <x v="5"/>
    <n v="0.84388185654008441"/>
    <n v="200"/>
    <n v="0.37000000000000011"/>
    <n v="0.84"/>
    <n v="199.07999999999998"/>
    <n v="2"/>
    <n v="0.84388185654008441"/>
    <n v="0.37000000000000011"/>
    <n v="0.84"/>
    <m/>
    <d v="2014-06-06T00:00:00"/>
    <d v="2015-06-06T00:00:00"/>
    <n v="47"/>
    <n v="6"/>
    <n v="0"/>
    <n v="1"/>
    <n v="237"/>
    <x v="8"/>
    <m/>
    <n v="1"/>
    <n v="237"/>
    <n v="1"/>
    <s v="Excellent coverage"/>
    <n v="0"/>
    <x v="0"/>
    <m/>
  </r>
  <r>
    <x v="6"/>
    <s v="MMR001CMP072"/>
    <x v="3"/>
    <x v="124"/>
    <n v="97.724483000000006"/>
    <n v="24.205417000000001"/>
    <x v="0"/>
    <x v="0"/>
    <n v="50"/>
    <n v="295"/>
    <n v="295"/>
    <x v="1"/>
    <s v="KBC"/>
    <x v="6"/>
    <x v="0"/>
    <d v="2015-08-31T00:00:00"/>
    <m/>
    <m/>
    <s v="Focal NGO"/>
    <x v="0"/>
    <n v="0"/>
    <n v="0"/>
    <s v="No"/>
    <n v="1"/>
    <n v="1"/>
    <n v="11790"/>
    <n v="0"/>
    <n v="0.92"/>
    <n v="1"/>
    <n v="295"/>
    <n v="1"/>
    <n v="295"/>
    <n v="1"/>
    <n v="295"/>
    <x v="0"/>
    <n v="0"/>
    <n v="0"/>
    <n v="0"/>
    <n v="46"/>
    <n v="0"/>
    <n v="1"/>
    <n v="295"/>
    <m/>
    <n v="21"/>
    <n v="10"/>
    <n v="4"/>
    <x v="0"/>
    <n v="0.94915254237288138"/>
    <n v="280"/>
    <n v="0.67796610169491522"/>
    <n v="200"/>
    <n v="0.2711864406779661"/>
    <n v="80"/>
    <n v="0"/>
    <n v="1"/>
    <n v="295"/>
    <n v="10.75"/>
    <n v="3"/>
    <x v="0"/>
    <n v="1"/>
    <n v="295"/>
    <n v="0"/>
    <n v="1"/>
    <n v="295"/>
    <n v="4"/>
    <n v="1"/>
    <n v="0"/>
    <n v="1"/>
    <s v="8 SPL to be constructed by May/June 2015"/>
    <d v="2014-06-05T00:00:00"/>
    <d v="2015-06-05T00:00:00"/>
    <n v="48"/>
    <n v="6"/>
    <n v="2"/>
    <n v="0.96"/>
    <n v="283.2"/>
    <x v="8"/>
    <m/>
    <n v="1"/>
    <n v="295"/>
    <n v="2"/>
    <s v="Excellent coverage"/>
    <n v="0"/>
    <x v="0"/>
    <m/>
  </r>
  <r>
    <x v="6"/>
    <s v="MMR001CMP069"/>
    <x v="3"/>
    <x v="125"/>
    <n v="97.724000000000004"/>
    <n v="24.204999999999998"/>
    <x v="2"/>
    <x v="0"/>
    <n v="40"/>
    <n v="136"/>
    <n v="136"/>
    <x v="1"/>
    <s v="KMSS"/>
    <x v="6"/>
    <x v="0"/>
    <d v="2015-08-31T00:00:00"/>
    <m/>
    <m/>
    <s v="Focal NGO"/>
    <x v="0"/>
    <n v="0"/>
    <n v="0"/>
    <s v="No"/>
    <n v="2"/>
    <n v="1"/>
    <n v="2720"/>
    <n v="0"/>
    <n v="0"/>
    <n v="1"/>
    <n v="136"/>
    <n v="1"/>
    <n v="136"/>
    <n v="1"/>
    <n v="136"/>
    <x v="0"/>
    <n v="0"/>
    <n v="0"/>
    <n v="0"/>
    <n v="0"/>
    <n v="0"/>
    <n v="1"/>
    <n v="136"/>
    <m/>
    <n v="9"/>
    <n v="9"/>
    <n v="0"/>
    <x v="2"/>
    <n v="1"/>
    <n v="136"/>
    <n v="1"/>
    <n v="136"/>
    <n v="0"/>
    <n v="0"/>
    <n v="0"/>
    <n v="1"/>
    <n v="136"/>
    <n v="6.8"/>
    <n v="1"/>
    <x v="1"/>
    <n v="0.73529411764705888"/>
    <n v="100"/>
    <n v="0.3600000000000001"/>
    <n v="0.74"/>
    <n v="100.64"/>
    <n v="0"/>
    <n v="0"/>
    <n v="1.36"/>
    <n v="0"/>
    <m/>
    <d v="2013-11-06T00:00:00"/>
    <s v="To be realised"/>
    <n v="5"/>
    <n v="3"/>
    <n v="40"/>
    <n v="0"/>
    <n v="0"/>
    <x v="10"/>
    <m/>
    <n v="0"/>
    <n v="0"/>
    <n v="0"/>
    <s v="No coverage"/>
    <n v="0"/>
    <x v="2"/>
    <m/>
  </r>
  <r>
    <x v="6"/>
    <s v="MMR001CMP073"/>
    <x v="3"/>
    <x v="126"/>
    <n v="97.710864000000001"/>
    <n v="24.207332999999998"/>
    <x v="0"/>
    <x v="0"/>
    <n v="39"/>
    <n v="236"/>
    <n v="236"/>
    <x v="1"/>
    <s v="KBC"/>
    <x v="6"/>
    <x v="0"/>
    <d v="2015-08-31T00:00:00"/>
    <m/>
    <m/>
    <s v="Focal NGO"/>
    <x v="0"/>
    <n v="0"/>
    <n v="0"/>
    <s v="No"/>
    <n v="1"/>
    <n v="1"/>
    <n v="6120"/>
    <n v="0"/>
    <n v="1"/>
    <n v="1"/>
    <n v="236"/>
    <n v="1"/>
    <n v="236"/>
    <n v="1"/>
    <n v="236"/>
    <x v="0"/>
    <n v="0"/>
    <n v="0"/>
    <n v="0"/>
    <n v="39"/>
    <n v="0"/>
    <n v="1"/>
    <n v="236"/>
    <m/>
    <n v="0"/>
    <n v="0"/>
    <n v="22"/>
    <x v="0"/>
    <n v="1"/>
    <n v="236"/>
    <n v="0"/>
    <n v="0"/>
    <n v="1"/>
    <n v="236"/>
    <n v="0"/>
    <n v="1"/>
    <n v="236"/>
    <n v="0"/>
    <n v="3"/>
    <x v="0"/>
    <n v="1"/>
    <n v="236"/>
    <n v="0"/>
    <n v="1"/>
    <n v="236"/>
    <n v="11"/>
    <n v="1"/>
    <n v="0"/>
    <n v="1"/>
    <m/>
    <d v="2014-06-05T00:00:00"/>
    <d v="2015-06-05T00:00:00"/>
    <n v="33"/>
    <n v="6"/>
    <n v="6"/>
    <n v="0.84615384615384615"/>
    <n v="199.69230769230768"/>
    <x v="8"/>
    <m/>
    <n v="1"/>
    <n v="236"/>
    <n v="1"/>
    <s v="Excellent coverage"/>
    <n v="0"/>
    <x v="0"/>
    <m/>
  </r>
  <r>
    <x v="6"/>
    <s v="MMR001CMP056"/>
    <x v="6"/>
    <x v="127"/>
    <n v="97.337649999999996"/>
    <n v="24.242049999999999"/>
    <x v="0"/>
    <x v="0"/>
    <n v="72"/>
    <n v="373"/>
    <n v="373"/>
    <x v="0"/>
    <s v="KBC"/>
    <x v="6"/>
    <x v="0"/>
    <d v="2015-08-31T00:00:00"/>
    <m/>
    <m/>
    <s v="Focal NGO"/>
    <x v="0"/>
    <n v="0"/>
    <n v="0"/>
    <s v="No"/>
    <n v="0"/>
    <n v="1"/>
    <n v="1000"/>
    <n v="1"/>
    <n v="0.77"/>
    <n v="1"/>
    <n v="373"/>
    <n v="1"/>
    <n v="373"/>
    <n v="1"/>
    <n v="373"/>
    <x v="0"/>
    <n v="0"/>
    <n v="0"/>
    <n v="0"/>
    <n v="55.44"/>
    <n v="373"/>
    <n v="1"/>
    <n v="373"/>
    <m/>
    <n v="0"/>
    <n v="0"/>
    <n v="15"/>
    <x v="2"/>
    <n v="0.80428954423592491"/>
    <n v="300"/>
    <n v="0"/>
    <n v="0"/>
    <n v="0.80428954423592491"/>
    <n v="300"/>
    <n v="0"/>
    <n v="0.8"/>
    <n v="298.40000000000003"/>
    <n v="3.6499999999999986"/>
    <n v="3"/>
    <x v="0"/>
    <n v="0.80428954423592491"/>
    <n v="300"/>
    <n v="0.73"/>
    <n v="0.8"/>
    <n v="298.40000000000003"/>
    <n v="5"/>
    <n v="1"/>
    <n v="0"/>
    <n v="1"/>
    <m/>
    <d v="2014-04-16T00:00:00"/>
    <s v="To be realised"/>
    <n v="9"/>
    <n v="6"/>
    <n v="72"/>
    <n v="0"/>
    <n v="0"/>
    <x v="11"/>
    <m/>
    <n v="1"/>
    <n v="373"/>
    <n v="3"/>
    <s v="Excellent coverage"/>
    <n v="0"/>
    <x v="0"/>
    <m/>
  </r>
  <r>
    <x v="6"/>
    <s v="MMR001CMP059"/>
    <x v="6"/>
    <x v="128"/>
    <n v="97.347740000000002"/>
    <n v="24.253769999999999"/>
    <x v="0"/>
    <x v="0"/>
    <n v="25"/>
    <n v="92"/>
    <n v="92"/>
    <x v="1"/>
    <s v="Shalom"/>
    <x v="6"/>
    <x v="0"/>
    <d v="2015-08-31T00:00:00"/>
    <m/>
    <m/>
    <s v="Focal NGO"/>
    <x v="0"/>
    <n v="0"/>
    <n v="0"/>
    <s v="No"/>
    <n v="0"/>
    <n v="0"/>
    <n v="920"/>
    <n v="0"/>
    <n v="1"/>
    <n v="0.66666666666666674"/>
    <n v="61.333333333333343"/>
    <n v="0.66666666666666674"/>
    <n v="61.333333333333343"/>
    <n v="1"/>
    <n v="92"/>
    <x v="4"/>
    <n v="0"/>
    <n v="0"/>
    <n v="0.23"/>
    <n v="25"/>
    <n v="0"/>
    <n v="0.67"/>
    <n v="61.64"/>
    <m/>
    <n v="4"/>
    <n v="4"/>
    <n v="1"/>
    <x v="1"/>
    <n v="1"/>
    <n v="92"/>
    <n v="0.78260869565217395"/>
    <n v="72"/>
    <n v="0.21739130434782608"/>
    <n v="20"/>
    <n v="0"/>
    <n v="1"/>
    <n v="92"/>
    <n v="3.5999999999999996"/>
    <n v="1"/>
    <x v="1"/>
    <n v="1"/>
    <n v="92"/>
    <n v="0"/>
    <n v="1"/>
    <n v="92"/>
    <n v="2"/>
    <n v="1"/>
    <n v="0"/>
    <n v="1"/>
    <s v="we have to plan 2doors SPL."/>
    <d v="2014-05-26T00:00:00"/>
    <s v="To be realised"/>
    <n v="23"/>
    <n v="6"/>
    <n v="25"/>
    <n v="0"/>
    <n v="0"/>
    <x v="8"/>
    <m/>
    <n v="1"/>
    <n v="92"/>
    <n v="1"/>
    <s v="Excellent coverage"/>
    <n v="0"/>
    <x v="0"/>
    <m/>
  </r>
  <r>
    <x v="9"/>
    <s v="MMR001CMP117"/>
    <x v="4"/>
    <x v="129"/>
    <n v="97.551716999999996"/>
    <n v="24.746817"/>
    <x v="0"/>
    <x v="1"/>
    <n v="555"/>
    <n v="2326"/>
    <n v="421"/>
    <x v="3"/>
    <s v="IRRC"/>
    <x v="1"/>
    <x v="0"/>
    <d v="2015-08-31T00:00:00"/>
    <s v="SI"/>
    <d v="2015-08-31T00:00:00"/>
    <s v="Focal NGO"/>
    <x v="0"/>
    <n v="0"/>
    <n v="0"/>
    <s v="No"/>
    <n v="1"/>
    <n v="0"/>
    <n v="30000"/>
    <n v="0"/>
    <n v="0.31"/>
    <n v="1"/>
    <n v="421"/>
    <n v="1"/>
    <n v="421"/>
    <n v="1"/>
    <n v="421"/>
    <x v="0"/>
    <n v="0"/>
    <n v="0"/>
    <n v="5.2499999999999991E-2"/>
    <n v="172.05"/>
    <n v="0"/>
    <n v="1"/>
    <n v="421"/>
    <s v="CWF coverage changed due to SI ' KAP survey"/>
    <n v="3"/>
    <n v="2"/>
    <n v="4"/>
    <x v="2"/>
    <n v="0.28503562945368172"/>
    <n v="120"/>
    <n v="9.5011876484560581E-2"/>
    <n v="40.000000000000007"/>
    <n v="0.19002375296912113"/>
    <n v="80"/>
    <n v="0"/>
    <n v="0.28999999999999998"/>
    <n v="122.08999999999999"/>
    <n v="17.05"/>
    <n v="2"/>
    <x v="1"/>
    <n v="0.47505938242280282"/>
    <n v="200"/>
    <n v="21.26"/>
    <n v="0.09"/>
    <n v="37.89"/>
    <n v="1"/>
    <n v="0.23752969121140141"/>
    <n v="22.26"/>
    <n v="0.04"/>
    <s v="Please note that due to a lack of space in the camps, KBC cannot construct additional latrines. all hand washing not functioning due to tap broken, bottle moved out, under replacement."/>
    <d v="2014-01-01T00:00:00"/>
    <s v="To be realised"/>
    <n v="422"/>
    <n v="5"/>
    <n v="555"/>
    <n v="0"/>
    <n v="0"/>
    <x v="12"/>
    <s v="Latest distribution of HK refill in April 15 "/>
    <n v="1"/>
    <n v="421"/>
    <n v="2"/>
    <s v="Excellent coverage"/>
    <n v="0"/>
    <x v="6"/>
    <m/>
  </r>
  <r>
    <x v="10"/>
    <s v="MMR001CMP196"/>
    <x v="6"/>
    <x v="130"/>
    <n v="97.291820000000001"/>
    <n v="24.129059999999999"/>
    <x v="1"/>
    <x v="0"/>
    <n v="135"/>
    <n v="499"/>
    <n v="499"/>
    <x v="0"/>
    <s v="KBC"/>
    <x v="3"/>
    <x v="1"/>
    <m/>
    <m/>
    <m/>
    <s v="Not documented"/>
    <x v="1"/>
    <n v="0"/>
    <n v="0"/>
    <s v="No"/>
    <n v="0"/>
    <n v="0"/>
    <n v="0"/>
    <n v="0"/>
    <n v="0"/>
    <n v="0"/>
    <n v="0"/>
    <n v="0"/>
    <n v="0"/>
    <n v="0"/>
    <n v="0"/>
    <x v="1"/>
    <n v="0"/>
    <n v="0"/>
    <n v="1.2475000000000001"/>
    <n v="0"/>
    <n v="0"/>
    <n v="1"/>
    <n v="499"/>
    <s v="these IDPs are using nearest water sources "/>
    <n v="0"/>
    <n v="0"/>
    <n v="0"/>
    <x v="2"/>
    <n v="0"/>
    <n v="0"/>
    <n v="0"/>
    <n v="0"/>
    <n v="0"/>
    <n v="0"/>
    <n v="0"/>
    <n v="0"/>
    <n v="0"/>
    <n v="24.95"/>
    <n v="0"/>
    <x v="1"/>
    <n v="0"/>
    <n v="0"/>
    <n v="4.99"/>
    <n v="0"/>
    <n v="0"/>
    <n v="0"/>
    <n v="0"/>
    <n v="4.99"/>
    <n v="0"/>
    <m/>
    <d v="2014-04-15T00:00:00"/>
    <s v="To be realised"/>
    <n v="20"/>
    <n v="0"/>
    <n v="135"/>
    <n v="0"/>
    <n v="0"/>
    <x v="13"/>
    <m/>
    <n v="0"/>
    <n v="0"/>
    <n v="0"/>
    <s v="No coverage"/>
    <n v="0"/>
    <x v="2"/>
    <s v="SC and Metta will organize for WASH committee forming"/>
  </r>
  <r>
    <x v="6"/>
    <s v="MMR001CMP200"/>
    <x v="6"/>
    <x v="131"/>
    <n v="97.193340000000006"/>
    <n v="24.230450000000001"/>
    <x v="1"/>
    <x v="0"/>
    <n v="4"/>
    <n v="26"/>
    <n v="26"/>
    <x v="1"/>
    <m/>
    <x v="3"/>
    <x v="1"/>
    <m/>
    <m/>
    <m/>
    <s v="Not documented"/>
    <x v="1"/>
    <n v="0"/>
    <n v="0"/>
    <s v="No"/>
    <n v="0"/>
    <n v="0"/>
    <n v="0"/>
    <n v="0"/>
    <n v="0"/>
    <n v="0"/>
    <n v="0"/>
    <n v="0"/>
    <n v="0"/>
    <n v="0"/>
    <n v="0"/>
    <x v="1"/>
    <n v="0"/>
    <n v="0"/>
    <n v="6.5000000000000002E-2"/>
    <n v="0"/>
    <n v="0"/>
    <n v="1"/>
    <n v="26"/>
    <m/>
    <n v="0"/>
    <n v="0"/>
    <n v="0"/>
    <x v="2"/>
    <n v="0"/>
    <n v="0"/>
    <n v="0"/>
    <n v="0"/>
    <n v="0"/>
    <n v="0"/>
    <n v="0"/>
    <n v="0"/>
    <n v="0"/>
    <n v="1.3"/>
    <n v="0"/>
    <x v="1"/>
    <n v="0"/>
    <n v="0"/>
    <n v="0.26"/>
    <n v="0"/>
    <n v="0"/>
    <n v="0"/>
    <n v="0"/>
    <n v="0.26"/>
    <n v="0"/>
    <m/>
    <m/>
    <s v="To be realised"/>
    <n v="0"/>
    <n v="0"/>
    <n v="4"/>
    <n v="0"/>
    <n v="0"/>
    <x v="5"/>
    <m/>
    <n v="0"/>
    <n v="0"/>
    <n v="0"/>
    <s v="No coverage"/>
    <n v="0"/>
    <x v="2"/>
    <m/>
  </r>
  <r>
    <x v="6"/>
    <s v="MMR001CMP064"/>
    <x v="6"/>
    <x v="132"/>
    <n v="97.242360000000005"/>
    <n v="24.264130000000002"/>
    <x v="1"/>
    <x v="0"/>
    <n v="2"/>
    <n v="9"/>
    <n v="9"/>
    <x v="1"/>
    <m/>
    <x v="3"/>
    <x v="1"/>
    <m/>
    <m/>
    <m/>
    <s v="Not documented"/>
    <x v="1"/>
    <n v="0"/>
    <n v="0"/>
    <s v="No"/>
    <n v="0"/>
    <n v="0"/>
    <n v="0"/>
    <n v="0"/>
    <n v="0"/>
    <n v="0"/>
    <n v="0"/>
    <n v="0"/>
    <n v="0"/>
    <n v="0"/>
    <n v="0"/>
    <x v="1"/>
    <n v="0"/>
    <n v="0"/>
    <n v="2.2499999999999999E-2"/>
    <n v="0"/>
    <n v="0"/>
    <n v="1"/>
    <n v="9"/>
    <m/>
    <n v="0"/>
    <n v="0"/>
    <n v="0"/>
    <x v="2"/>
    <n v="0"/>
    <n v="0"/>
    <n v="0"/>
    <n v="0"/>
    <n v="0"/>
    <n v="0"/>
    <n v="0"/>
    <n v="0"/>
    <n v="0"/>
    <n v="0.45"/>
    <n v="0"/>
    <x v="1"/>
    <n v="0"/>
    <n v="0"/>
    <n v="0.09"/>
    <n v="0"/>
    <n v="0"/>
    <n v="0"/>
    <n v="0"/>
    <n v="0.09"/>
    <n v="0"/>
    <m/>
    <m/>
    <s v="To be realised"/>
    <n v="0"/>
    <n v="0"/>
    <n v="2"/>
    <n v="0"/>
    <n v="0"/>
    <x v="5"/>
    <m/>
    <n v="0"/>
    <n v="0"/>
    <n v="0"/>
    <s v="No coverage"/>
    <n v="0"/>
    <x v="2"/>
    <m/>
  </r>
  <r>
    <x v="6"/>
    <s v="MMR001CMP063"/>
    <x v="6"/>
    <x v="133"/>
    <n v="97.321659999999994"/>
    <n v="24.41"/>
    <x v="1"/>
    <x v="0"/>
    <n v="28"/>
    <n v="136"/>
    <n v="136"/>
    <x v="1"/>
    <m/>
    <x v="3"/>
    <x v="1"/>
    <m/>
    <m/>
    <m/>
    <s v="Not documented"/>
    <x v="1"/>
    <n v="0"/>
    <n v="0"/>
    <s v="No"/>
    <n v="0"/>
    <n v="0"/>
    <n v="0"/>
    <n v="0"/>
    <n v="0"/>
    <n v="0"/>
    <n v="0"/>
    <n v="0"/>
    <n v="0"/>
    <n v="0"/>
    <n v="0"/>
    <x v="1"/>
    <n v="0"/>
    <n v="0"/>
    <n v="0.34"/>
    <n v="0"/>
    <n v="0"/>
    <n v="1"/>
    <n v="136"/>
    <m/>
    <n v="0"/>
    <n v="0"/>
    <n v="0"/>
    <x v="2"/>
    <n v="0"/>
    <n v="0"/>
    <n v="0"/>
    <n v="0"/>
    <n v="0"/>
    <n v="0"/>
    <n v="0"/>
    <n v="0"/>
    <n v="0"/>
    <n v="6.8"/>
    <n v="0"/>
    <x v="1"/>
    <n v="0"/>
    <n v="0"/>
    <n v="1.36"/>
    <n v="0"/>
    <n v="0"/>
    <n v="0"/>
    <n v="0"/>
    <n v="1.36"/>
    <n v="0"/>
    <m/>
    <m/>
    <s v="To be realised"/>
    <n v="0"/>
    <n v="0"/>
    <n v="28"/>
    <n v="0"/>
    <n v="0"/>
    <x v="5"/>
    <m/>
    <n v="0"/>
    <n v="0"/>
    <n v="0"/>
    <s v="No coverage"/>
    <n v="0"/>
    <x v="2"/>
    <m/>
  </r>
  <r>
    <x v="6"/>
    <s v="MMR001CMP061"/>
    <x v="6"/>
    <x v="134"/>
    <n v="97.406239999999997"/>
    <n v="24.40457"/>
    <x v="1"/>
    <x v="0"/>
    <n v="13"/>
    <n v="53"/>
    <n v="53"/>
    <x v="1"/>
    <m/>
    <x v="3"/>
    <x v="1"/>
    <m/>
    <m/>
    <m/>
    <s v="Not documented"/>
    <x v="1"/>
    <n v="0"/>
    <n v="0"/>
    <s v="No"/>
    <n v="0"/>
    <n v="0"/>
    <n v="0"/>
    <n v="0"/>
    <n v="0"/>
    <n v="0"/>
    <n v="0"/>
    <n v="0"/>
    <n v="0"/>
    <n v="0"/>
    <n v="0"/>
    <x v="1"/>
    <n v="0"/>
    <n v="0"/>
    <n v="0.13250000000000001"/>
    <n v="0"/>
    <n v="0"/>
    <n v="1"/>
    <n v="53"/>
    <m/>
    <n v="0"/>
    <n v="0"/>
    <n v="0"/>
    <x v="2"/>
    <n v="0"/>
    <n v="0"/>
    <n v="0"/>
    <n v="0"/>
    <n v="0"/>
    <n v="0"/>
    <n v="0"/>
    <n v="0"/>
    <n v="0"/>
    <n v="2.65"/>
    <n v="0"/>
    <x v="1"/>
    <n v="0"/>
    <n v="0"/>
    <n v="0.53"/>
    <n v="0"/>
    <n v="0"/>
    <n v="0"/>
    <n v="0"/>
    <n v="0.53"/>
    <n v="0"/>
    <m/>
    <m/>
    <s v="To be realised"/>
    <n v="0"/>
    <n v="0"/>
    <n v="13"/>
    <n v="0"/>
    <n v="0"/>
    <x v="5"/>
    <m/>
    <n v="0"/>
    <n v="0"/>
    <n v="0"/>
    <s v="No coverage"/>
    <n v="0"/>
    <x v="2"/>
    <m/>
  </r>
  <r>
    <x v="6"/>
    <s v="MMR001CMP060"/>
    <x v="6"/>
    <x v="135"/>
    <n v="97.417240000000007"/>
    <n v="24.49184"/>
    <x v="1"/>
    <x v="0"/>
    <n v="10"/>
    <n v="38"/>
    <n v="38"/>
    <x v="1"/>
    <m/>
    <x v="3"/>
    <x v="1"/>
    <m/>
    <m/>
    <m/>
    <s v="Not documented"/>
    <x v="1"/>
    <n v="0"/>
    <n v="0"/>
    <s v="No"/>
    <n v="0"/>
    <n v="0"/>
    <n v="0"/>
    <n v="0"/>
    <n v="0"/>
    <n v="0"/>
    <n v="0"/>
    <n v="0"/>
    <n v="0"/>
    <n v="0"/>
    <n v="0"/>
    <x v="1"/>
    <n v="0"/>
    <n v="0"/>
    <n v="9.5000000000000001E-2"/>
    <n v="0"/>
    <n v="0"/>
    <n v="1"/>
    <n v="38"/>
    <m/>
    <n v="0"/>
    <n v="0"/>
    <n v="0"/>
    <x v="2"/>
    <n v="0"/>
    <n v="0"/>
    <n v="0"/>
    <n v="0"/>
    <n v="0"/>
    <n v="0"/>
    <n v="0"/>
    <n v="0"/>
    <n v="0"/>
    <n v="1.9"/>
    <n v="0"/>
    <x v="1"/>
    <n v="0"/>
    <n v="0"/>
    <n v="0.38"/>
    <n v="0"/>
    <n v="0"/>
    <n v="0"/>
    <n v="0"/>
    <n v="0.38"/>
    <n v="0"/>
    <m/>
    <m/>
    <s v="To be realised"/>
    <n v="0"/>
    <n v="0"/>
    <n v="10"/>
    <n v="0"/>
    <n v="0"/>
    <x v="5"/>
    <m/>
    <n v="0"/>
    <n v="0"/>
    <n v="0"/>
    <s v="No coverage"/>
    <n v="0"/>
    <x v="2"/>
    <m/>
  </r>
  <r>
    <x v="12"/>
    <s v="MMR001CMP199"/>
    <x v="6"/>
    <x v="136"/>
    <n v="96.807350999999997"/>
    <n v="24.200362999999999"/>
    <x v="1"/>
    <x v="0"/>
    <n v="15"/>
    <n v="40"/>
    <n v="40"/>
    <x v="1"/>
    <m/>
    <x v="3"/>
    <x v="1"/>
    <m/>
    <m/>
    <m/>
    <s v="Not documented"/>
    <x v="1"/>
    <n v="0"/>
    <n v="0"/>
    <s v="No"/>
    <n v="0"/>
    <n v="0"/>
    <n v="0"/>
    <n v="0"/>
    <n v="0"/>
    <n v="0"/>
    <n v="0"/>
    <n v="0"/>
    <n v="0"/>
    <n v="0"/>
    <n v="0"/>
    <x v="1"/>
    <n v="0"/>
    <n v="0"/>
    <n v="0.1"/>
    <n v="0"/>
    <n v="0"/>
    <n v="1"/>
    <n v="40"/>
    <m/>
    <n v="0"/>
    <n v="0"/>
    <n v="0"/>
    <x v="2"/>
    <n v="0"/>
    <n v="0"/>
    <n v="0"/>
    <n v="0"/>
    <n v="0"/>
    <n v="0"/>
    <n v="0"/>
    <n v="0"/>
    <n v="0"/>
    <n v="2"/>
    <n v="0"/>
    <x v="1"/>
    <n v="0"/>
    <n v="0"/>
    <n v="0.4"/>
    <n v="0"/>
    <n v="0"/>
    <n v="0"/>
    <n v="0"/>
    <n v="0.4"/>
    <n v="0"/>
    <m/>
    <m/>
    <s v="To be realised"/>
    <n v="0"/>
    <n v="0"/>
    <n v="15"/>
    <n v="0"/>
    <n v="0"/>
    <x v="5"/>
    <m/>
    <n v="0"/>
    <n v="0"/>
    <n v="0"/>
    <s v="No coverage"/>
    <n v="0"/>
    <x v="2"/>
    <m/>
  </r>
  <r>
    <x v="10"/>
    <s v="MMR001CMP129"/>
    <x v="3"/>
    <x v="137"/>
    <n v="97.609832999999995"/>
    <n v="24.002433"/>
    <x v="0"/>
    <x v="1"/>
    <n v="169"/>
    <n v="742"/>
    <n v="742"/>
    <x v="0"/>
    <s v="KMSS"/>
    <x v="7"/>
    <x v="0"/>
    <d v="2015-06-30T00:00:00"/>
    <s v="SCI"/>
    <d v="2015-06-30T00:00:00"/>
    <s v="Focal NGO"/>
    <x v="0"/>
    <n v="0"/>
    <n v="0"/>
    <s v="No"/>
    <n v="2"/>
    <n v="0"/>
    <n v="81090"/>
    <n v="0"/>
    <n v="0.95"/>
    <n v="1"/>
    <n v="742"/>
    <n v="1"/>
    <n v="742"/>
    <n v="1"/>
    <n v="742"/>
    <x v="0"/>
    <n v="0"/>
    <n v="0"/>
    <n v="0"/>
    <n v="160.54999999999998"/>
    <n v="0"/>
    <n v="1"/>
    <n v="742"/>
    <m/>
    <n v="63"/>
    <n v="42"/>
    <n v="14"/>
    <x v="1"/>
    <n v="1"/>
    <n v="742"/>
    <n v="0.62264150943396224"/>
    <n v="462"/>
    <n v="0.37735849056603776"/>
    <n v="280"/>
    <n v="0"/>
    <n v="1"/>
    <n v="742"/>
    <n v="23.1"/>
    <n v="4"/>
    <x v="1"/>
    <n v="0.53908355795148244"/>
    <n v="399.99999999999994"/>
    <n v="3.42"/>
    <n v="0.54"/>
    <n v="400.68"/>
    <n v="1"/>
    <n v="0.13477088948787061"/>
    <n v="6.42"/>
    <n v="0.13"/>
    <m/>
    <d v="2014-03-28T00:00:00"/>
    <s v="To be realised"/>
    <n v="166"/>
    <n v="3"/>
    <n v="169"/>
    <n v="0"/>
    <n v="0"/>
    <x v="14"/>
    <m/>
    <n v="0.2"/>
    <n v="148.4"/>
    <n v="7"/>
    <s v="Excellent coverage"/>
    <n v="0"/>
    <x v="1"/>
    <m/>
  </r>
  <r>
    <x v="10"/>
    <s v="MMR001CMP202"/>
    <x v="3"/>
    <x v="138"/>
    <n v="97.609832999999995"/>
    <n v="24.002433"/>
    <x v="0"/>
    <x v="1"/>
    <n v="207"/>
    <n v="878"/>
    <n v="878"/>
    <x v="0"/>
    <s v="KMSS- Lashio"/>
    <x v="7"/>
    <x v="0"/>
    <d v="2015-06-30T00:00:00"/>
    <s v="SCI"/>
    <d v="2015-06-30T00:00:00"/>
    <s v="Focal NGO"/>
    <x v="0"/>
    <n v="0"/>
    <n v="0"/>
    <s v="No"/>
    <n v="3"/>
    <n v="0"/>
    <n v="38340"/>
    <n v="0"/>
    <n v="0.45"/>
    <n v="1"/>
    <n v="878"/>
    <n v="1"/>
    <n v="878"/>
    <n v="1"/>
    <n v="878"/>
    <x v="0"/>
    <n v="0"/>
    <n v="0"/>
    <n v="0"/>
    <n v="93.15"/>
    <n v="0"/>
    <n v="1"/>
    <n v="878"/>
    <m/>
    <n v="88"/>
    <n v="21"/>
    <n v="31"/>
    <x v="1"/>
    <n v="1"/>
    <n v="878"/>
    <n v="0.29384965831435084"/>
    <n v="258.00000000000006"/>
    <n v="0.70615034168564916"/>
    <n v="620"/>
    <n v="0"/>
    <n v="1"/>
    <n v="878"/>
    <n v="12.899999999999999"/>
    <n v="3"/>
    <x v="0"/>
    <n v="0.34168564920273348"/>
    <n v="300"/>
    <n v="5.7799999999999994"/>
    <n v="0.34"/>
    <n v="298.52000000000004"/>
    <n v="3"/>
    <n v="0.34168564920273348"/>
    <n v="5.7799999999999994"/>
    <n v="0.34"/>
    <m/>
    <d v="2014-12-23T00:00:00"/>
    <d v="2015-12-23T00:00:00"/>
    <n v="206"/>
    <n v="0"/>
    <n v="1"/>
    <n v="0.99516908212560384"/>
    <n v="873.75845410628017"/>
    <x v="2"/>
    <m/>
    <n v="0.25"/>
    <n v="219.5"/>
    <n v="12"/>
    <s v="Excellent coverage"/>
    <n v="0"/>
    <x v="2"/>
    <m/>
  </r>
  <r>
    <x v="10"/>
    <m/>
    <x v="3"/>
    <x v="139"/>
    <n v="97.602490000000003"/>
    <n v="24.000039999999998"/>
    <x v="0"/>
    <x v="1"/>
    <n v="53"/>
    <n v="201"/>
    <n v="201"/>
    <x v="0"/>
    <m/>
    <x v="7"/>
    <x v="0"/>
    <d v="2015-06-30T00:00:00"/>
    <s v="SCI"/>
    <d v="2015-06-30T00:00:00"/>
    <s v="Focal NGO"/>
    <x v="0"/>
    <n v="0"/>
    <n v="0"/>
    <s v="No"/>
    <n v="1"/>
    <n v="0"/>
    <n v="0"/>
    <n v="0"/>
    <n v="0"/>
    <n v="1"/>
    <n v="201"/>
    <n v="1"/>
    <n v="201"/>
    <n v="1"/>
    <n v="201"/>
    <x v="0"/>
    <n v="0"/>
    <n v="0"/>
    <n v="0"/>
    <n v="0"/>
    <n v="0"/>
    <n v="1"/>
    <n v="201"/>
    <s v="Currently, IDPs fetching a water from near wells inside from village. KBC will be install GFS and it will finish in June 15"/>
    <n v="0"/>
    <n v="0"/>
    <n v="20"/>
    <x v="1"/>
    <n v="1"/>
    <n v="201"/>
    <n v="0"/>
    <n v="0"/>
    <n v="1"/>
    <n v="201"/>
    <n v="0"/>
    <n v="1"/>
    <n v="201"/>
    <n v="0"/>
    <n v="4"/>
    <x v="0"/>
    <n v="1"/>
    <n v="201"/>
    <n v="0"/>
    <n v="1"/>
    <n v="201"/>
    <n v="5"/>
    <n v="1"/>
    <n v="0"/>
    <n v="1"/>
    <s v="the 20 semi-permanent latrine are constructed by KBC"/>
    <d v="2015-04-13T00:00:00"/>
    <d v="2016-04-12T00:00:00"/>
    <n v="47"/>
    <n v="0"/>
    <n v="6"/>
    <n v="0.8867924528301887"/>
    <n v="178.24528301886792"/>
    <x v="15"/>
    <m/>
    <n v="0"/>
    <n v="0"/>
    <n v="3"/>
    <s v="Excellent coverage"/>
    <n v="0"/>
    <x v="1"/>
    <m/>
  </r>
  <r>
    <x v="10"/>
    <s v="MMR001CMP128"/>
    <x v="3"/>
    <x v="140"/>
    <n v="97.625617000000005"/>
    <n v="24.056132999999999"/>
    <x v="0"/>
    <x v="1"/>
    <n v="545"/>
    <n v="2561"/>
    <n v="2561"/>
    <x v="3"/>
    <s v="KMSS"/>
    <x v="7"/>
    <x v="0"/>
    <d v="2015-06-30T00:00:00"/>
    <s v="SCI"/>
    <d v="2015-06-30T00:00:00"/>
    <s v="Focal NGO"/>
    <x v="0"/>
    <n v="0"/>
    <n v="0"/>
    <s v="No"/>
    <n v="2"/>
    <n v="0"/>
    <n v="128565"/>
    <n v="0"/>
    <n v="0.5"/>
    <n v="1"/>
    <n v="2561"/>
    <n v="1"/>
    <n v="2561"/>
    <n v="1"/>
    <n v="2561"/>
    <x v="0"/>
    <n v="0"/>
    <n v="0"/>
    <n v="4.4024999999999999"/>
    <n v="272.5"/>
    <n v="0"/>
    <n v="1"/>
    <n v="2561"/>
    <m/>
    <n v="84"/>
    <n v="20"/>
    <n v="72"/>
    <x v="3"/>
    <n v="0.71846934791097228"/>
    <n v="1840"/>
    <n v="0.15618898867629827"/>
    <n v="399.99999999999989"/>
    <n v="0.56228035923467401"/>
    <n v="1440.0000000000002"/>
    <n v="1"/>
    <n v="0.72"/>
    <n v="1843.9199999999998"/>
    <n v="57.050000000000011"/>
    <n v="1"/>
    <x v="1"/>
    <n v="3.9047247169074581E-2"/>
    <n v="100"/>
    <n v="24.61"/>
    <n v="0.04"/>
    <n v="102.44"/>
    <n v="0"/>
    <n v="0"/>
    <n v="25.61"/>
    <n v="0"/>
    <s v="No space for additional latriens and desludging issues."/>
    <d v="2014-12-23T00:00:00"/>
    <d v="2015-12-23T00:00:00"/>
    <n v="563"/>
    <n v="0"/>
    <n v="0"/>
    <n v="1"/>
    <n v="2561"/>
    <x v="2"/>
    <m/>
    <n v="0.25"/>
    <n v="640.25"/>
    <n v="25"/>
    <s v="Excellent coverage"/>
    <n v="0"/>
    <x v="1"/>
    <m/>
  </r>
  <r>
    <x v="6"/>
    <s v="MMR001CMP131"/>
    <x v="3"/>
    <x v="141"/>
    <n v="97.669366999999994"/>
    <n v="24.378167000000001"/>
    <x v="0"/>
    <x v="1"/>
    <n v="369"/>
    <n v="1633"/>
    <n v="1633"/>
    <x v="2"/>
    <s v="KMSS"/>
    <x v="7"/>
    <x v="0"/>
    <d v="2015-06-30T00:00:00"/>
    <s v="SCI"/>
    <d v="2015-06-30T00:00:00"/>
    <s v="Focal NGO"/>
    <x v="0"/>
    <n v="0"/>
    <n v="0"/>
    <s v="No"/>
    <n v="0"/>
    <n v="0"/>
    <n v="216000"/>
    <n v="0"/>
    <n v="1"/>
    <n v="1"/>
    <n v="1633"/>
    <n v="1"/>
    <n v="1633"/>
    <n v="1"/>
    <n v="1633"/>
    <x v="0"/>
    <n v="0"/>
    <n v="0"/>
    <n v="4.0824999999999996"/>
    <n v="369"/>
    <n v="0"/>
    <n v="1"/>
    <n v="1633"/>
    <m/>
    <n v="50"/>
    <n v="50"/>
    <n v="54"/>
    <x v="2"/>
    <n v="1"/>
    <n v="1633"/>
    <n v="0.33864053888548684"/>
    <n v="553"/>
    <n v="0.66135946111451316"/>
    <n v="1080"/>
    <n v="18"/>
    <n v="1"/>
    <n v="1633"/>
    <n v="45.650000000000006"/>
    <n v="7"/>
    <x v="1"/>
    <n v="0.42865890998162892"/>
    <n v="700"/>
    <n v="9.3299999999999983"/>
    <n v="0.43"/>
    <n v="702.18999999999994"/>
    <n v="10"/>
    <n v="0.61236987140232702"/>
    <n v="6.3299999999999983"/>
    <n v="0.85"/>
    <s v="Camp located in step areas hence difficulties to build semi permanent latrines. Land issues"/>
    <d v="2014-12-23T00:00:00"/>
    <d v="2015-12-23T00:00:00"/>
    <n v="378"/>
    <n v="0"/>
    <n v="0"/>
    <n v="1"/>
    <n v="1633"/>
    <x v="2"/>
    <m/>
    <n v="0.65"/>
    <n v="1061.45"/>
    <n v="15"/>
    <s v="Excellent coverage"/>
    <n v="0"/>
    <x v="1"/>
    <m/>
  </r>
  <r>
    <x v="6"/>
    <s v="MMR001CMP126"/>
    <x v="3"/>
    <x v="142"/>
    <n v="97.751050000000006"/>
    <n v="24.279910000000001"/>
    <x v="0"/>
    <x v="1"/>
    <n v="128"/>
    <n v="538"/>
    <n v="538"/>
    <x v="0"/>
    <s v="KMSS"/>
    <x v="7"/>
    <x v="0"/>
    <d v="2015-06-30T00:00:00"/>
    <s v="SCI"/>
    <d v="2015-06-30T00:00:00"/>
    <s v="Focal NGO"/>
    <x v="0"/>
    <n v="0"/>
    <n v="0"/>
    <s v="No"/>
    <n v="0"/>
    <n v="0"/>
    <n v="94000"/>
    <n v="0"/>
    <n v="0.5"/>
    <n v="1"/>
    <n v="538"/>
    <n v="1"/>
    <n v="538"/>
    <n v="1"/>
    <n v="538"/>
    <x v="0"/>
    <n v="0"/>
    <n v="0"/>
    <n v="1.345"/>
    <n v="64"/>
    <n v="0"/>
    <n v="1"/>
    <n v="538"/>
    <m/>
    <n v="10"/>
    <n v="10"/>
    <n v="30"/>
    <x v="2"/>
    <n v="1"/>
    <n v="538"/>
    <n v="0"/>
    <n v="0"/>
    <n v="1"/>
    <n v="538"/>
    <n v="0"/>
    <n v="1"/>
    <n v="538"/>
    <n v="0"/>
    <n v="4"/>
    <x v="2"/>
    <n v="0.74349442379182151"/>
    <n v="400"/>
    <n v="1.38"/>
    <n v="0.74"/>
    <n v="398.12"/>
    <n v="16"/>
    <n v="1"/>
    <n v="0"/>
    <n v="1"/>
    <m/>
    <d v="2014-12-23T00:00:00"/>
    <d v="2015-12-23T00:00:00"/>
    <n v="228"/>
    <n v="0"/>
    <n v="0"/>
    <n v="1"/>
    <n v="538"/>
    <x v="2"/>
    <m/>
    <n v="0.4"/>
    <n v="215.20000000000002"/>
    <n v="14"/>
    <s v="Excellent coverage"/>
    <n v="0"/>
    <x v="1"/>
    <m/>
  </r>
  <r>
    <x v="6"/>
    <s v="MMR001CMP126"/>
    <x v="3"/>
    <x v="143"/>
    <n v="97.754009999999994"/>
    <n v="24.275549999999999"/>
    <x v="0"/>
    <x v="1"/>
    <n v="58"/>
    <n v="251"/>
    <n v="251"/>
    <x v="0"/>
    <s v="KMSS"/>
    <x v="7"/>
    <x v="0"/>
    <d v="2015-06-30T00:00:00"/>
    <s v="SCI"/>
    <d v="2015-06-30T00:00:00"/>
    <s v="Focal NGO"/>
    <x v="0"/>
    <n v="0"/>
    <n v="0"/>
    <s v="No"/>
    <n v="0"/>
    <n v="0"/>
    <n v="8640"/>
    <n v="0"/>
    <n v="0"/>
    <n v="1"/>
    <n v="251"/>
    <n v="1"/>
    <n v="251"/>
    <n v="1"/>
    <n v="251"/>
    <x v="0"/>
    <n v="0"/>
    <n v="0"/>
    <n v="0.62749999999999995"/>
    <n v="0"/>
    <n v="0"/>
    <n v="1"/>
    <n v="251"/>
    <m/>
    <n v="0"/>
    <n v="0"/>
    <n v="27"/>
    <x v="2"/>
    <n v="1"/>
    <n v="251"/>
    <n v="0"/>
    <n v="0"/>
    <n v="1"/>
    <n v="251"/>
    <n v="0"/>
    <n v="1"/>
    <n v="251"/>
    <n v="0"/>
    <n v="1"/>
    <x v="1"/>
    <n v="0.39840637450199201"/>
    <n v="100"/>
    <n v="1.5099999999999998"/>
    <n v="0.4"/>
    <n v="100.4"/>
    <n v="18"/>
    <n v="1"/>
    <n v="0"/>
    <n v="1"/>
    <m/>
    <d v="2014-12-23T00:00:00"/>
    <d v="2015-12-23T00:00:00"/>
    <n v="58"/>
    <n v="0"/>
    <n v="0"/>
    <n v="1"/>
    <n v="251"/>
    <x v="2"/>
    <m/>
    <n v="0.2"/>
    <n v="50.2"/>
    <n v="10"/>
    <s v="Excellent coverage"/>
    <n v="0"/>
    <x v="1"/>
    <m/>
  </r>
  <r>
    <x v="6"/>
    <s v="MMR001CMP126"/>
    <x v="3"/>
    <x v="144"/>
    <n v="97.755750000000006"/>
    <n v="24.273479999999999"/>
    <x v="0"/>
    <x v="1"/>
    <n v="297"/>
    <n v="1342"/>
    <n v="1342"/>
    <x v="2"/>
    <s v="KMSS"/>
    <x v="7"/>
    <x v="0"/>
    <d v="2015-06-30T00:00:00"/>
    <s v="SCI"/>
    <d v="2015-06-30T00:00:00"/>
    <s v="Focal NGO"/>
    <x v="0"/>
    <n v="0"/>
    <n v="0"/>
    <s v="No"/>
    <n v="0"/>
    <n v="0"/>
    <n v="99540"/>
    <n v="0"/>
    <n v="0.5"/>
    <n v="1"/>
    <n v="1342"/>
    <n v="1"/>
    <n v="1342"/>
    <n v="1"/>
    <n v="1342"/>
    <x v="0"/>
    <n v="0"/>
    <n v="0"/>
    <n v="3.355"/>
    <n v="148.5"/>
    <n v="0"/>
    <n v="1"/>
    <n v="1342"/>
    <s v="HH need more filter to coverage"/>
    <n v="60"/>
    <n v="0"/>
    <n v="70"/>
    <x v="2"/>
    <n v="1"/>
    <n v="1342"/>
    <n v="0"/>
    <n v="0"/>
    <n v="1"/>
    <n v="1342"/>
    <n v="0"/>
    <n v="1"/>
    <n v="1342"/>
    <n v="0"/>
    <n v="2"/>
    <x v="2"/>
    <n v="0.14903129657228018"/>
    <n v="200"/>
    <n v="11.42"/>
    <n v="0.15"/>
    <n v="201.29999999999998"/>
    <n v="33"/>
    <n v="1"/>
    <n v="0"/>
    <n v="1"/>
    <m/>
    <d v="2014-12-23T00:00:00"/>
    <d v="2015-12-23T00:00:00"/>
    <n v="322"/>
    <n v="3"/>
    <n v="0"/>
    <n v="1"/>
    <n v="1342"/>
    <x v="15"/>
    <m/>
    <n v="0.3"/>
    <n v="402.59999999999997"/>
    <n v="4"/>
    <s v="Excellent coverage"/>
    <n v="0"/>
    <x v="1"/>
    <m/>
  </r>
  <r>
    <x v="6"/>
    <s v="MMR001CMP126"/>
    <x v="3"/>
    <x v="145"/>
    <n v="97.755750000000006"/>
    <n v="24.273479999999999"/>
    <x v="2"/>
    <x v="1"/>
    <m/>
    <n v="211"/>
    <n v="211"/>
    <x v="1"/>
    <s v="KMSS"/>
    <x v="7"/>
    <x v="0"/>
    <d v="2015-06-30T00:00:00"/>
    <s v="SCI"/>
    <d v="2015-06-30T00:00:00"/>
    <s v="Focal NGO"/>
    <x v="0"/>
    <n v="0"/>
    <n v="0"/>
    <s v="No"/>
    <n v="0"/>
    <n v="0"/>
    <n v="9000"/>
    <n v="0"/>
    <n v="0"/>
    <n v="1"/>
    <n v="211"/>
    <n v="1"/>
    <n v="211"/>
    <n v="1"/>
    <n v="211"/>
    <x v="0"/>
    <n v="0"/>
    <n v="0"/>
    <n v="0.52749999999999997"/>
    <n v="0"/>
    <n v="0"/>
    <n v="1"/>
    <n v="211"/>
    <m/>
    <n v="6"/>
    <n v="6"/>
    <n v="0"/>
    <x v="2"/>
    <n v="0.56872037914691942"/>
    <n v="120"/>
    <n v="0.56872037914691942"/>
    <n v="120"/>
    <n v="0"/>
    <n v="0"/>
    <n v="0"/>
    <n v="0.57299999999999995"/>
    <n v="120.90299999999999"/>
    <n v="10.55"/>
    <n v="2"/>
    <x v="0"/>
    <n v="0.94786729857819907"/>
    <n v="200"/>
    <n v="0.10999999999999988"/>
    <n v="0.95"/>
    <n v="200.45"/>
    <n v="0"/>
    <n v="0"/>
    <n v="2.11"/>
    <n v="0"/>
    <m/>
    <d v="2014-12-23T00:00:00"/>
    <d v="2015-12-23T00:00:00"/>
    <n v="0"/>
    <n v="0"/>
    <n v="0"/>
    <n v="1"/>
    <n v="211"/>
    <x v="2"/>
    <m/>
    <n v="0.2"/>
    <n v="42.2"/>
    <n v="0"/>
    <s v="No coverage"/>
    <n v="0"/>
    <x v="1"/>
    <m/>
  </r>
  <r>
    <x v="6"/>
    <s v="MMR001CMP126"/>
    <x v="3"/>
    <x v="146"/>
    <n v="97.758769999999998"/>
    <n v="24.255469999999999"/>
    <x v="2"/>
    <x v="1"/>
    <m/>
    <n v="506"/>
    <n v="506"/>
    <x v="1"/>
    <s v="KMSS"/>
    <x v="7"/>
    <x v="0"/>
    <d v="2015-06-30T00:00:00"/>
    <s v="SCI"/>
    <d v="2015-06-30T00:00:00"/>
    <s v="Focal NGO"/>
    <x v="0"/>
    <n v="0"/>
    <n v="0"/>
    <s v="No"/>
    <n v="0"/>
    <n v="0"/>
    <n v="24300"/>
    <n v="0"/>
    <n v="0"/>
    <n v="1"/>
    <n v="506"/>
    <n v="1"/>
    <n v="506"/>
    <n v="1"/>
    <n v="506"/>
    <x v="0"/>
    <n v="0"/>
    <n v="0"/>
    <n v="1.2649999999999999"/>
    <n v="0"/>
    <n v="0"/>
    <n v="1"/>
    <n v="506"/>
    <m/>
    <n v="14"/>
    <n v="6"/>
    <n v="16"/>
    <x v="2"/>
    <n v="0.86956521739130432"/>
    <n v="440"/>
    <n v="0.23715415019762842"/>
    <n v="119.99999999999999"/>
    <n v="0.6324110671936759"/>
    <n v="320"/>
    <n v="0"/>
    <n v="0.873"/>
    <n v="441.738"/>
    <n v="9.3000000000000007"/>
    <n v="1"/>
    <x v="0"/>
    <n v="0.19762845849802371"/>
    <n v="100"/>
    <n v="4.0599999999999996"/>
    <n v="0.28999999999999998"/>
    <n v="146.73999999999998"/>
    <n v="2"/>
    <n v="0.39525691699604742"/>
    <n v="3.0599999999999996"/>
    <n v="0.4"/>
    <m/>
    <d v="2014-12-23T00:00:00"/>
    <d v="2015-12-23T00:00:00"/>
    <n v="0"/>
    <n v="0"/>
    <n v="0"/>
    <n v="1"/>
    <n v="506"/>
    <x v="2"/>
    <m/>
    <n v="0.2"/>
    <n v="101.2"/>
    <n v="2"/>
    <s v="Excellent coverage"/>
    <n v="0"/>
    <x v="1"/>
    <m/>
  </r>
  <r>
    <x v="6"/>
    <s v="MMR001CMP126"/>
    <x v="3"/>
    <x v="147"/>
    <n v="97.740570000000005"/>
    <n v="24.266819999999999"/>
    <x v="2"/>
    <x v="1"/>
    <m/>
    <n v="333"/>
    <n v="333"/>
    <x v="1"/>
    <s v="KMSS"/>
    <x v="7"/>
    <x v="0"/>
    <d v="2015-06-30T00:00:00"/>
    <s v="SCI"/>
    <d v="2015-06-30T00:00:00"/>
    <s v="Focal NGO"/>
    <x v="0"/>
    <n v="0"/>
    <n v="0"/>
    <s v="No"/>
    <n v="0"/>
    <n v="0"/>
    <n v="8640"/>
    <n v="0"/>
    <n v="0"/>
    <n v="1"/>
    <n v="333"/>
    <n v="1"/>
    <n v="333"/>
    <n v="1"/>
    <n v="333"/>
    <x v="0"/>
    <n v="0"/>
    <n v="0"/>
    <n v="0.83250000000000002"/>
    <n v="0"/>
    <n v="0"/>
    <n v="1"/>
    <n v="333"/>
    <m/>
    <n v="23"/>
    <n v="0"/>
    <n v="27"/>
    <x v="1"/>
    <n v="1"/>
    <n v="333"/>
    <n v="0"/>
    <n v="0"/>
    <n v="1"/>
    <n v="333"/>
    <n v="0"/>
    <n v="1"/>
    <n v="333"/>
    <n v="0"/>
    <n v="4"/>
    <x v="2"/>
    <n v="1"/>
    <n v="333"/>
    <n v="0"/>
    <n v="1"/>
    <n v="333"/>
    <n v="4"/>
    <n v="1"/>
    <n v="0"/>
    <n v="1"/>
    <m/>
    <d v="2014-12-23T00:00:00"/>
    <d v="2015-12-23T00:00:00"/>
    <n v="0"/>
    <n v="0"/>
    <n v="0"/>
    <n v="1"/>
    <n v="333"/>
    <x v="2"/>
    <m/>
    <n v="0.2"/>
    <n v="66.600000000000009"/>
    <n v="2"/>
    <s v="Excellent coverage"/>
    <n v="0"/>
    <x v="1"/>
    <m/>
  </r>
  <r>
    <x v="6"/>
    <s v="MMR001CMP126"/>
    <x v="3"/>
    <x v="148"/>
    <n v="97.758769999999998"/>
    <n v="24.255469999999999"/>
    <x v="1"/>
    <x v="1"/>
    <n v="78"/>
    <n v="326"/>
    <n v="326"/>
    <x v="0"/>
    <s v="KMSS"/>
    <x v="7"/>
    <x v="0"/>
    <d v="2015-06-30T00:00:00"/>
    <s v="SCI"/>
    <d v="2015-06-30T00:00:00"/>
    <s v="Focal NGO"/>
    <x v="0"/>
    <n v="0"/>
    <n v="0"/>
    <s v="No"/>
    <n v="0"/>
    <n v="0"/>
    <n v="10631"/>
    <n v="0"/>
    <n v="0"/>
    <n v="1"/>
    <n v="326"/>
    <n v="1"/>
    <n v="326"/>
    <n v="1"/>
    <n v="326"/>
    <x v="0"/>
    <n v="0"/>
    <n v="0"/>
    <n v="0.81499999999999995"/>
    <n v="0"/>
    <n v="0"/>
    <n v="1"/>
    <n v="326"/>
    <m/>
    <n v="78"/>
    <n v="78"/>
    <n v="0"/>
    <x v="2"/>
    <n v="1"/>
    <n v="326"/>
    <n v="1"/>
    <n v="326"/>
    <n v="0"/>
    <n v="0"/>
    <n v="0"/>
    <n v="1"/>
    <n v="326"/>
    <n v="16.3"/>
    <n v="0"/>
    <x v="1"/>
    <n v="0"/>
    <n v="0"/>
    <n v="3.26"/>
    <n v="0"/>
    <n v="0"/>
    <n v="0"/>
    <n v="0"/>
    <n v="3.26"/>
    <n v="0"/>
    <m/>
    <d v="2014-12-23T00:00:00"/>
    <d v="2015-12-23T00:00:00"/>
    <n v="78"/>
    <n v="0"/>
    <n v="0"/>
    <n v="1"/>
    <n v="326"/>
    <x v="2"/>
    <m/>
    <n v="0"/>
    <n v="0"/>
    <n v="0"/>
    <s v="No coverage"/>
    <n v="0"/>
    <x v="2"/>
    <m/>
  </r>
  <r>
    <x v="10"/>
    <s v="MMR001CMP230"/>
    <x v="7"/>
    <x v="149"/>
    <n v="97.590767"/>
    <n v="23.829599000000002"/>
    <x v="0"/>
    <x v="0"/>
    <n v="114"/>
    <n v="516"/>
    <n v="516"/>
    <x v="0"/>
    <s v="KBC"/>
    <x v="4"/>
    <x v="0"/>
    <d v="2016-03-31T00:00:00"/>
    <m/>
    <m/>
    <s v="Focal NGO"/>
    <x v="0"/>
    <n v="0"/>
    <n v="0"/>
    <s v="No"/>
    <n v="0"/>
    <n v="0"/>
    <n v="28000"/>
    <n v="0"/>
    <n v="0"/>
    <n v="1"/>
    <n v="516"/>
    <n v="1"/>
    <n v="516"/>
    <n v="1"/>
    <n v="516"/>
    <x v="0"/>
    <n v="0"/>
    <n v="0"/>
    <n v="1.29"/>
    <n v="0"/>
    <n v="0"/>
    <n v="1"/>
    <n v="516"/>
    <s v="Water distribution point(1),Drainage system(1),Over head tank(1)"/>
    <n v="0"/>
    <n v="18"/>
    <n v="13"/>
    <x v="3"/>
    <n v="1"/>
    <n v="516"/>
    <n v="0.49612403100775193"/>
    <n v="256"/>
    <n v="0.50387596899224807"/>
    <n v="260"/>
    <n v="7"/>
    <n v="1"/>
    <n v="516"/>
    <n v="19.8"/>
    <n v="5"/>
    <x v="0"/>
    <n v="0.96899224806201545"/>
    <n v="500"/>
    <n v="0.16000000000000014"/>
    <n v="1"/>
    <n v="516"/>
    <n v="4"/>
    <n v="0.77519379844961245"/>
    <n v="1.1600000000000001"/>
    <n v="0.78"/>
    <s v="land limited to construct more semi-permanent"/>
    <d v="2014-04-12T00:00:00"/>
    <s v="To be realised"/>
    <n v="117"/>
    <n v="3"/>
    <n v="114"/>
    <n v="0"/>
    <n v="0"/>
    <x v="14"/>
    <m/>
    <n v="1"/>
    <n v="516"/>
    <n v="9"/>
    <s v="Excellent coverage"/>
    <n v="0"/>
    <x v="0"/>
    <m/>
  </r>
  <r>
    <x v="10"/>
    <s v="MMR001CMP228"/>
    <x v="7"/>
    <x v="150"/>
    <n v="97.577347000000003"/>
    <n v="23.836462999999998"/>
    <x v="0"/>
    <x v="0"/>
    <n v="121"/>
    <n v="549"/>
    <n v="549"/>
    <x v="0"/>
    <s v="KMSS"/>
    <x v="8"/>
    <x v="0"/>
    <d v="2015-06-30T00:00:00"/>
    <s v="SCI"/>
    <d v="2015-06-30T00:00:00"/>
    <s v="Focal NGO"/>
    <x v="0"/>
    <n v="0"/>
    <n v="0"/>
    <s v="No"/>
    <n v="0"/>
    <n v="0"/>
    <n v="7000"/>
    <n v="0"/>
    <n v="0"/>
    <n v="0.85003035822707962"/>
    <n v="466.66666666666669"/>
    <n v="0.85003035822707962"/>
    <n v="466.66666666666669"/>
    <n v="0.85003035822707962"/>
    <n v="466.66666666666669"/>
    <x v="0"/>
    <n v="0"/>
    <n v="0"/>
    <n v="1.3725000000000001"/>
    <n v="0"/>
    <n v="0"/>
    <n v="1"/>
    <n v="549"/>
    <m/>
    <n v="28"/>
    <n v="24"/>
    <n v="0"/>
    <x v="1"/>
    <n v="0.87431693989071035"/>
    <n v="480"/>
    <n v="0.87431693989071035"/>
    <n v="480"/>
    <n v="0"/>
    <n v="0"/>
    <n v="2"/>
    <n v="0.98"/>
    <n v="538.02"/>
    <n v="29.45"/>
    <n v="2"/>
    <x v="0"/>
    <n v="0.36429872495446264"/>
    <n v="200"/>
    <n v="3.49"/>
    <n v="0.42"/>
    <n v="230.57999999999998"/>
    <n v="4"/>
    <n v="0.72859744990892528"/>
    <n v="1.4900000000000002"/>
    <n v="0.82"/>
    <s v="SCI have plan for hand washing basin &amp; land limited for more hardware construction"/>
    <d v="2015-05-19T00:00:00"/>
    <d v="2016-05-18T00:00:00"/>
    <n v="121"/>
    <n v="12"/>
    <n v="0"/>
    <n v="1"/>
    <n v="549"/>
    <x v="0"/>
    <s v="SCI Hyginen Fully kit distribution at Jaw 2 camp 41 Kits(6.5.15), Bang Lang camp 144 kits (6.5.15)and KBC 2 camp 116 kit(21.5.15). SCI also distribution at Kut Khaing Pan KU camp Household kit 96 kit."/>
    <n v="0.5"/>
    <n v="274.5"/>
    <n v="7"/>
    <s v="Excellent coverage"/>
    <n v="0"/>
    <x v="0"/>
    <m/>
  </r>
  <r>
    <x v="13"/>
    <s v="MMR015CMP213"/>
    <x v="7"/>
    <x v="151"/>
    <n v="97.909217999999996"/>
    <n v="24.005448999999999"/>
    <x v="0"/>
    <x v="0"/>
    <n v="82"/>
    <n v="331"/>
    <n v="331"/>
    <x v="0"/>
    <s v="KBC"/>
    <x v="4"/>
    <x v="0"/>
    <d v="2016-03-31T00:00:00"/>
    <m/>
    <m/>
    <s v="Focal NGO"/>
    <x v="0"/>
    <n v="0"/>
    <n v="0"/>
    <s v="No"/>
    <n v="0"/>
    <n v="0"/>
    <n v="20000"/>
    <n v="1"/>
    <n v="0"/>
    <n v="1"/>
    <n v="331"/>
    <n v="1"/>
    <n v="331"/>
    <n v="1"/>
    <n v="331"/>
    <x v="0"/>
    <n v="0"/>
    <n v="0"/>
    <n v="0.82750000000000001"/>
    <n v="0"/>
    <n v="331"/>
    <n v="1"/>
    <n v="331"/>
    <m/>
    <n v="20"/>
    <n v="20"/>
    <n v="0"/>
    <x v="3"/>
    <n v="1"/>
    <n v="331"/>
    <n v="1"/>
    <n v="331"/>
    <n v="0"/>
    <n v="0"/>
    <n v="3"/>
    <n v="1"/>
    <n v="331"/>
    <n v="19.55"/>
    <n v="4"/>
    <x v="0"/>
    <n v="1"/>
    <n v="331"/>
    <n v="0"/>
    <n v="1"/>
    <n v="331"/>
    <n v="2"/>
    <n v="0.60422960725075525"/>
    <n v="1.31"/>
    <n v="0.7"/>
    <s v="No Plan for Semi permanent latrines construction"/>
    <d v="2015-05-11T00:00:00"/>
    <d v="2016-05-10T00:00:00"/>
    <n v="81"/>
    <n v="1"/>
    <n v="1"/>
    <n v="0.98780487804878048"/>
    <n v="326.96341463414632"/>
    <x v="0"/>
    <m/>
    <n v="0.5"/>
    <n v="165.5"/>
    <n v="2"/>
    <s v="Excellent coverage"/>
    <n v="0"/>
    <x v="0"/>
    <m/>
  </r>
  <r>
    <x v="13"/>
    <s v="MMR015CMP216"/>
    <x v="7"/>
    <x v="152"/>
    <n v="97.911671100000007"/>
    <n v="24.006896999999999"/>
    <x v="0"/>
    <x v="0"/>
    <n v="31"/>
    <n v="127"/>
    <n v="127"/>
    <x v="1"/>
    <s v="KMSS"/>
    <x v="8"/>
    <x v="0"/>
    <d v="2015-06-30T00:00:00"/>
    <s v="SCI"/>
    <d v="2015-06-30T00:00:00"/>
    <s v="Focal NGO"/>
    <x v="0"/>
    <n v="0"/>
    <n v="0"/>
    <s v="No"/>
    <n v="0"/>
    <n v="0"/>
    <n v="5000"/>
    <n v="0.6"/>
    <n v="0"/>
    <n v="1"/>
    <n v="127"/>
    <n v="1"/>
    <n v="127"/>
    <n v="1"/>
    <n v="127"/>
    <x v="0"/>
    <n v="0"/>
    <n v="0"/>
    <n v="0.3175"/>
    <n v="0"/>
    <n v="76.2"/>
    <n v="1"/>
    <n v="127"/>
    <m/>
    <n v="10"/>
    <n v="10"/>
    <n v="3"/>
    <x v="1"/>
    <n v="1"/>
    <n v="127"/>
    <n v="0.52755905511811019"/>
    <n v="67"/>
    <n v="0.47244094488188976"/>
    <n v="60"/>
    <n v="2"/>
    <n v="1"/>
    <n v="127"/>
    <n v="5.35"/>
    <n v="2"/>
    <x v="0"/>
    <n v="1"/>
    <n v="127"/>
    <n v="0"/>
    <n v="1"/>
    <n v="127"/>
    <n v="0"/>
    <n v="0"/>
    <n v="1.27"/>
    <n v="0"/>
    <s v="No Plan for Semi permanent latrines construction"/>
    <d v="2014-05-17T00:00:00"/>
    <s v="To be realised"/>
    <n v="80"/>
    <n v="9"/>
    <n v="31"/>
    <n v="0"/>
    <n v="0"/>
    <x v="16"/>
    <s v="Metta will fill gap of fully Hygiene"/>
    <n v="0.5"/>
    <n v="63.5"/>
    <n v="1"/>
    <s v="Excellent coverage"/>
    <n v="0"/>
    <x v="0"/>
    <m/>
  </r>
  <r>
    <x v="10"/>
    <s v="MMR001CMP133"/>
    <x v="7"/>
    <x v="153"/>
    <n v="97.587900000000005"/>
    <n v="23.83"/>
    <x v="0"/>
    <x v="0"/>
    <n v="115"/>
    <n v="680"/>
    <n v="680"/>
    <x v="0"/>
    <s v="KBC"/>
    <x v="8"/>
    <x v="0"/>
    <d v="2015-06-30T00:00:00"/>
    <s v="SCI"/>
    <d v="2015-06-30T00:00:00"/>
    <s v="Focal NGO"/>
    <x v="0"/>
    <n v="0"/>
    <n v="0"/>
    <s v="No"/>
    <n v="0"/>
    <n v="1"/>
    <n v="14063"/>
    <n v="0.71"/>
    <n v="0"/>
    <n v="1"/>
    <n v="680"/>
    <n v="1"/>
    <n v="680"/>
    <n v="1"/>
    <n v="680"/>
    <x v="0"/>
    <n v="0"/>
    <n v="0"/>
    <n v="0.7"/>
    <n v="0"/>
    <n v="482.79999999999995"/>
    <n v="1"/>
    <n v="680"/>
    <m/>
    <n v="8"/>
    <n v="0"/>
    <n v="16"/>
    <x v="0"/>
    <n v="0.47058823529411764"/>
    <n v="320"/>
    <n v="0"/>
    <n v="0"/>
    <n v="0.47058823529411764"/>
    <n v="320"/>
    <n v="0"/>
    <n v="0.47"/>
    <n v="319.59999999999997"/>
    <n v="18"/>
    <n v="2"/>
    <x v="2"/>
    <n v="0.29411764705882354"/>
    <n v="200"/>
    <n v="4.8"/>
    <n v="0.3"/>
    <n v="204"/>
    <n v="4"/>
    <n v="0.58823529411764708"/>
    <n v="2.8"/>
    <n v="0.72"/>
    <s v="Land issuse for latrines coverage"/>
    <d v="2014-12-10T00:00:00"/>
    <d v="2015-12-10T00:00:00"/>
    <n v="115"/>
    <n v="12"/>
    <n v="0"/>
    <n v="1"/>
    <n v="680"/>
    <x v="0"/>
    <m/>
    <n v="0.5"/>
    <n v="340"/>
    <n v="6"/>
    <s v="Excellent coverage"/>
    <n v="0"/>
    <x v="0"/>
    <m/>
  </r>
  <r>
    <x v="10"/>
    <s v="MMR001CMP132"/>
    <x v="7"/>
    <x v="154"/>
    <n v="97.596000000000004"/>
    <n v="23.831"/>
    <x v="0"/>
    <x v="0"/>
    <n v="506"/>
    <n v="2374"/>
    <n v="2374"/>
    <x v="3"/>
    <s v="KMSS"/>
    <x v="8"/>
    <x v="0"/>
    <d v="2015-06-30T00:00:00"/>
    <s v="SCI"/>
    <d v="2015-06-30T00:00:00"/>
    <s v="Focal NGO"/>
    <x v="0"/>
    <n v="0"/>
    <n v="0"/>
    <s v="No"/>
    <n v="2"/>
    <n v="1"/>
    <n v="43140"/>
    <n v="0.28000000000000003"/>
    <n v="0"/>
    <n v="1"/>
    <n v="2374"/>
    <n v="1"/>
    <n v="2374"/>
    <n v="1"/>
    <n v="2374"/>
    <x v="0"/>
    <n v="0"/>
    <n v="0"/>
    <n v="2.9349999999999996"/>
    <n v="0"/>
    <n v="664.72"/>
    <n v="1"/>
    <n v="2374"/>
    <m/>
    <n v="65"/>
    <n v="65"/>
    <n v="58"/>
    <x v="0"/>
    <n v="1"/>
    <n v="2374"/>
    <n v="0.51137320977253586"/>
    <n v="1214.0000000000002"/>
    <n v="0.48862679022746419"/>
    <n v="1160"/>
    <n v="18"/>
    <n v="1"/>
    <n v="2374"/>
    <n v="78.7"/>
    <n v="8"/>
    <x v="1"/>
    <n v="0.33698399326032014"/>
    <n v="800"/>
    <n v="15.739999999999998"/>
    <n v="0.4"/>
    <n v="949.6"/>
    <n v="10"/>
    <n v="0.42122999157540014"/>
    <n v="13.739999999999998"/>
    <n v="0.49"/>
    <s v="some semi-latrines have closed by CMC to manage latrines usage"/>
    <d v="2014-12-10T00:00:00"/>
    <d v="2015-12-10T00:00:00"/>
    <n v="477"/>
    <n v="13"/>
    <n v="29"/>
    <n v="0.94268774703557312"/>
    <n v="2237.9407114624505"/>
    <x v="0"/>
    <s v="18 hygiene kit distribution on (31.3.15) new arrived IDPs, 205 HH of host family already distributed basic hygiene "/>
    <n v="0.5"/>
    <n v="1187"/>
    <n v="19"/>
    <s v="Excellent coverage"/>
    <n v="0"/>
    <x v="0"/>
    <m/>
  </r>
  <r>
    <x v="14"/>
    <s v="MMR015CMP004"/>
    <x v="7"/>
    <x v="155"/>
    <n v="97.681920000000005"/>
    <n v="23.821317000000001"/>
    <x v="0"/>
    <x v="0"/>
    <n v="77"/>
    <n v="324"/>
    <n v="324"/>
    <x v="0"/>
    <s v="KBC"/>
    <x v="8"/>
    <x v="0"/>
    <d v="2015-06-30T00:00:00"/>
    <s v="SCI"/>
    <d v="2015-06-30T00:00:00"/>
    <s v="Focal NGO"/>
    <x v="0"/>
    <n v="0"/>
    <n v="0"/>
    <s v="No"/>
    <n v="0"/>
    <n v="0"/>
    <n v="72000"/>
    <n v="1"/>
    <n v="0"/>
    <n v="1"/>
    <n v="324"/>
    <n v="1"/>
    <n v="324"/>
    <n v="1"/>
    <n v="324"/>
    <x v="0"/>
    <n v="0"/>
    <n v="0"/>
    <n v="0.81"/>
    <n v="0"/>
    <n v="324"/>
    <n v="1"/>
    <n v="324"/>
    <m/>
    <n v="17"/>
    <n v="16"/>
    <n v="0"/>
    <x v="1"/>
    <n v="0.98765432098765427"/>
    <n v="320"/>
    <n v="0.98765432098765427"/>
    <n v="320"/>
    <n v="0"/>
    <n v="0"/>
    <n v="1"/>
    <n v="0.99"/>
    <n v="320.76"/>
    <n v="17.2"/>
    <n v="2"/>
    <x v="1"/>
    <n v="0.61728395061728392"/>
    <n v="200"/>
    <n v="1.2400000000000002"/>
    <n v="0.63"/>
    <n v="204.12"/>
    <n v="4"/>
    <n v="1"/>
    <n v="0"/>
    <n v="1"/>
    <s v="SCI have plan for hand washing basin &amp; land limited for more hardware construction"/>
    <d v="2014-12-10T00:00:00"/>
    <d v="2015-12-10T00:00:00"/>
    <n v="77"/>
    <n v="17"/>
    <n v="0"/>
    <n v="1"/>
    <n v="324"/>
    <x v="0"/>
    <m/>
    <n v="0.75"/>
    <n v="243"/>
    <n v="3"/>
    <s v="Excellent coverage"/>
    <n v="0"/>
    <x v="1"/>
    <m/>
  </r>
  <r>
    <x v="14"/>
    <s v="MMR015CMP001"/>
    <x v="7"/>
    <x v="156"/>
    <n v="97.683499999999995"/>
    <n v="23.831700000000001"/>
    <x v="0"/>
    <x v="0"/>
    <n v="71"/>
    <n v="379"/>
    <n v="379"/>
    <x v="0"/>
    <s v="KBC"/>
    <x v="8"/>
    <x v="0"/>
    <d v="2015-06-30T00:00:00"/>
    <s v="SCI"/>
    <d v="2015-06-30T00:00:00"/>
    <s v="Focal NGO"/>
    <x v="0"/>
    <n v="0"/>
    <n v="0"/>
    <s v="No"/>
    <n v="0"/>
    <n v="0"/>
    <n v="15200"/>
    <n v="0"/>
    <n v="0"/>
    <n v="1"/>
    <n v="379"/>
    <n v="1"/>
    <n v="379"/>
    <n v="1"/>
    <n v="379"/>
    <x v="0"/>
    <n v="0"/>
    <n v="0"/>
    <n v="0.94750000000000001"/>
    <n v="0"/>
    <n v="0"/>
    <n v="1"/>
    <n v="379"/>
    <m/>
    <n v="0"/>
    <n v="0"/>
    <n v="10"/>
    <x v="1"/>
    <n v="0.52770448548812665"/>
    <n v="200"/>
    <n v="0"/>
    <n v="0"/>
    <n v="0.52770448548812665"/>
    <n v="200"/>
    <n v="3"/>
    <n v="0.53"/>
    <n v="200.87"/>
    <n v="11.95"/>
    <n v="2"/>
    <x v="0"/>
    <n v="0.52770448548812665"/>
    <n v="200"/>
    <n v="1.79"/>
    <n v="0.53"/>
    <n v="200.87"/>
    <n v="2"/>
    <n v="0.52770448548812665"/>
    <n v="1.79"/>
    <n v="1"/>
    <s v="Land limited for hardward construciton"/>
    <d v="2014-12-10T00:00:00"/>
    <d v="2015-12-10T00:00:00"/>
    <n v="73"/>
    <n v="17"/>
    <n v="0"/>
    <n v="1"/>
    <n v="379"/>
    <x v="0"/>
    <m/>
    <n v="0.9"/>
    <n v="341.1"/>
    <n v="5"/>
    <s v="Excellent coverage"/>
    <n v="0"/>
    <x v="2"/>
    <s v="need to follow up WASH committee situation within coming cluster meeting"/>
  </r>
  <r>
    <x v="14"/>
    <s v="MMR015CMP003"/>
    <x v="7"/>
    <x v="157"/>
    <n v="97.685199999999995"/>
    <n v="23.833100000000002"/>
    <x v="0"/>
    <x v="0"/>
    <n v="55"/>
    <n v="234"/>
    <n v="212"/>
    <x v="0"/>
    <s v="KMSS"/>
    <x v="8"/>
    <x v="0"/>
    <d v="2015-06-30T00:00:00"/>
    <s v="SCI"/>
    <d v="2015-06-30T00:00:00"/>
    <s v="Focal NGO"/>
    <x v="0"/>
    <n v="0"/>
    <n v="0"/>
    <s v="No"/>
    <n v="1"/>
    <n v="0"/>
    <n v="35500"/>
    <n v="0.8"/>
    <n v="0"/>
    <n v="1"/>
    <n v="212"/>
    <n v="1"/>
    <n v="212"/>
    <n v="1"/>
    <n v="212"/>
    <x v="0"/>
    <n v="0"/>
    <n v="0"/>
    <n v="0"/>
    <n v="0"/>
    <n v="169.60000000000002"/>
    <n v="1"/>
    <n v="212"/>
    <m/>
    <n v="0"/>
    <n v="0"/>
    <n v="15"/>
    <x v="1"/>
    <n v="1"/>
    <n v="212"/>
    <n v="0"/>
    <n v="0"/>
    <n v="1"/>
    <n v="212"/>
    <n v="3"/>
    <n v="1"/>
    <n v="212"/>
    <n v="0"/>
    <n v="2"/>
    <x v="0"/>
    <n v="0.94339622641509435"/>
    <n v="200"/>
    <n v="0.33999999999999986"/>
    <n v="0.85"/>
    <n v="180.2"/>
    <n v="0"/>
    <n v="0"/>
    <n v="2.34"/>
    <n v="1"/>
    <s v="SCI have plan for hand washing basin"/>
    <d v="2014-12-10T00:00:00"/>
    <d v="2015-12-10T00:00:00"/>
    <n v="53"/>
    <n v="17"/>
    <n v="2"/>
    <n v="0.96363636363636362"/>
    <n v="204.29090909090908"/>
    <x v="0"/>
    <m/>
    <n v="0.5"/>
    <n v="106"/>
    <n v="3"/>
    <s v="Excellent coverage"/>
    <n v="0"/>
    <x v="2"/>
    <s v="need to follow up WASH committee situation within coming cluster meeting"/>
  </r>
  <r>
    <x v="13"/>
    <s v="MMR015CMP139"/>
    <x v="7"/>
    <x v="158"/>
    <n v="98.132779999999997"/>
    <n v="23.951699999999999"/>
    <x v="0"/>
    <x v="0"/>
    <n v="10"/>
    <n v="48"/>
    <n v="48"/>
    <x v="1"/>
    <s v="KBC"/>
    <x v="4"/>
    <x v="0"/>
    <d v="2016-03-31T00:00:00"/>
    <m/>
    <m/>
    <s v="Not documented"/>
    <x v="1"/>
    <n v="0"/>
    <n v="0"/>
    <s v="No"/>
    <n v="0"/>
    <n v="0"/>
    <n v="0"/>
    <n v="1"/>
    <n v="0"/>
    <n v="0"/>
    <n v="0"/>
    <n v="0"/>
    <n v="0"/>
    <n v="0"/>
    <n v="0"/>
    <x v="1"/>
    <n v="0"/>
    <n v="0"/>
    <n v="0.12"/>
    <n v="0"/>
    <n v="48"/>
    <n v="1"/>
    <n v="48"/>
    <s v="The GFS is currently out of use"/>
    <n v="5"/>
    <n v="3"/>
    <n v="0"/>
    <x v="2"/>
    <n v="1"/>
    <n v="48"/>
    <n v="1"/>
    <n v="48"/>
    <n v="0"/>
    <n v="0"/>
    <n v="0"/>
    <n v="1"/>
    <n v="48"/>
    <n v="2.4"/>
    <n v="1"/>
    <x v="1"/>
    <n v="1"/>
    <n v="48"/>
    <n v="0"/>
    <n v="1"/>
    <n v="48"/>
    <n v="0"/>
    <n v="0"/>
    <n v="0.48"/>
    <n v="0.8"/>
    <m/>
    <d v="2015-05-01T00:00:00"/>
    <d v="2016-04-30T00:00:00"/>
    <n v="10"/>
    <n v="10"/>
    <n v="0"/>
    <n v="1"/>
    <n v="48"/>
    <x v="0"/>
    <m/>
    <n v="0"/>
    <n v="0"/>
    <n v="0"/>
    <s v="No coverage"/>
    <n v="0"/>
    <x v="0"/>
    <m/>
  </r>
  <r>
    <x v="14"/>
    <s v="MMR015CMP215"/>
    <x v="7"/>
    <x v="159"/>
    <n v="97.709548999999996"/>
    <n v="23.838459"/>
    <x v="0"/>
    <x v="0"/>
    <n v="140"/>
    <n v="580"/>
    <n v="580"/>
    <x v="0"/>
    <s v="KBC"/>
    <x v="4"/>
    <x v="0"/>
    <d v="2016-03-31T00:00:00"/>
    <m/>
    <m/>
    <s v="Focal NGO"/>
    <x v="0"/>
    <n v="0"/>
    <n v="0"/>
    <s v="No"/>
    <n v="0"/>
    <n v="0"/>
    <n v="35000"/>
    <n v="1"/>
    <n v="0"/>
    <n v="1"/>
    <n v="580"/>
    <n v="1"/>
    <n v="580"/>
    <n v="1"/>
    <n v="580"/>
    <x v="0"/>
    <n v="0"/>
    <n v="0"/>
    <n v="1.45"/>
    <n v="0"/>
    <n v="580"/>
    <n v="1"/>
    <n v="580"/>
    <s v="Metta plan,Drainage system(1)"/>
    <n v="21"/>
    <n v="13"/>
    <n v="18"/>
    <x v="1"/>
    <n v="1"/>
    <n v="580"/>
    <n v="0.37931034482758619"/>
    <n v="220"/>
    <n v="0.62068965517241381"/>
    <n v="360"/>
    <n v="2"/>
    <n v="1"/>
    <n v="580"/>
    <n v="13"/>
    <n v="6"/>
    <x v="0"/>
    <n v="1"/>
    <n v="580"/>
    <n v="0"/>
    <n v="1"/>
    <n v="580"/>
    <n v="8"/>
    <n v="1"/>
    <n v="0"/>
    <n v="1"/>
    <s v="land limited to construct more semi-permanent"/>
    <d v="2015-05-01T00:00:00"/>
    <d v="2016-04-30T00:00:00"/>
    <n v="141"/>
    <n v="5"/>
    <n v="0"/>
    <n v="1"/>
    <n v="580"/>
    <x v="0"/>
    <s v="Basic Hygiene kits already distributed by SCI and Overlappin with SCI"/>
    <n v="0.2"/>
    <n v="116"/>
    <n v="7"/>
    <s v="Excellent coverage"/>
    <n v="0"/>
    <x v="0"/>
    <m/>
  </r>
  <r>
    <x v="14"/>
    <s v="MMR015CMP214"/>
    <x v="7"/>
    <x v="160"/>
    <n v="97.701576000000003"/>
    <n v="23.842051000000001"/>
    <x v="0"/>
    <x v="0"/>
    <n v="41"/>
    <n v="218"/>
    <n v="218"/>
    <x v="1"/>
    <s v="KBC"/>
    <x v="4"/>
    <x v="0"/>
    <d v="2016-03-31T00:00:00"/>
    <m/>
    <m/>
    <s v="Focal NGO"/>
    <x v="0"/>
    <n v="0"/>
    <n v="0"/>
    <s v="No"/>
    <n v="0"/>
    <n v="0"/>
    <n v="7000"/>
    <n v="1"/>
    <n v="0"/>
    <n v="1"/>
    <n v="218"/>
    <n v="1"/>
    <n v="218"/>
    <n v="1"/>
    <n v="218"/>
    <x v="0"/>
    <n v="0"/>
    <n v="0"/>
    <n v="0.54500000000000004"/>
    <n v="0"/>
    <n v="218"/>
    <n v="1"/>
    <n v="218"/>
    <s v="Metta plan,Drainage system(1)"/>
    <n v="10"/>
    <n v="10"/>
    <n v="0"/>
    <x v="1"/>
    <n v="0.91743119266055051"/>
    <n v="200"/>
    <n v="0.91743119266055051"/>
    <n v="200"/>
    <n v="0"/>
    <n v="0"/>
    <n v="2"/>
    <n v="1"/>
    <n v="218"/>
    <n v="12.9"/>
    <n v="3"/>
    <x v="0"/>
    <n v="1"/>
    <n v="218"/>
    <n v="0"/>
    <n v="1"/>
    <n v="218"/>
    <n v="4"/>
    <n v="1"/>
    <n v="0"/>
    <n v="1"/>
    <s v="land limited to construct more semi-permanent"/>
    <d v="2015-05-01T00:00:00"/>
    <d v="2016-04-30T00:00:00"/>
    <n v="59"/>
    <n v="5"/>
    <n v="0"/>
    <n v="1"/>
    <n v="218"/>
    <x v="0"/>
    <s v="Basic Hygiene kits already distributed by SCI and Overlappin with SCI"/>
    <n v="1"/>
    <n v="218"/>
    <n v="3"/>
    <s v="Excellent coverage"/>
    <n v="0"/>
    <x v="0"/>
    <m/>
  </r>
  <r>
    <x v="15"/>
    <s v="MMR015CMP015"/>
    <x v="8"/>
    <x v="161"/>
    <n v="97.848529999999997"/>
    <n v="23.4008"/>
    <x v="0"/>
    <x v="0"/>
    <n v="85"/>
    <n v="325"/>
    <n v="325"/>
    <x v="0"/>
    <s v="KBC"/>
    <x v="4"/>
    <x v="0"/>
    <d v="2016-03-31T00:00:00"/>
    <m/>
    <m/>
    <s v="Focal NGO"/>
    <x v="0"/>
    <n v="0"/>
    <n v="0"/>
    <s v="No"/>
    <n v="1"/>
    <n v="0"/>
    <n v="86400"/>
    <n v="1"/>
    <n v="0"/>
    <n v="1"/>
    <n v="325"/>
    <n v="1"/>
    <n v="325"/>
    <n v="1"/>
    <n v="325"/>
    <x v="0"/>
    <n v="0"/>
    <n v="0"/>
    <n v="0"/>
    <n v="0"/>
    <n v="325"/>
    <n v="1"/>
    <n v="325"/>
    <m/>
    <n v="138"/>
    <n v="86"/>
    <n v="0"/>
    <x v="1"/>
    <n v="1"/>
    <n v="325"/>
    <n v="1"/>
    <n v="325"/>
    <n v="0"/>
    <n v="0"/>
    <n v="2"/>
    <n v="1"/>
    <n v="325"/>
    <n v="18.25"/>
    <n v="1"/>
    <x v="1"/>
    <n v="0.30769230769230771"/>
    <n v="100"/>
    <n v="2.25"/>
    <n v="0.31"/>
    <n v="100.75"/>
    <n v="0"/>
    <n v="0"/>
    <n v="3.25"/>
    <n v="0.7"/>
    <s v="MDCG supported WASH-Shelter as HH level (no need to construct semi-parmanent)"/>
    <d v="2015-05-01T00:00:00"/>
    <d v="2016-04-30T00:00:00"/>
    <n v="82"/>
    <n v="5"/>
    <n v="3"/>
    <n v="0.96470588235294119"/>
    <n v="313.52941176470591"/>
    <x v="0"/>
    <m/>
    <n v="0.25"/>
    <n v="81.25"/>
    <n v="3"/>
    <s v="Excellent coverage"/>
    <n v="0"/>
    <x v="2"/>
    <m/>
  </r>
  <r>
    <x v="15"/>
    <s v="MMR015CMP016"/>
    <x v="8"/>
    <x v="162"/>
    <n v="97.926813999999993"/>
    <n v="23.450914000000001"/>
    <x v="0"/>
    <x v="0"/>
    <n v="63"/>
    <n v="296"/>
    <n v="296"/>
    <x v="0"/>
    <s v="KBC"/>
    <x v="4"/>
    <x v="0"/>
    <d v="2016-03-31T00:00:00"/>
    <m/>
    <m/>
    <s v="Focal NGO"/>
    <x v="0"/>
    <n v="0"/>
    <n v="0"/>
    <s v="No"/>
    <n v="1"/>
    <n v="0"/>
    <n v="2000"/>
    <n v="1"/>
    <n v="0"/>
    <n v="1"/>
    <n v="296"/>
    <n v="1"/>
    <n v="296"/>
    <n v="1"/>
    <n v="296"/>
    <x v="0"/>
    <n v="0"/>
    <n v="0"/>
    <n v="0"/>
    <n v="0"/>
    <n v="296"/>
    <n v="1"/>
    <n v="296"/>
    <m/>
    <n v="15"/>
    <n v="6"/>
    <n v="0"/>
    <x v="2"/>
    <n v="0.40540540540540543"/>
    <n v="120"/>
    <n v="0.40540540540540543"/>
    <n v="120"/>
    <n v="0"/>
    <n v="0"/>
    <n v="3"/>
    <n v="0.65"/>
    <n v="192.4"/>
    <n v="17.8"/>
    <n v="2"/>
    <x v="1"/>
    <n v="0.67567567567567566"/>
    <n v="200"/>
    <n v="0.96"/>
    <n v="0.68"/>
    <n v="201.28"/>
    <n v="2"/>
    <n v="0.67567567567567566"/>
    <n v="0.96"/>
    <n v="0.86"/>
    <s v="land limited to construct more semi-permanent"/>
    <d v="2012-10-01T00:00:00"/>
    <s v="To be realised"/>
    <n v="84"/>
    <n v="2"/>
    <n v="63"/>
    <n v="0"/>
    <n v="0"/>
    <x v="17"/>
    <m/>
    <n v="0.3"/>
    <n v="88.8"/>
    <n v="2"/>
    <s v="Excellent coverage"/>
    <n v="0"/>
    <x v="0"/>
    <m/>
  </r>
  <r>
    <x v="15"/>
    <s v="MMR015CMP017"/>
    <x v="8"/>
    <x v="163"/>
    <n v="97.947360000000003"/>
    <n v="23.460349999999998"/>
    <x v="0"/>
    <x v="0"/>
    <n v="34"/>
    <n v="150"/>
    <n v="150"/>
    <x v="1"/>
    <s v="KMSS"/>
    <x v="2"/>
    <x v="0"/>
    <d v="2015-12-31T00:00:00"/>
    <m/>
    <m/>
    <s v="Focal NGO"/>
    <x v="0"/>
    <n v="0"/>
    <n v="0"/>
    <s v="No"/>
    <n v="1"/>
    <n v="0"/>
    <n v="10960"/>
    <n v="1"/>
    <n v="0"/>
    <n v="1"/>
    <n v="150"/>
    <n v="1"/>
    <n v="150"/>
    <n v="1"/>
    <n v="150"/>
    <x v="0"/>
    <n v="0"/>
    <n v="0"/>
    <n v="0"/>
    <n v="0"/>
    <n v="150"/>
    <n v="1"/>
    <n v="150"/>
    <s v="KMSS have a plan to distrbute CWF filter"/>
    <n v="10"/>
    <n v="0"/>
    <n v="8"/>
    <x v="1"/>
    <n v="1"/>
    <n v="150"/>
    <n v="0"/>
    <n v="0"/>
    <n v="1"/>
    <n v="150"/>
    <n v="2"/>
    <n v="1"/>
    <n v="150"/>
    <n v="1.5"/>
    <n v="2"/>
    <x v="0"/>
    <n v="1"/>
    <n v="150"/>
    <n v="0"/>
    <n v="1"/>
    <n v="150"/>
    <n v="0"/>
    <n v="0"/>
    <n v="1.5"/>
    <n v="0"/>
    <s v="Emergency Latrines need to renovate"/>
    <m/>
    <s v="To be realised"/>
    <n v="0"/>
    <n v="3"/>
    <n v="34"/>
    <n v="0"/>
    <n v="0"/>
    <x v="5"/>
    <s v=" KMSS will distribute Hugiene kit"/>
    <n v="0"/>
    <n v="0"/>
    <n v="2"/>
    <s v="Excellent coverage"/>
    <n v="0"/>
    <x v="0"/>
    <m/>
  </r>
  <r>
    <x v="15"/>
    <s v="MMR015CMP018"/>
    <x v="8"/>
    <x v="164"/>
    <n v="97.793306999999999"/>
    <n v="23.589089000000001"/>
    <x v="0"/>
    <x v="0"/>
    <n v="76"/>
    <n v="403"/>
    <n v="403"/>
    <x v="0"/>
    <s v="KBC"/>
    <x v="4"/>
    <x v="0"/>
    <d v="2016-03-31T00:00:00"/>
    <m/>
    <m/>
    <s v="Focal NGO"/>
    <x v="0"/>
    <n v="0"/>
    <n v="0"/>
    <s v="No"/>
    <n v="0"/>
    <n v="0"/>
    <n v="100000"/>
    <n v="1"/>
    <n v="0"/>
    <n v="1"/>
    <n v="403"/>
    <n v="1"/>
    <n v="403"/>
    <n v="1"/>
    <n v="403"/>
    <x v="0"/>
    <n v="0"/>
    <n v="0"/>
    <n v="1.0075000000000001"/>
    <n v="0"/>
    <n v="403"/>
    <n v="1"/>
    <n v="403"/>
    <m/>
    <n v="74"/>
    <n v="74"/>
    <n v="0"/>
    <x v="0"/>
    <n v="1"/>
    <n v="403"/>
    <n v="1"/>
    <n v="403"/>
    <n v="0"/>
    <n v="0"/>
    <n v="2"/>
    <n v="1"/>
    <n v="403"/>
    <n v="22.15"/>
    <n v="0"/>
    <x v="4"/>
    <n v="0"/>
    <n v="0"/>
    <n v="4.03"/>
    <n v="0"/>
    <n v="0"/>
    <n v="0"/>
    <n v="0"/>
    <n v="4.03"/>
    <n v="0.7"/>
    <s v="MDCG + Metta supported WASH-Shelter as HH level (no need to construct semi-parmanent)"/>
    <d v="2015-05-01T00:00:00"/>
    <d v="2016-04-30T00:00:00"/>
    <n v="78"/>
    <n v="5"/>
    <n v="0"/>
    <n v="1"/>
    <n v="403"/>
    <x v="0"/>
    <m/>
    <n v="0"/>
    <n v="0"/>
    <n v="2"/>
    <s v="Excellent coverage"/>
    <n v="0"/>
    <x v="0"/>
    <m/>
  </r>
  <r>
    <x v="15"/>
    <s v="MMR015CMP006"/>
    <x v="8"/>
    <x v="165"/>
    <n v="98.220614999999995"/>
    <n v="23.400155999999999"/>
    <x v="0"/>
    <x v="0"/>
    <n v="45"/>
    <n v="211"/>
    <n v="211"/>
    <x v="1"/>
    <s v="KBC"/>
    <x v="4"/>
    <x v="0"/>
    <d v="2016-03-31T00:00:00"/>
    <m/>
    <m/>
    <s v="Focal NGO"/>
    <x v="0"/>
    <n v="0"/>
    <n v="0"/>
    <s v="No"/>
    <n v="1"/>
    <n v="0"/>
    <n v="0"/>
    <n v="1"/>
    <n v="0"/>
    <n v="1"/>
    <n v="211"/>
    <n v="1"/>
    <n v="211"/>
    <n v="1"/>
    <n v="211"/>
    <x v="0"/>
    <n v="0"/>
    <n v="0"/>
    <n v="0"/>
    <n v="0"/>
    <n v="211"/>
    <n v="1"/>
    <n v="211"/>
    <s v="Meeta plan, Gravity flow (1)"/>
    <n v="49"/>
    <n v="41"/>
    <n v="0"/>
    <x v="0"/>
    <n v="1"/>
    <n v="211"/>
    <n v="1"/>
    <n v="211"/>
    <n v="0"/>
    <n v="0"/>
    <n v="2"/>
    <n v="1"/>
    <n v="211"/>
    <n v="12.55"/>
    <n v="0"/>
    <x v="4"/>
    <n v="0"/>
    <n v="0"/>
    <n v="2.11"/>
    <n v="0"/>
    <n v="0"/>
    <n v="0"/>
    <n v="0"/>
    <n v="2.11"/>
    <n v="0.7"/>
    <s v="MDCG supported WASH-Shelter as HH level (no need to construct semi-parmanent)"/>
    <d v="2015-05-01T00:00:00"/>
    <d v="2016-04-30T00:00:00"/>
    <n v="49"/>
    <n v="5"/>
    <n v="0"/>
    <n v="1"/>
    <n v="211"/>
    <x v="0"/>
    <m/>
    <n v="1"/>
    <n v="211"/>
    <n v="0"/>
    <s v="No coverage"/>
    <n v="0"/>
    <x v="0"/>
    <m/>
  </r>
  <r>
    <x v="15"/>
    <s v="MMR015CMP019"/>
    <x v="8"/>
    <x v="166"/>
    <n v="98.213958000000005"/>
    <n v="23.391741"/>
    <x v="0"/>
    <x v="0"/>
    <n v="67"/>
    <n v="350"/>
    <n v="350"/>
    <x v="0"/>
    <s v="KMSS"/>
    <x v="2"/>
    <x v="0"/>
    <d v="2015-12-31T00:00:00"/>
    <m/>
    <m/>
    <s v="Focal NGO"/>
    <x v="0"/>
    <n v="0"/>
    <n v="0"/>
    <s v="No"/>
    <n v="0"/>
    <n v="0"/>
    <n v="14400"/>
    <n v="1"/>
    <n v="0"/>
    <n v="1"/>
    <n v="350"/>
    <n v="1"/>
    <n v="350"/>
    <n v="1"/>
    <n v="350"/>
    <x v="0"/>
    <n v="0"/>
    <n v="0"/>
    <n v="0.875"/>
    <n v="0"/>
    <n v="350"/>
    <n v="1"/>
    <n v="350"/>
    <s v="KMSS have a plan to distrbute CWF filter"/>
    <n v="12"/>
    <n v="12"/>
    <n v="8"/>
    <x v="1"/>
    <n v="1"/>
    <n v="350"/>
    <n v="0.54285714285714293"/>
    <n v="190.00000000000003"/>
    <n v="0.45714285714285713"/>
    <n v="160"/>
    <n v="2"/>
    <n v="1"/>
    <n v="350"/>
    <n v="11.5"/>
    <n v="2"/>
    <x v="0"/>
    <n v="0.5714285714285714"/>
    <n v="200"/>
    <n v="1.5"/>
    <n v="0.56999999999999995"/>
    <n v="199.49999999999997"/>
    <n v="0"/>
    <n v="0"/>
    <n v="3.5"/>
    <n v="0"/>
    <m/>
    <m/>
    <s v="To be realised"/>
    <n v="0"/>
    <n v="3"/>
    <n v="67"/>
    <n v="0"/>
    <n v="0"/>
    <x v="5"/>
    <s v=" KMSS will distribute Hugiene kit"/>
    <n v="0"/>
    <n v="0"/>
    <n v="2"/>
    <s v="Excellent coverage"/>
    <n v="0"/>
    <x v="0"/>
    <m/>
  </r>
  <r>
    <x v="15"/>
    <s v="MMR015CMP007"/>
    <x v="8"/>
    <x v="167"/>
    <n v="97.819062000000002"/>
    <n v="23.694047000000001"/>
    <x v="0"/>
    <x v="0"/>
    <n v="75"/>
    <n v="269"/>
    <n v="269"/>
    <x v="5"/>
    <s v="KBC"/>
    <x v="4"/>
    <x v="0"/>
    <d v="2016-03-31T00:00:00"/>
    <m/>
    <m/>
    <s v="Focal NGO"/>
    <x v="0"/>
    <n v="0"/>
    <n v="0"/>
    <s v="No"/>
    <n v="0"/>
    <n v="0"/>
    <n v="57600"/>
    <n v="1"/>
    <n v="0"/>
    <n v="1"/>
    <n v="269"/>
    <n v="1"/>
    <n v="269"/>
    <n v="1"/>
    <n v="269"/>
    <x v="0"/>
    <n v="0"/>
    <n v="0"/>
    <n v="0.67249999999999999"/>
    <n v="0"/>
    <n v="269"/>
    <n v="1"/>
    <n v="269"/>
    <m/>
    <n v="9"/>
    <n v="9"/>
    <n v="9"/>
    <x v="0"/>
    <n v="1"/>
    <n v="269"/>
    <n v="0.33085501858736055"/>
    <n v="88.999999999999986"/>
    <n v="0.66914498141263945"/>
    <n v="180"/>
    <n v="4"/>
    <n v="1"/>
    <m/>
    <m/>
    <n v="2"/>
    <x v="1"/>
    <n v="0.74349442379182151"/>
    <n v="200"/>
    <n v="0.69"/>
    <n v="0.75"/>
    <n v="201.75"/>
    <n v="0"/>
    <n v="0"/>
    <n v="2.69"/>
    <n v="0.8"/>
    <s v="community have practice as wash their hand at bathing space near the latrines "/>
    <d v="2015-05-11T00:00:00"/>
    <d v="2016-05-10T00:00:00"/>
    <n v="85"/>
    <n v="2"/>
    <n v="0"/>
    <n v="1"/>
    <n v="269"/>
    <x v="0"/>
    <m/>
    <n v="0.35"/>
    <m/>
    <n v="2"/>
    <s v="Excellent coverage"/>
    <n v="0"/>
    <x v="0"/>
    <m/>
  </r>
  <r>
    <x v="16"/>
    <s v="MMR015CMP207"/>
    <x v="8"/>
    <x v="168"/>
    <n v="98.128"/>
    <n v="23.24"/>
    <x v="0"/>
    <x v="0"/>
    <n v="67"/>
    <n v="392"/>
    <n v="392"/>
    <x v="0"/>
    <s v="Church"/>
    <x v="4"/>
    <x v="0"/>
    <d v="2016-03-31T00:00:00"/>
    <m/>
    <m/>
    <s v="Focal NGO"/>
    <x v="0"/>
    <n v="0"/>
    <n v="0"/>
    <s v="No"/>
    <n v="0"/>
    <n v="0"/>
    <n v="17000"/>
    <n v="0"/>
    <n v="0"/>
    <n v="1"/>
    <n v="392"/>
    <n v="1"/>
    <n v="392"/>
    <n v="1"/>
    <n v="392"/>
    <x v="0"/>
    <n v="0"/>
    <n v="0"/>
    <n v="0.98"/>
    <n v="0"/>
    <n v="0"/>
    <n v="1"/>
    <n v="392"/>
    <s v="Metta plan,Gravity flow(1),Drainage system(2)"/>
    <n v="4"/>
    <n v="4"/>
    <n v="0"/>
    <x v="0"/>
    <n v="0.20408163265306123"/>
    <n v="80"/>
    <n v="0.20408163265306123"/>
    <n v="80"/>
    <n v="0"/>
    <n v="0"/>
    <n v="0"/>
    <n v="0.2"/>
    <n v="78.400000000000006"/>
    <n v="19.600000000000001"/>
    <n v="0"/>
    <x v="5"/>
    <n v="0"/>
    <n v="0"/>
    <n v="3.92"/>
    <n v="0"/>
    <n v="0"/>
    <n v="0"/>
    <n v="0"/>
    <n v="3.92"/>
    <n v="0.7"/>
    <s v="MEETA Plan(Emergency latrine 20)"/>
    <m/>
    <s v="To be realised"/>
    <n v="0"/>
    <n v="2"/>
    <n v="67"/>
    <n v="0"/>
    <n v="0"/>
    <x v="5"/>
    <m/>
    <n v="0"/>
    <n v="0"/>
    <n v="0"/>
    <s v="No coverage"/>
    <n v="0"/>
    <x v="0"/>
    <m/>
  </r>
  <r>
    <x v="15"/>
    <s v="MMR015CMP020"/>
    <x v="8"/>
    <x v="169"/>
    <n v="97.837040000000002"/>
    <n v="23.38503"/>
    <x v="0"/>
    <x v="0"/>
    <n v="178"/>
    <n v="826"/>
    <n v="826"/>
    <x v="0"/>
    <s v="KBC"/>
    <x v="4"/>
    <x v="0"/>
    <d v="2016-03-31T00:00:00"/>
    <m/>
    <m/>
    <s v="Focal NGO"/>
    <x v="0"/>
    <n v="0"/>
    <n v="0"/>
    <s v="No"/>
    <n v="0"/>
    <n v="0"/>
    <n v="60000"/>
    <n v="1"/>
    <n v="0"/>
    <n v="1"/>
    <n v="826"/>
    <n v="1"/>
    <n v="826"/>
    <n v="1"/>
    <n v="826"/>
    <x v="0"/>
    <n v="0"/>
    <n v="0"/>
    <n v="2.0649999999999999"/>
    <n v="0"/>
    <n v="826"/>
    <n v="1"/>
    <n v="826"/>
    <m/>
    <n v="81"/>
    <n v="81"/>
    <n v="0"/>
    <x v="1"/>
    <n v="1"/>
    <n v="826"/>
    <n v="1"/>
    <n v="826"/>
    <n v="0"/>
    <n v="0"/>
    <n v="3"/>
    <n v="1"/>
    <n v="826"/>
    <n v="44.3"/>
    <n v="0"/>
    <x v="4"/>
    <n v="0"/>
    <n v="0"/>
    <n v="8.26"/>
    <n v="0"/>
    <n v="0"/>
    <n v="1"/>
    <n v="0.12106537530266344"/>
    <n v="7.26"/>
    <n v="0.7"/>
    <s v="MDCG supported WASH-Shelter as HH level (no need to construct semi-parmanent)/ bathing space was ongoing activities by Metta"/>
    <d v="2015-05-01T00:00:00"/>
    <d v="2016-04-30T00:00:00"/>
    <n v="173"/>
    <n v="5"/>
    <n v="5"/>
    <n v="0.9719101123595506"/>
    <n v="802.79775280898878"/>
    <x v="0"/>
    <m/>
    <n v="0"/>
    <n v="0"/>
    <n v="0"/>
    <s v="No coverage"/>
    <n v="0"/>
    <x v="0"/>
    <m/>
  </r>
  <r>
    <x v="17"/>
    <s v="MMR015CMP014"/>
    <x v="9"/>
    <x v="170"/>
    <n v="97.406869999999998"/>
    <n v="23.092880000000001"/>
    <x v="0"/>
    <x v="0"/>
    <n v="10"/>
    <n v="47"/>
    <n v="47"/>
    <x v="1"/>
    <s v="KBC"/>
    <x v="4"/>
    <x v="0"/>
    <d v="2016-03-31T00:00:00"/>
    <m/>
    <m/>
    <s v="Focal NGO"/>
    <x v="0"/>
    <n v="0"/>
    <n v="0"/>
    <s v="No"/>
    <n v="0"/>
    <n v="0"/>
    <n v="2000"/>
    <n v="1"/>
    <n v="0"/>
    <n v="1"/>
    <n v="47"/>
    <n v="1"/>
    <n v="47"/>
    <n v="1"/>
    <n v="47"/>
    <x v="0"/>
    <n v="0"/>
    <n v="0"/>
    <n v="0.11749999999999999"/>
    <n v="0"/>
    <n v="47"/>
    <n v="1"/>
    <n v="47"/>
    <m/>
    <n v="0"/>
    <n v="2"/>
    <n v="2"/>
    <x v="2"/>
    <n v="1"/>
    <n v="47"/>
    <n v="0.14893617021276595"/>
    <n v="7"/>
    <n v="0.85106382978723405"/>
    <n v="40"/>
    <n v="2"/>
    <n v="1"/>
    <n v="47"/>
    <n v="2.35"/>
    <n v="2"/>
    <x v="1"/>
    <n v="1"/>
    <n v="47"/>
    <n v="0"/>
    <n v="1"/>
    <n v="47"/>
    <n v="2"/>
    <n v="1"/>
    <n v="0"/>
    <n v="1"/>
    <m/>
    <d v="2015-05-01T00:00:00"/>
    <d v="2016-04-30T00:00:00"/>
    <n v="14"/>
    <n v="5"/>
    <n v="0"/>
    <n v="1"/>
    <n v="47"/>
    <x v="0"/>
    <m/>
    <n v="0.5"/>
    <n v="23.5"/>
    <n v="2"/>
    <s v="Excellent coverage"/>
    <n v="0"/>
    <x v="0"/>
    <m/>
  </r>
  <r>
    <x v="18"/>
    <m/>
    <x v="9"/>
    <x v="171"/>
    <s v="NA"/>
    <s v="NA"/>
    <x v="1"/>
    <x v="1"/>
    <n v="100"/>
    <n v="446"/>
    <n v="446"/>
    <x v="0"/>
    <s v="KMSS"/>
    <x v="2"/>
    <x v="0"/>
    <s v="Gap"/>
    <m/>
    <m/>
    <s v="Focal NGO"/>
    <x v="0"/>
    <n v="0"/>
    <n v="0"/>
    <s v="No"/>
    <n v="0"/>
    <n v="0"/>
    <n v="0"/>
    <n v="0"/>
    <n v="0"/>
    <n v="0"/>
    <n v="0"/>
    <n v="0"/>
    <n v="0"/>
    <n v="0"/>
    <n v="0"/>
    <x v="1"/>
    <n v="0"/>
    <n v="0"/>
    <n v="1.115"/>
    <n v="0"/>
    <n v="0"/>
    <n v="0"/>
    <n v="0"/>
    <m/>
    <n v="0"/>
    <n v="0"/>
    <n v="0"/>
    <x v="2"/>
    <n v="0"/>
    <n v="0"/>
    <n v="0"/>
    <n v="0"/>
    <n v="0"/>
    <n v="0"/>
    <n v="0"/>
    <n v="0"/>
    <n v="0"/>
    <n v="22.3"/>
    <n v="0"/>
    <x v="1"/>
    <n v="0"/>
    <n v="0"/>
    <n v="4.46"/>
    <n v="0"/>
    <n v="0"/>
    <n v="0"/>
    <n v="0"/>
    <n v="4.46"/>
    <n v="0"/>
    <m/>
    <m/>
    <s v="To be realised"/>
    <n v="0"/>
    <n v="0"/>
    <n v="100"/>
    <n v="0"/>
    <n v="0"/>
    <x v="5"/>
    <s v="SCI will deal with NSS partners for basic HK distribution to cover the whole area"/>
    <n v="0"/>
    <n v="0"/>
    <n v="0"/>
    <s v="No coverage"/>
    <n v="0"/>
    <x v="2"/>
    <m/>
  </r>
  <r>
    <x v="16"/>
    <m/>
    <x v="8"/>
    <x v="172"/>
    <s v="NA"/>
    <s v="NA"/>
    <x v="0"/>
    <x v="0"/>
    <n v="76"/>
    <n v="222"/>
    <n v="222"/>
    <x v="0"/>
    <s v="KBC"/>
    <x v="4"/>
    <x v="0"/>
    <d v="2016-03-31T00:00:00"/>
    <m/>
    <m/>
    <s v="Focal NGO"/>
    <x v="0"/>
    <n v="0"/>
    <n v="0"/>
    <s v="No"/>
    <n v="0"/>
    <n v="0"/>
    <n v="0"/>
    <n v="0"/>
    <n v="0"/>
    <n v="0"/>
    <n v="0"/>
    <n v="0"/>
    <n v="0"/>
    <n v="0"/>
    <n v="0"/>
    <x v="1"/>
    <n v="0"/>
    <n v="0"/>
    <n v="0.55500000000000005"/>
    <n v="0"/>
    <n v="0"/>
    <n v="0"/>
    <n v="0"/>
    <s v="Digging well(2) on going"/>
    <n v="0"/>
    <n v="0"/>
    <n v="4"/>
    <x v="0"/>
    <n v="0.36036036036036034"/>
    <n v="80"/>
    <n v="0"/>
    <n v="0"/>
    <n v="0.36036036036036034"/>
    <n v="80"/>
    <n v="0"/>
    <n v="0.36"/>
    <n v="79.92"/>
    <n v="7.1"/>
    <n v="0"/>
    <x v="5"/>
    <n v="0"/>
    <n v="0"/>
    <n v="2.2200000000000002"/>
    <n v="0"/>
    <m/>
    <n v="0"/>
    <n v="0"/>
    <n v="2.2200000000000002"/>
    <n v="1"/>
    <m/>
    <d v="2015-05-01T00:00:00"/>
    <d v="2016-04-30T00:00:00"/>
    <n v="46"/>
    <n v="4"/>
    <n v="30"/>
    <n v="0.60526315789473684"/>
    <n v="134.36842105263159"/>
    <x v="0"/>
    <m/>
    <n v="0"/>
    <m/>
    <n v="0"/>
    <s v="No coverage"/>
    <m/>
    <x v="2"/>
    <m/>
  </r>
  <r>
    <x v="18"/>
    <s v="MMR015CMP009"/>
    <x v="9"/>
    <x v="173"/>
    <n v="97.127340000000004"/>
    <n v="23.24954"/>
    <x v="0"/>
    <x v="0"/>
    <n v="38"/>
    <n v="164"/>
    <n v="164"/>
    <x v="1"/>
    <s v="KBC"/>
    <x v="4"/>
    <x v="0"/>
    <d v="2016-03-31T00:00:00"/>
    <m/>
    <m/>
    <s v="Focal NGO"/>
    <x v="0"/>
    <n v="0"/>
    <n v="0"/>
    <s v="No"/>
    <n v="0"/>
    <n v="0"/>
    <n v="7000"/>
    <n v="1"/>
    <n v="0"/>
    <n v="1"/>
    <n v="164"/>
    <n v="1"/>
    <n v="164"/>
    <n v="1"/>
    <n v="164"/>
    <x v="0"/>
    <n v="0"/>
    <n v="0"/>
    <n v="0.41"/>
    <n v="0"/>
    <n v="164"/>
    <n v="1"/>
    <n v="164"/>
    <m/>
    <n v="2"/>
    <n v="18"/>
    <n v="0"/>
    <x v="1"/>
    <n v="1"/>
    <n v="164"/>
    <n v="1"/>
    <n v="164"/>
    <n v="0"/>
    <n v="0"/>
    <n v="2"/>
    <n v="1"/>
    <n v="164"/>
    <n v="10.199999999999999"/>
    <n v="0"/>
    <x v="4"/>
    <n v="0"/>
    <n v="0"/>
    <n v="1.64"/>
    <n v="0"/>
    <n v="0"/>
    <n v="1"/>
    <n v="0.6097560975609756"/>
    <n v="0.6399999999999999"/>
    <n v="0.8"/>
    <s v="MDCG supported WASH-Shelter as HH level (no need to construct semi-parmanent)/ bathing space was ongoing activities by Metta"/>
    <d v="2015-05-01T00:00:00"/>
    <d v="2016-04-30T00:00:00"/>
    <n v="39"/>
    <n v="5"/>
    <n v="0"/>
    <n v="1"/>
    <n v="164"/>
    <x v="0"/>
    <m/>
    <n v="0"/>
    <n v="0"/>
    <n v="0"/>
    <s v="No coverage"/>
    <n v="0"/>
    <x v="0"/>
    <m/>
  </r>
  <r>
    <x v="18"/>
    <s v="MMR015CMP209"/>
    <x v="9"/>
    <x v="174"/>
    <n v="97.123440000000002"/>
    <n v="23.24568"/>
    <x v="0"/>
    <x v="0"/>
    <n v="31"/>
    <n v="182"/>
    <n v="182"/>
    <x v="1"/>
    <s v="KMSS"/>
    <x v="2"/>
    <x v="0"/>
    <d v="2015-12-31T00:00:00"/>
    <m/>
    <m/>
    <s v="Focal NGO"/>
    <x v="0"/>
    <n v="0"/>
    <n v="0"/>
    <s v="No"/>
    <n v="0"/>
    <n v="0"/>
    <n v="28800"/>
    <n v="0.8"/>
    <n v="0"/>
    <n v="1"/>
    <n v="182"/>
    <n v="1"/>
    <n v="182"/>
    <n v="1"/>
    <n v="182"/>
    <x v="0"/>
    <n v="0"/>
    <n v="0"/>
    <n v="0.45500000000000002"/>
    <n v="0"/>
    <n v="145.6"/>
    <n v="1"/>
    <n v="182"/>
    <s v="KMSS have a plan to distrbute CWF filter"/>
    <n v="16"/>
    <n v="6"/>
    <n v="6"/>
    <x v="1"/>
    <n v="1"/>
    <n v="182"/>
    <n v="0.34065934065934067"/>
    <n v="62"/>
    <n v="0.65934065934065933"/>
    <n v="120"/>
    <n v="2"/>
    <n v="1"/>
    <n v="182"/>
    <n v="5.0999999999999996"/>
    <n v="2"/>
    <x v="0"/>
    <n v="1"/>
    <n v="182"/>
    <n v="0"/>
    <n v="1"/>
    <n v="182"/>
    <n v="0"/>
    <n v="0"/>
    <n v="1.82"/>
    <n v="0"/>
    <m/>
    <d v="2012-10-01T00:00:00"/>
    <s v="To be realised"/>
    <n v="30"/>
    <n v="3"/>
    <n v="31"/>
    <n v="0"/>
    <n v="0"/>
    <x v="18"/>
    <s v=" KMSS will distribute Hugiene kit"/>
    <n v="0"/>
    <n v="0"/>
    <n v="2"/>
    <s v="Excellent coverage"/>
    <n v="0"/>
    <x v="1"/>
    <m/>
  </r>
</pivotCacheRecords>
</file>

<file path=xl/pivotCache/pivotCacheRecords2.xml><?xml version="1.0" encoding="utf-8"?>
<pivotCacheRecords xmlns="http://schemas.openxmlformats.org/spreadsheetml/2006/main" xmlns:r="http://schemas.openxmlformats.org/officeDocument/2006/relationships" count="58">
  <r>
    <x v="0"/>
    <m/>
    <x v="0"/>
    <m/>
    <s v="Provision of Hygiene and Sanitation facilities for IDPs at Khaung Doke Khar, Say Tha Mar Gyi and Ohn Taw Gyi 2 camps at Sittwe Township in Rakhine State"/>
    <d v="2012-11-19T00:00:00"/>
    <d v="2013-03-18T00:00:00"/>
    <s v="Completed"/>
    <x v="0"/>
    <n v="2500"/>
    <m/>
    <s v=""/>
    <m/>
    <m/>
    <m/>
    <n v="1"/>
    <n v="0"/>
    <n v="2500"/>
    <n v="2500"/>
    <n v="2500"/>
    <n v="0"/>
    <n v="0"/>
    <n v="0"/>
    <n v="128026"/>
    <n v="128026"/>
    <x v="0"/>
    <n v="0"/>
    <n v="1"/>
    <n v="0.54"/>
    <n v="0.21"/>
    <n v="0.25"/>
    <m/>
  </r>
  <r>
    <x v="0"/>
    <m/>
    <x v="1"/>
    <m/>
    <s v="Emergency support for people displaced by the conflict in Kachin State, Myanmar"/>
    <d v="2013-01-06T00:00:00"/>
    <d v="2014-06-30T00:00:00"/>
    <s v="Completed"/>
    <x v="1"/>
    <n v="11700"/>
    <n v="0.45"/>
    <n v="0.55000000000000004"/>
    <n v="0"/>
    <n v="1"/>
    <n v="0"/>
    <n v="1"/>
    <n v="0"/>
    <n v="7594"/>
    <n v="6040"/>
    <n v="5850"/>
    <n v="0"/>
    <n v="0"/>
    <n v="0"/>
    <n v="530978"/>
    <n v="353985.33333333337"/>
    <x v="1"/>
    <n v="0"/>
    <n v="1"/>
    <n v="0.55500000000000005"/>
    <n v="0.26"/>
    <n v="0.18"/>
    <m/>
  </r>
  <r>
    <x v="0"/>
    <m/>
    <x v="1"/>
    <m/>
    <s v="Emergency support for displaced and hosting communities affected by the Kachin conflict, Myanmar"/>
    <d v="2014-01-09T00:00:00"/>
    <d v="2015-08-31T00:00:00"/>
    <s v="Active"/>
    <x v="2"/>
    <n v="6457"/>
    <m/>
    <n v="1"/>
    <m/>
    <n v="1"/>
    <m/>
    <n v="0.62"/>
    <n v="0.38"/>
    <n v="4039"/>
    <n v="4039"/>
    <n v="1617"/>
    <m/>
    <m/>
    <n v="2418"/>
    <n v="354600"/>
    <n v="0"/>
    <x v="2"/>
    <n v="143852.75459098496"/>
    <n v="1"/>
    <n v="0.33"/>
    <n v="0.34"/>
    <n v="0.34"/>
    <m/>
  </r>
  <r>
    <x v="1"/>
    <m/>
    <x v="2"/>
    <m/>
    <s v=" Improvement of Community Drinking Water Supply and Strengthening of Communal Structures of Marginalised Population in Northern Shan State as well as Humanitarian Assistance to IDP due to the armed conflict in Kachin State (PN: 20121882.5)"/>
    <d v="2013-01-01T00:00:00"/>
    <m/>
    <s v="Completed"/>
    <x v="1"/>
    <m/>
    <m/>
    <s v=""/>
    <m/>
    <m/>
    <m/>
    <m/>
    <m/>
    <m/>
    <m/>
    <m/>
    <m/>
    <m/>
    <m/>
    <n v="338770"/>
    <n v="338770"/>
    <x v="0"/>
    <n v="0"/>
    <m/>
    <m/>
    <m/>
    <m/>
    <m/>
  </r>
  <r>
    <x v="2"/>
    <m/>
    <x v="3"/>
    <m/>
    <s v="Provision of water and sanitation facilities, and non-food relief items - IDPs in Kachin State (M013859)"/>
    <d v="2013-12-01T00:00:00"/>
    <m/>
    <s v="Completed"/>
    <x v="1"/>
    <m/>
    <m/>
    <s v=""/>
    <m/>
    <m/>
    <m/>
    <m/>
    <m/>
    <m/>
    <m/>
    <m/>
    <m/>
    <m/>
    <m/>
    <n v="292113"/>
    <n v="292113"/>
    <x v="0"/>
    <n v="0"/>
    <m/>
    <m/>
    <m/>
    <m/>
    <m/>
  </r>
  <r>
    <x v="3"/>
    <m/>
    <x v="0"/>
    <m/>
    <s v="Humanitarian Assistance to Internally Dispalced Persons in Kachin_x000a_Addendum"/>
    <d v="2012-02-15T00:00:00"/>
    <d v="2012-06-30T00:00:00"/>
    <s v="Completed"/>
    <x v="0"/>
    <n v="25000"/>
    <n v="0.7"/>
    <n v="0.3"/>
    <n v="0"/>
    <n v="0.4"/>
    <n v="0.6"/>
    <n v="1"/>
    <n v="0"/>
    <n v="25000"/>
    <n v="25000"/>
    <n v="25000"/>
    <n v="0"/>
    <n v="0"/>
    <n v="0"/>
    <n v="200970"/>
    <n v="200970"/>
    <x v="0"/>
    <n v="0"/>
    <n v="1"/>
    <n v="0.25103163686382396"/>
    <n v="0.45392022008253097"/>
    <n v="0.29504814305364513"/>
    <m/>
  </r>
  <r>
    <x v="3"/>
    <m/>
    <x v="0"/>
    <m/>
    <s v="Humanitarian Assistance to Internally Dispalced Persons in Kachin_x000a_"/>
    <d v="2012-02-15T00:00:00"/>
    <d v="2012-05-14T00:00:00"/>
    <s v="Completed"/>
    <x v="0"/>
    <n v="25000"/>
    <n v="0.7"/>
    <n v="0.3"/>
    <n v="0"/>
    <n v="0.4"/>
    <n v="0.6"/>
    <n v="1"/>
    <n v="0"/>
    <n v="25000"/>
    <n v="25000"/>
    <n v="25000"/>
    <n v="0"/>
    <n v="0"/>
    <n v="0"/>
    <n v="171388.23529411765"/>
    <n v="171388.23529411765"/>
    <x v="0"/>
    <n v="0"/>
    <n v="1"/>
    <n v="0.25"/>
    <n v="0.45"/>
    <n v="0.3"/>
    <m/>
  </r>
  <r>
    <x v="3"/>
    <m/>
    <x v="0"/>
    <m/>
    <s v="Humanitarian Assistance to Internally Dispalced Persons in Kachin"/>
    <d v="2012-05-14T00:00:00"/>
    <d v="2012-07-14T00:00:00"/>
    <s v="Completed"/>
    <x v="0"/>
    <n v="7733"/>
    <n v="0.55000000000000004"/>
    <n v="0.45"/>
    <n v="0"/>
    <n v="0.5"/>
    <n v="0.5"/>
    <n v="1"/>
    <n v="0"/>
    <n v="7733"/>
    <n v="7733"/>
    <n v="7733"/>
    <n v="0"/>
    <n v="0"/>
    <n v="0"/>
    <n v="33603.976470588233"/>
    <n v="33603.976470588233"/>
    <x v="0"/>
    <n v="0"/>
    <n v="1"/>
    <n v="0.04"/>
    <n v="0.95"/>
    <n v="0"/>
    <m/>
  </r>
  <r>
    <x v="3"/>
    <m/>
    <x v="0"/>
    <m/>
    <s v="Humanitarian Assistance to Internally Dispalced Persons in Kachin"/>
    <d v="2014-10-16T00:00:00"/>
    <d v="2015-04-15T00:00:00"/>
    <s v="Active"/>
    <x v="2"/>
    <n v="11820"/>
    <n v="0.86"/>
    <n v="0.14000000000000001"/>
    <n v="0"/>
    <n v="0.87"/>
    <n v="0.13"/>
    <n v="1"/>
    <n v="0"/>
    <n v="5360"/>
    <n v="11820"/>
    <n v="9833"/>
    <n v="0"/>
    <n v="0"/>
    <n v="0"/>
    <n v="220997.4"/>
    <n v="0"/>
    <x v="3"/>
    <n v="128202.91160220993"/>
    <n v="1"/>
    <n v="0.44"/>
    <n v="0.2"/>
    <n v="0.36"/>
    <m/>
  </r>
  <r>
    <x v="4"/>
    <m/>
    <x v="0"/>
    <m/>
    <s v="Humanitarian Assistance to Internally Dispalced Persons in Kachin"/>
    <d v="2012-06-02T00:00:00"/>
    <d v="2012-10-30T00:00:00"/>
    <s v="Completed"/>
    <x v="0"/>
    <n v="5500"/>
    <n v="0.35"/>
    <n v="0.65"/>
    <n v="0"/>
    <n v="0.6"/>
    <n v="0.4"/>
    <n v="1"/>
    <n v="0"/>
    <n v="5500"/>
    <n v="5500"/>
    <n v="5500"/>
    <n v="0"/>
    <n v="0"/>
    <n v="0"/>
    <n v="129924.9705882353"/>
    <n v="129924.9705882353"/>
    <x v="0"/>
    <n v="0"/>
    <n v="1"/>
    <n v="0.41"/>
    <n v="0.3"/>
    <n v="0.28999999999999998"/>
    <m/>
  </r>
  <r>
    <x v="4"/>
    <m/>
    <x v="0"/>
    <m/>
    <s v="Humanitarian Assistance to Internally Dispalced Persons in Kachin"/>
    <d v="2012-04-29T00:00:00"/>
    <d v="2012-07-29T00:00:00"/>
    <s v="Completed"/>
    <x v="0"/>
    <n v="18791"/>
    <n v="0.48"/>
    <n v="0.52"/>
    <n v="0.3"/>
    <n v="0.5"/>
    <n v="0.2"/>
    <n v="1"/>
    <n v="0"/>
    <n v="18791"/>
    <n v="18791"/>
    <n v="18791"/>
    <n v="0"/>
    <n v="0"/>
    <n v="0"/>
    <n v="149287.59647058824"/>
    <n v="149287.59647058824"/>
    <x v="0"/>
    <n v="0"/>
    <n v="1"/>
    <n v="0.26100382615963141"/>
    <n v="0.62"/>
    <n v="0.11847803109484276"/>
    <m/>
  </r>
  <r>
    <x v="4"/>
    <m/>
    <x v="0"/>
    <m/>
    <s v="Humanitarian Assistance to Internally Dispalced Persons in Kachin"/>
    <d v="2013-03-11T00:00:00"/>
    <d v="2013-03-25T00:00:00"/>
    <s v="Completed"/>
    <x v="1"/>
    <n v="493"/>
    <n v="0.45"/>
    <n v="0.55000000000000004"/>
    <n v="0"/>
    <n v="1"/>
    <n v="0"/>
    <n v="1"/>
    <n v="0"/>
    <n v="493"/>
    <n v="0"/>
    <n v="0"/>
    <n v="0"/>
    <n v="0"/>
    <n v="0"/>
    <n v="3031.5058823529412"/>
    <n v="3031.5058823529412"/>
    <x v="0"/>
    <n v="0"/>
    <n v="1"/>
    <n v="1"/>
    <n v="0"/>
    <n v="0"/>
    <m/>
  </r>
  <r>
    <x v="4"/>
    <m/>
    <x v="4"/>
    <s v="ERF"/>
    <m/>
    <d v="2013-01-01T00:00:00"/>
    <m/>
    <s v="Completed"/>
    <x v="1"/>
    <m/>
    <m/>
    <s v=""/>
    <m/>
    <m/>
    <m/>
    <m/>
    <m/>
    <m/>
    <m/>
    <m/>
    <m/>
    <m/>
    <m/>
    <m/>
    <n v="0"/>
    <x v="0"/>
    <n v="0"/>
    <m/>
    <m/>
    <m/>
    <m/>
    <m/>
  </r>
  <r>
    <x v="4"/>
    <m/>
    <x v="0"/>
    <s v="CERF"/>
    <s v="Humanitarian assitance to internally displaced persons in Kachin State"/>
    <d v="2014-01-24T00:00:00"/>
    <d v="2014-07-23T00:00:00"/>
    <s v="Completed"/>
    <x v="2"/>
    <n v="3756"/>
    <n v="0.65"/>
    <n v="0.35"/>
    <n v="0.61"/>
    <n v="0"/>
    <n v="0.38684771033013843"/>
    <n v="1"/>
    <n v="0"/>
    <n v="3756"/>
    <n v="3756"/>
    <n v="3756"/>
    <n v="0"/>
    <n v="0"/>
    <n v="0"/>
    <n v="201418"/>
    <n v="0"/>
    <x v="4"/>
    <n v="0"/>
    <n v="1"/>
    <n v="0.5"/>
    <n v="0.43"/>
    <n v="7.0000000000000007E-2"/>
    <m/>
  </r>
  <r>
    <x v="5"/>
    <m/>
    <x v="1"/>
    <m/>
    <s v="Supporting life saving health interventions in conflict affected populations in Northern Shan State, Myanmar"/>
    <d v="2013-05-18T00:00:00"/>
    <d v="2014-05-18T00:00:00"/>
    <s v="Completed"/>
    <x v="1"/>
    <n v="33204"/>
    <n v="0.1"/>
    <n v="0.9"/>
    <n v="0"/>
    <n v="0"/>
    <n v="1"/>
    <n v="7.0000000000000007E-2"/>
    <n v="0.93"/>
    <n v="2416"/>
    <n v="146"/>
    <n v="2416"/>
    <n v="22000"/>
    <n v="8788"/>
    <n v="30788"/>
    <n v="26986"/>
    <n v="16857.008219178082"/>
    <x v="5"/>
    <n v="0"/>
    <n v="0.04"/>
    <n v="0.82"/>
    <n v="0.12"/>
    <n v="0.06"/>
    <m/>
  </r>
  <r>
    <x v="6"/>
    <m/>
    <x v="0"/>
    <m/>
    <s v="Humanitarian Assistance to Internally Dispalced Persons in Kachin"/>
    <d v="2012-03-05T00:00:00"/>
    <d v="2012-06-14T00:00:00"/>
    <s v="Completed"/>
    <x v="0"/>
    <n v="14000"/>
    <m/>
    <s v=""/>
    <m/>
    <m/>
    <m/>
    <n v="1"/>
    <n v="0"/>
    <n v="14000"/>
    <n v="14000"/>
    <n v="14000"/>
    <n v="0"/>
    <n v="0"/>
    <n v="0"/>
    <n v="92437.647058823524"/>
    <n v="92437.647058823524"/>
    <x v="0"/>
    <n v="0"/>
    <n v="1"/>
    <n v="0.36"/>
    <n v="0.53"/>
    <n v="0.1"/>
    <m/>
  </r>
  <r>
    <x v="6"/>
    <m/>
    <x v="0"/>
    <m/>
    <s v="Humanitarian Assistance to Internally Dispalced Persons in Kachin"/>
    <d v="2012-02-02T00:00:00"/>
    <d v="2012-06-30T00:00:00"/>
    <s v="Completed"/>
    <x v="0"/>
    <n v="3240"/>
    <m/>
    <s v=""/>
    <m/>
    <m/>
    <m/>
    <n v="1"/>
    <n v="0"/>
    <n v="3240"/>
    <n v="3240"/>
    <n v="3240"/>
    <n v="0"/>
    <n v="0"/>
    <n v="0"/>
    <n v="34710.588235294119"/>
    <n v="34710.588235294119"/>
    <x v="0"/>
    <n v="0"/>
    <n v="1"/>
    <n v="0.35"/>
    <n v="0.38"/>
    <n v="0.36"/>
    <m/>
  </r>
  <r>
    <x v="6"/>
    <m/>
    <x v="0"/>
    <m/>
    <s v="Humanitarian Assistance to Internally Dispalced Persons in Kachin"/>
    <d v="2012-02-01T00:00:00"/>
    <d v="2012-04-30T00:00:00"/>
    <s v="Completed"/>
    <x v="0"/>
    <n v="14000"/>
    <m/>
    <s v=""/>
    <m/>
    <m/>
    <m/>
    <n v="1"/>
    <n v="0"/>
    <n v="14000"/>
    <n v="14000"/>
    <n v="14000"/>
    <n v="0"/>
    <n v="0"/>
    <n v="0"/>
    <n v="83760"/>
    <n v="83760"/>
    <x v="0"/>
    <n v="0"/>
    <n v="1"/>
    <n v="0.42"/>
    <n v="0.55000000000000004"/>
    <n v="0.22"/>
    <m/>
  </r>
  <r>
    <x v="6"/>
    <m/>
    <x v="0"/>
    <m/>
    <s v="Humanitarian Assistance to Internally Dispalced Persons in Kachin"/>
    <d v="2013-03-13T00:00:00"/>
    <d v="2013-06-12T00:00:00"/>
    <s v="Completed"/>
    <x v="1"/>
    <n v="19000"/>
    <n v="0.68421052631578949"/>
    <n v="0.31578947368421051"/>
    <n v="0"/>
    <n v="0.32"/>
    <n v="0.68321052631578949"/>
    <n v="1"/>
    <n v="0"/>
    <n v="19000"/>
    <n v="19000"/>
    <n v="19000"/>
    <n v="0"/>
    <n v="0"/>
    <n v="0"/>
    <n v="98314.495294117645"/>
    <n v="98314.495294117645"/>
    <x v="0"/>
    <n v="0"/>
    <n v="1"/>
    <n v="0.26924400268856291"/>
    <n v="0.14000000000000001"/>
    <n v="0.58604606937202164"/>
    <m/>
  </r>
  <r>
    <x v="6"/>
    <m/>
    <x v="0"/>
    <m/>
    <s v="Humanitarian Assistance to Internally Dispalced Persons in Kachin"/>
    <d v="2012-06-22T00:00:00"/>
    <d v="2013-03-31T00:00:00"/>
    <s v="Completed"/>
    <x v="0"/>
    <m/>
    <m/>
    <s v=""/>
    <m/>
    <m/>
    <m/>
    <m/>
    <m/>
    <m/>
    <m/>
    <m/>
    <m/>
    <m/>
    <m/>
    <n v="175294.05769230769"/>
    <n v="175294.05769230769"/>
    <x v="0"/>
    <n v="0"/>
    <m/>
    <m/>
    <m/>
    <m/>
    <m/>
  </r>
  <r>
    <x v="6"/>
    <m/>
    <x v="0"/>
    <m/>
    <s v="Humanitarian Assistance to Internally Dispalced Persons in Kachin"/>
    <d v="2014-01-09T00:00:00"/>
    <d v="2014-11-08T00:00:00"/>
    <s v="Completed"/>
    <x v="2"/>
    <n v="11000"/>
    <n v="0.62"/>
    <n v="0.38"/>
    <n v="0"/>
    <n v="1"/>
    <n v="0"/>
    <n v="1"/>
    <n v="0"/>
    <n v="11000"/>
    <n v="11000"/>
    <n v="11000"/>
    <n v="0"/>
    <n v="0"/>
    <n v="0"/>
    <n v="337220.99"/>
    <n v="0"/>
    <x v="6"/>
    <n v="0"/>
    <n v="1"/>
    <n v="0.33"/>
    <n v="0.33"/>
    <n v="0.34"/>
    <m/>
  </r>
  <r>
    <x v="6"/>
    <m/>
    <x v="0"/>
    <m/>
    <s v="Humanitarian Assistance to Internally Dispalced Persons in Kachin"/>
    <d v="2014-10-16T00:00:00"/>
    <d v="2015-04-15T00:00:00"/>
    <s v="Active"/>
    <x v="2"/>
    <n v="13389"/>
    <n v="0.59"/>
    <n v="0.41"/>
    <n v="0"/>
    <n v="1"/>
    <n v="0"/>
    <n v="1"/>
    <n v="0"/>
    <n v="5571"/>
    <n v="5643"/>
    <n v="13389"/>
    <n v="0"/>
    <n v="0"/>
    <n v="0"/>
    <n v="288461.43"/>
    <n v="0"/>
    <x v="7"/>
    <n v="167339.5035911602"/>
    <n v="1"/>
    <n v="0.23"/>
    <n v="0.23"/>
    <n v="0.54"/>
    <m/>
  </r>
  <r>
    <x v="6"/>
    <s v="Oxfam"/>
    <x v="5"/>
    <m/>
    <s v="Humanitarian Assistance to Internally Dispalced Persons in Kachin"/>
    <d v="2014-04-28T00:00:00"/>
    <d v="2014-06-12T00:00:00"/>
    <s v="Completed"/>
    <x v="2"/>
    <m/>
    <m/>
    <m/>
    <n v="1"/>
    <n v="0"/>
    <n v="0"/>
    <n v="1"/>
    <n v="0"/>
    <m/>
    <m/>
    <m/>
    <m/>
    <m/>
    <m/>
    <n v="43482"/>
    <n v="0"/>
    <x v="8"/>
    <n v="0"/>
    <m/>
    <m/>
    <m/>
    <m/>
    <m/>
  </r>
  <r>
    <x v="7"/>
    <s v="KBC/Shalom"/>
    <x v="1"/>
    <s v="Australian_x000a_CIDA"/>
    <s v="Emergency Response for Conflict-Affected Population in Kachin and Northern Shan"/>
    <d v="2013-01-01T00:00:00"/>
    <d v="2014-03-31T00:00:00"/>
    <s v="Completed"/>
    <x v="1"/>
    <n v="19794"/>
    <n v="0.42437102152167322"/>
    <n v="0.57562897847832684"/>
    <n v="0"/>
    <n v="0"/>
    <n v="1"/>
    <n v="1"/>
    <n v="0"/>
    <n v="5240"/>
    <n v="13650"/>
    <n v="19794"/>
    <n v="0"/>
    <n v="0"/>
    <n v="0"/>
    <n v="774563"/>
    <n v="622721.35462555068"/>
    <x v="9"/>
    <n v="0"/>
    <n v="1"/>
    <n v="0.2"/>
    <n v="0.22"/>
    <n v="0.57999999999999996"/>
    <s v="Data input on 17/10/2013"/>
  </r>
  <r>
    <x v="7"/>
    <s v="KBC/Shalom"/>
    <x v="6"/>
    <s v="ECHO/CIDA"/>
    <s v="Same project than previous one, co-financing"/>
    <d v="2013-01-01T00:00:00"/>
    <d v="2014-03-31T00:00:00"/>
    <s v="Completed"/>
    <x v="1"/>
    <m/>
    <m/>
    <m/>
    <m/>
    <m/>
    <m/>
    <m/>
    <m/>
    <m/>
    <m/>
    <m/>
    <m/>
    <m/>
    <m/>
    <n v="515029"/>
    <n v="414065.16519823787"/>
    <x v="10"/>
    <n v="0"/>
    <m/>
    <m/>
    <m/>
    <m/>
    <m/>
  </r>
  <r>
    <x v="7"/>
    <s v="KBC/Shalom"/>
    <x v="7"/>
    <s v="ECHO/Australian"/>
    <s v="Same project than previous one, co-financing"/>
    <d v="2013-01-01T00:00:00"/>
    <d v="2014-03-31T00:00:00"/>
    <s v="Completed"/>
    <x v="1"/>
    <m/>
    <m/>
    <m/>
    <m/>
    <m/>
    <m/>
    <m/>
    <m/>
    <m/>
    <m/>
    <m/>
    <m/>
    <m/>
    <m/>
    <n v="191487"/>
    <n v="153948.79955947137"/>
    <x v="11"/>
    <n v="0"/>
    <m/>
    <m/>
    <m/>
    <m/>
    <m/>
  </r>
  <r>
    <x v="7"/>
    <s v="KBC/Shalom"/>
    <x v="8"/>
    <s v="DFAT (AusAID)"/>
    <s v="Emergency Response for Conflict-Affected Population in Kachin and Northern Shan 14/15"/>
    <d v="2014-05-01T00:00:00"/>
    <d v="2015-05-31T00:00:00"/>
    <s v="Active"/>
    <x v="2"/>
    <n v="23013"/>
    <n v="0.41467865988788943"/>
    <n v="0.58532134011211057"/>
    <n v="0"/>
    <n v="0"/>
    <n v="1"/>
    <n v="1"/>
    <n v="0"/>
    <n v="23013"/>
    <n v="23013"/>
    <n v="23013"/>
    <n v="0"/>
    <n v="0"/>
    <n v="0"/>
    <n v="1520909.0013263728"/>
    <n v="0"/>
    <x v="12"/>
    <n v="581410.78278552473"/>
    <n v="1"/>
    <n v="0.16"/>
    <n v="0.09"/>
    <n v="0.75"/>
    <s v="Data input on 09/06/2014. Note this funding does not enable full coverage with hygiene kits in GCA camps. Oxfam will submit to UNICEF a proposal to cover the gap, but targeting will also be established this year due to increasing livlihoods and decreasing donor funds. "/>
  </r>
  <r>
    <x v="8"/>
    <m/>
    <x v="2"/>
    <m/>
    <m/>
    <d v="2012-01-01T00:00:00"/>
    <d v="2014-12-31T00:00:00"/>
    <m/>
    <x v="0"/>
    <m/>
    <m/>
    <s v=""/>
    <m/>
    <m/>
    <m/>
    <m/>
    <m/>
    <m/>
    <m/>
    <m/>
    <m/>
    <m/>
    <m/>
    <m/>
    <n v="0"/>
    <x v="0"/>
    <n v="0"/>
    <m/>
    <m/>
    <m/>
    <m/>
    <m/>
  </r>
  <r>
    <x v="9"/>
    <s v="WPN"/>
    <x v="1"/>
    <m/>
    <s v="Emergency Assistance to Conflict Affected Populations in Myanmar"/>
    <d v="2013-06-01T00:00:00"/>
    <d v="2014-02-28T00:00:00"/>
    <s v="Completed"/>
    <x v="1"/>
    <n v="9566"/>
    <n v="0.86"/>
    <n v="0.14000000000000001"/>
    <n v="0.89"/>
    <n v="0"/>
    <n v="0.11"/>
    <n v="1"/>
    <n v="0"/>
    <n v="1905"/>
    <n v="9566"/>
    <n v="9566"/>
    <n v="0"/>
    <n v="0"/>
    <n v="0"/>
    <n v="264760"/>
    <n v="208303.82352941178"/>
    <x v="13"/>
    <n v="0"/>
    <n v="0.8"/>
    <n v="0.13"/>
    <n v="0.14000000000000001"/>
    <n v="0.73"/>
    <m/>
  </r>
  <r>
    <x v="9"/>
    <s v="WPN"/>
    <x v="9"/>
    <m/>
    <s v="MMR Kachin  Humanitarian Response"/>
    <d v="2014-01-01T00:00:00"/>
    <d v="2014-12-31T00:00:00"/>
    <s v="Completed"/>
    <x v="2"/>
    <m/>
    <n v="0"/>
    <n v="1"/>
    <n v="0.89"/>
    <n v="0"/>
    <n v="0.11"/>
    <n v="1"/>
    <n v="0"/>
    <n v="1905"/>
    <n v="9566"/>
    <n v="9566"/>
    <n v="0"/>
    <n v="0"/>
    <n v="0"/>
    <n v="17000"/>
    <n v="0"/>
    <x v="14"/>
    <n v="0"/>
    <m/>
    <m/>
    <m/>
    <m/>
    <m/>
  </r>
  <r>
    <x v="9"/>
    <s v="WPN"/>
    <x v="10"/>
    <m/>
    <s v="Humanitarian assistance to populations affected by vioence in Rakhine &amp; Kachin States"/>
    <d v="2014-01-01T00:00:00"/>
    <d v="2015-06-30T00:00:00"/>
    <s v="Active"/>
    <x v="2"/>
    <n v="8010"/>
    <n v="0.93"/>
    <n v="6.9999999999999951E-2"/>
    <n v="0.1"/>
    <n v="0.9"/>
    <n v="0"/>
    <n v="1"/>
    <n v="0"/>
    <n v="8010"/>
    <n v="8010"/>
    <n v="8010"/>
    <n v="0"/>
    <n v="0"/>
    <n v="0"/>
    <n v="102308"/>
    <n v="0"/>
    <x v="15"/>
    <n v="33977.519266055046"/>
    <m/>
    <m/>
    <m/>
    <m/>
    <m/>
  </r>
  <r>
    <x v="9"/>
    <s v="WPN"/>
    <x v="11"/>
    <m/>
    <s v="MMR Emergency assistance to populations affected by displacement and violence in Kachin State"/>
    <d v="2014-01-01T00:00:00"/>
    <d v="2014-09-09T00:00:00"/>
    <s v="Completed"/>
    <x v="2"/>
    <m/>
    <n v="0.47"/>
    <n v="0.53"/>
    <m/>
    <m/>
    <m/>
    <m/>
    <m/>
    <m/>
    <m/>
    <m/>
    <m/>
    <m/>
    <m/>
    <n v="80400"/>
    <n v="0"/>
    <x v="16"/>
    <n v="0"/>
    <m/>
    <m/>
    <m/>
    <m/>
    <m/>
  </r>
  <r>
    <x v="9"/>
    <m/>
    <x v="0"/>
    <s v="CERF"/>
    <s v="Development of Lifesaving WASH Facilities in tandem with New Shelter Construction for IDPs_x000a_"/>
    <d v="2014-07-02T00:00:00"/>
    <d v="2015-02-28T00:00:00"/>
    <s v="Completed"/>
    <x v="2"/>
    <n v="10837"/>
    <n v="0.43323798099104921"/>
    <n v="0.56999999999999995"/>
    <n v="0.23798099104918335"/>
    <n v="0"/>
    <n v="0.76"/>
    <n v="1"/>
    <n v="0"/>
    <n v="10837"/>
    <n v="10837"/>
    <n v="10837"/>
    <n v="0"/>
    <n v="0"/>
    <n v="0"/>
    <n v="455030"/>
    <n v="0"/>
    <x v="17"/>
    <n v="111397.38589211617"/>
    <n v="1"/>
    <n v="7.0000000000000007E-2"/>
    <n v="0.18"/>
    <n v="0.75"/>
    <m/>
  </r>
  <r>
    <x v="9"/>
    <m/>
    <x v="1"/>
    <m/>
    <s v="Contribute to improved living conditions for conflict affected children and their families in Kachin/NSS states"/>
    <d v="2014-07-01T00:00:00"/>
    <d v="2015-08-31T00:00:00"/>
    <s v="Active"/>
    <x v="2"/>
    <n v="13266"/>
    <n v="0.75"/>
    <n v="0.25"/>
    <n v="0.25"/>
    <n v="0.75"/>
    <n v="0"/>
    <n v="1"/>
    <n v="0"/>
    <n v="13266"/>
    <n v="13266"/>
    <n v="13266"/>
    <n v="0"/>
    <n v="0"/>
    <n v="0"/>
    <n v="419947"/>
    <n v="0"/>
    <x v="18"/>
    <n v="239547.2323943662"/>
    <n v="1"/>
    <n v="7.0000000000000007E-2"/>
    <n v="0.18"/>
    <n v="0.75"/>
    <m/>
  </r>
  <r>
    <x v="9"/>
    <m/>
    <x v="10"/>
    <m/>
    <s v="MMR Humanitarian Assistance for Households Affected by Violence in Rakhine State, Burma"/>
    <d v="2015-01-04T00:00:00"/>
    <d v="2016-03-31T00:00:00"/>
    <s v="Active"/>
    <x v="3"/>
    <n v="1140"/>
    <n v="0"/>
    <n v="1"/>
    <n v="1"/>
    <n v="0"/>
    <n v="0"/>
    <n v="1"/>
    <n v="0"/>
    <n v="1140"/>
    <n v="1140"/>
    <n v="1140"/>
    <n v="0"/>
    <n v="0"/>
    <n v="0"/>
    <n v="236184"/>
    <n v="0"/>
    <x v="0"/>
    <n v="236184"/>
    <n v="1"/>
    <n v="7.0000000000000007E-2"/>
    <n v="0.18"/>
    <n v="0.75"/>
    <m/>
  </r>
  <r>
    <x v="10"/>
    <m/>
    <x v="0"/>
    <s v="CERF"/>
    <s v="Humanitarian Assistance to Internally Dispalced Persons in Kachin"/>
    <d v="2013-12-24T00:00:00"/>
    <d v="2014-10-31T00:00:00"/>
    <s v="Completed"/>
    <x v="1"/>
    <n v="6184"/>
    <n v="0"/>
    <n v="1"/>
    <n v="0"/>
    <n v="0"/>
    <n v="1"/>
    <n v="1"/>
    <n v="0"/>
    <n v="3538"/>
    <n v="2913"/>
    <n v="2238"/>
    <n v="0"/>
    <n v="0"/>
    <n v="0"/>
    <n v="306018"/>
    <n v="7871.8456591639551"/>
    <x v="19"/>
    <n v="0"/>
    <n v="1"/>
    <n v="0.42000000000000004"/>
    <n v="0.24"/>
    <n v="0.34"/>
    <m/>
  </r>
  <r>
    <x v="11"/>
    <m/>
    <x v="0"/>
    <m/>
    <s v="Emergency WASH support for the affected population in Southern Kachin State"/>
    <d v="2012-06-04T00:00:00"/>
    <d v="2013-01-16T00:00:00"/>
    <s v="Completed"/>
    <x v="0"/>
    <n v="11524"/>
    <n v="0.22"/>
    <n v="0.78"/>
    <n v="0"/>
    <n v="1"/>
    <n v="0"/>
    <n v="1"/>
    <n v="0"/>
    <n v="9024"/>
    <n v="9024"/>
    <n v="9024"/>
    <n v="2500"/>
    <n v="2500"/>
    <n v="2500"/>
    <n v="220000"/>
    <n v="220000"/>
    <x v="0"/>
    <n v="0"/>
    <n v="0.85"/>
    <n v="0.33"/>
    <n v="0.23"/>
    <n v="0.44"/>
    <m/>
  </r>
  <r>
    <x v="11"/>
    <m/>
    <x v="0"/>
    <m/>
    <s v="Emergency WASH support for the affected population in Southern Kachin State"/>
    <d v="2012-11-27T00:00:00"/>
    <d v="2013-02-26T00:00:00"/>
    <s v="Completed"/>
    <x v="0"/>
    <n v="7000"/>
    <n v="0"/>
    <n v="1"/>
    <n v="0"/>
    <n v="1"/>
    <n v="0"/>
    <n v="1"/>
    <n v="0"/>
    <n v="7000"/>
    <n v="7000"/>
    <n v="7000"/>
    <m/>
    <m/>
    <m/>
    <n v="158854"/>
    <n v="158854"/>
    <x v="0"/>
    <n v="0"/>
    <n v="1"/>
    <n v="0.95637415012976246"/>
    <n v="1.5354404523431255E-2"/>
    <n v="2.8271445346806263E-2"/>
    <m/>
  </r>
  <r>
    <x v="11"/>
    <m/>
    <x v="1"/>
    <m/>
    <s v="Water, Sanitation and Hygiene assistance for IDPs affected by the conflict in Southern Kachin State (ECHO/-XA/BUD/2012/91023)"/>
    <d v="2013-06-01T00:00:00"/>
    <d v="2014-05-31T00:00:00"/>
    <s v="Completed"/>
    <x v="1"/>
    <n v="13020"/>
    <n v="0.60675883256528418"/>
    <n v="0.39324116743471582"/>
    <n v="0"/>
    <n v="1"/>
    <n v="0"/>
    <n v="1"/>
    <n v="0"/>
    <n v="5120"/>
    <n v="13020"/>
    <n v="5120"/>
    <n v="0"/>
    <n v="0"/>
    <n v="0"/>
    <n v="796569"/>
    <n v="468312.54395604396"/>
    <x v="20"/>
    <n v="0"/>
    <n v="1"/>
    <n v="0.23"/>
    <n v="0.01"/>
    <n v="0.19"/>
    <s v="Part of global project including Rakhines. For activities the 58% remaining are for Winter kits and assesment of new sites."/>
  </r>
  <r>
    <x v="11"/>
    <m/>
    <x v="12"/>
    <m/>
    <s v=" WASH activities and distribution of non-food items in the Bhamo camps"/>
    <d v="2012-01-04T00:00:00"/>
    <d v="2012-05-03T00:00:00"/>
    <s v="Completed"/>
    <x v="0"/>
    <n v="7280"/>
    <n v="0"/>
    <n v="1"/>
    <n v="0"/>
    <n v="1"/>
    <n v="0"/>
    <n v="1"/>
    <n v="0"/>
    <n v="4500"/>
    <n v="0"/>
    <n v="7280"/>
    <n v="0"/>
    <n v="0"/>
    <n v="0"/>
    <n v="197000"/>
    <n v="197000"/>
    <x v="0"/>
    <n v="0"/>
    <n v="1"/>
    <n v="0.05"/>
    <n v="0"/>
    <n v="0.95"/>
    <m/>
  </r>
  <r>
    <x v="11"/>
    <m/>
    <x v="1"/>
    <s v="UNICEF/OFDA"/>
    <s v="Water, Sanitation and Hygiene assistance for IDPs affected by the conflict in Southern Kachin State (ECHO/-XA/BUD/2012/91023)"/>
    <d v="2012-07-25T00:00:00"/>
    <d v="2013-06-24T00:00:00"/>
    <s v="Completed"/>
    <x v="0"/>
    <n v="35714"/>
    <n v="0.63162905303242423"/>
    <n v="0.36837094696757577"/>
    <n v="0"/>
    <n v="1"/>
    <n v="0"/>
    <n v="1"/>
    <n v="0"/>
    <n v="13773"/>
    <n v="13667"/>
    <n v="29447"/>
    <n v="0"/>
    <n v="0"/>
    <n v="0"/>
    <n v="504350"/>
    <n v="504350"/>
    <x v="0"/>
    <n v="0"/>
    <n v="1"/>
    <n v="0.39643956684854842"/>
    <n v="5.0268897101294854E-2"/>
    <n v="0.19999887842710617"/>
    <s v="Cofi-UNICEF-CERF//ECHO The reported beneficiaries are under the ECHO Project for both of those project // ----------------------------------------------------------------the remaining 35% for the distribution of Winter Kits"/>
  </r>
  <r>
    <x v="11"/>
    <m/>
    <x v="1"/>
    <m/>
    <s v="Improving water access, hygiene and sanitation conditions of the conflict affected population in Kachin and Rakhine States"/>
    <d v="2014-09-01T00:00:00"/>
    <d v="2015-08-30T00:00:00"/>
    <s v="Active"/>
    <x v="2"/>
    <n v="22403"/>
    <n v="0.64027139222425566"/>
    <n v="0.35972860777574434"/>
    <n v="0"/>
    <n v="1"/>
    <n v="0"/>
    <n v="1"/>
    <n v="0"/>
    <n v="22403"/>
    <n v="22403"/>
    <n v="22403"/>
    <n v="0"/>
    <n v="0"/>
    <n v="0"/>
    <n v="649786"/>
    <n v="0"/>
    <x v="21"/>
    <n v="433190.66666666663"/>
    <n v="1"/>
    <n v="0.36"/>
    <n v="0.02"/>
    <n v="0.62"/>
    <s v="Part of global project including Rakhine State"/>
  </r>
  <r>
    <x v="11"/>
    <m/>
    <x v="13"/>
    <m/>
    <s v="Water, Sanitation and Hygiene rapid response to internal displacements in Kachin and Northern Shan States"/>
    <d v="2014-01-01T00:00:00"/>
    <d v="2014-06-30T00:00:00"/>
    <s v="Completed"/>
    <x v="2"/>
    <n v="3000"/>
    <n v="0.5"/>
    <n v="0.5"/>
    <n v="0"/>
    <n v="1"/>
    <n v="0"/>
    <n v="1"/>
    <n v="0"/>
    <n v="3000"/>
    <n v="3000"/>
    <n v="3000"/>
    <n v="0"/>
    <n v="0"/>
    <n v="0"/>
    <n v="78945"/>
    <n v="0"/>
    <x v="22"/>
    <n v="0"/>
    <n v="1"/>
    <n v="0.33"/>
    <n v="0.33"/>
    <n v="0.33"/>
    <m/>
  </r>
  <r>
    <x v="11"/>
    <s v="SCI/Oxfam"/>
    <x v="13"/>
    <m/>
    <s v="Water, Sanitation and Hygiene rapid response for people affected by conflict induced displacements and natural disasters in Kachin and Northern Shan States"/>
    <d v="2014-09-01T00:00:00"/>
    <d v="2015-09-30T00:00:00"/>
    <s v="Active"/>
    <x v="2"/>
    <n v="5000"/>
    <n v="0.5"/>
    <n v="0.5"/>
    <n v="0.5"/>
    <n v="0.25"/>
    <n v="0.25"/>
    <n v="0.5"/>
    <n v="0.5"/>
    <n v="5000"/>
    <n v="5000"/>
    <n v="5000"/>
    <n v="0"/>
    <n v="0"/>
    <n v="0"/>
    <n v="267190"/>
    <n v="0"/>
    <x v="23"/>
    <n v="185134.18781725888"/>
    <m/>
    <n v="0.3"/>
    <n v="0.3"/>
    <n v="0.4"/>
    <s v="The targeting of beneifciaries cannot be detailed as this project aims at answering to new emergency following displacement or natural hazards"/>
  </r>
  <r>
    <x v="11"/>
    <m/>
    <x v="0"/>
    <m/>
    <s v="Integrated WaSH assistance to IDPs affected by conflict_x000a_ in Kachin State"/>
    <d v="2013-12-24T00:00:00"/>
    <d v="2014-08-23T00:00:00"/>
    <s v="Completed"/>
    <x v="1"/>
    <n v="11774"/>
    <n v="0.9"/>
    <n v="9.9999999999999978E-2"/>
    <n v="0"/>
    <n v="1"/>
    <n v="0"/>
    <n v="1"/>
    <n v="0"/>
    <n v="1250"/>
    <n v="1250"/>
    <n v="0"/>
    <n v="0"/>
    <n v="0"/>
    <n v="0"/>
    <n v="249000"/>
    <n v="8231.4049586776819"/>
    <x v="24"/>
    <n v="0"/>
    <n v="1"/>
    <n v="0.25"/>
    <n v="0.64"/>
    <n v="0.11"/>
    <m/>
  </r>
  <r>
    <x v="11"/>
    <m/>
    <x v="0"/>
    <m/>
    <s v="WaSH assistance to IDPs affected by conflict_x000a_ in Kachin State"/>
    <d v="2014-10-16T00:00:00"/>
    <d v="2015-04-15T00:00:00"/>
    <s v="Active"/>
    <x v="2"/>
    <n v="1250"/>
    <n v="0.9"/>
    <n v="9.9999999999999978E-2"/>
    <n v="0"/>
    <n v="1"/>
    <n v="0"/>
    <n v="1"/>
    <n v="0"/>
    <n v="1250"/>
    <n v="1250"/>
    <n v="0"/>
    <n v="0"/>
    <n v="0"/>
    <n v="0"/>
    <n v="249000"/>
    <n v="0"/>
    <x v="25"/>
    <n v="144447.51381215468"/>
    <n v="1"/>
    <n v="0.25"/>
    <n v="0.64"/>
    <n v="0.11"/>
    <m/>
  </r>
  <r>
    <x v="11"/>
    <m/>
    <x v="10"/>
    <m/>
    <s v="Emergency WASH assistance and Food Security and Livelihood support to vulnerable populations affected by conflicts in Rakhine and Kachin States"/>
    <d v="2014-05-01T00:00:00"/>
    <d v="2015-04-30T00:00:00"/>
    <s v="Active"/>
    <x v="2"/>
    <n v="6905"/>
    <n v="0.3"/>
    <n v="0.7"/>
    <n v="0"/>
    <n v="1"/>
    <n v="0"/>
    <n v="1"/>
    <n v="0"/>
    <n v="6905"/>
    <n v="6905"/>
    <n v="6905"/>
    <n v="0"/>
    <n v="0"/>
    <n v="0"/>
    <n v="469947"/>
    <n v="0"/>
    <x v="26"/>
    <n v="154927.58241758242"/>
    <n v="1"/>
    <n v="0.56999999999999995"/>
    <n v="0.16"/>
    <n v="0.12"/>
    <m/>
  </r>
  <r>
    <x v="11"/>
    <m/>
    <x v="10"/>
    <m/>
    <s v="Emergency WASH assistance and Food Security and Livelihood support to vulnerable populations affected by conflicts in Rakhine and Kachin States"/>
    <d v="2015-05-01T00:00:00"/>
    <d v="2016-04-29T00:00:00"/>
    <s v="Active"/>
    <x v="3"/>
    <n v="15447"/>
    <n v="0.57999999999999996"/>
    <n v="0.42"/>
    <n v="0"/>
    <n v="1"/>
    <n v="0"/>
    <n v="1"/>
    <n v="0"/>
    <n v="15447"/>
    <n v="15447"/>
    <n v="15447"/>
    <n v="0"/>
    <n v="0"/>
    <n v="0"/>
    <n v="1000000"/>
    <n v="0"/>
    <x v="0"/>
    <n v="1000000"/>
    <m/>
    <m/>
    <m/>
    <m/>
    <m/>
  </r>
  <r>
    <x v="11"/>
    <m/>
    <x v="1"/>
    <m/>
    <s v="Improving water access, hygiene and sanitation conditions of the conflict affected population in Kachin and Rakhine States"/>
    <d v="2015-09-01T00:00:00"/>
    <d v="2016-05-31T00:00:00"/>
    <s v="In soumission"/>
    <x v="3"/>
    <n v="17285"/>
    <n v="0.41"/>
    <n v="0.59000000000000008"/>
    <n v="0"/>
    <n v="1"/>
    <n v="0"/>
    <n v="0.88"/>
    <n v="0.11"/>
    <n v="15375"/>
    <n v="15375"/>
    <n v="15375"/>
    <n v="1910"/>
    <n v="1910"/>
    <n v="1910"/>
    <m/>
    <n v="0"/>
    <x v="0"/>
    <n v="0"/>
    <m/>
    <m/>
    <m/>
    <m/>
    <m/>
  </r>
  <r>
    <x v="12"/>
    <s v="KMSS"/>
    <x v="14"/>
    <s v="DIFID"/>
    <s v="WASH activity and distribution of Hygiene Kits in Myitkyina and Lashio"/>
    <d v="2013-07-01T00:00:00"/>
    <d v="2014-03-31T00:00:00"/>
    <s v="Completed"/>
    <x v="1"/>
    <n v="9561"/>
    <n v="0.2"/>
    <n v="0.8"/>
    <m/>
    <m/>
    <m/>
    <n v="1"/>
    <n v="0"/>
    <n v="5383"/>
    <n v="1844"/>
    <n v="9066"/>
    <n v="0"/>
    <n v="0"/>
    <n v="0"/>
    <n v="245165"/>
    <n v="165239.41391941393"/>
    <x v="27"/>
    <n v="0"/>
    <n v="1"/>
    <n v="0.38"/>
    <n v="0.11"/>
    <n v="0.51"/>
    <m/>
  </r>
  <r>
    <x v="13"/>
    <m/>
    <x v="15"/>
    <m/>
    <s v="Secondment of a WASH emergency officer to UNICEF for work in Kachin"/>
    <d v="2013-01-03T00:00:00"/>
    <d v="2013-01-31T00:00:00"/>
    <s v="Completed"/>
    <x v="1"/>
    <n v="0"/>
    <n v="0.5"/>
    <n v="0.5"/>
    <n v="0.33"/>
    <n v="0.33"/>
    <n v="0.33"/>
    <n v="1"/>
    <n v="0"/>
    <m/>
    <m/>
    <m/>
    <m/>
    <m/>
    <m/>
    <n v="106270"/>
    <n v="106270"/>
    <x v="0"/>
    <n v="0"/>
    <n v="1"/>
    <n v="0.33"/>
    <n v="0.33"/>
    <n v="0.33"/>
    <m/>
  </r>
  <r>
    <x v="13"/>
    <m/>
    <x v="15"/>
    <m/>
    <s v="Secondment of a WASH emergency Capacity building to UNICEF for work in Kachin"/>
    <d v="2014-02-01T00:00:00"/>
    <d v="2014-07-31T00:00:00"/>
    <s v="Completed"/>
    <x v="2"/>
    <n v="0"/>
    <n v="0.5"/>
    <n v="0.5"/>
    <n v="0.33"/>
    <n v="0.33"/>
    <n v="0.33"/>
    <n v="1"/>
    <n v="0"/>
    <m/>
    <m/>
    <m/>
    <m/>
    <m/>
    <m/>
    <n v="50000"/>
    <n v="0"/>
    <x v="28"/>
    <n v="0"/>
    <n v="1"/>
    <n v="0.33"/>
    <n v="0.33"/>
    <n v="0.33"/>
    <m/>
  </r>
  <r>
    <x v="13"/>
    <m/>
    <x v="16"/>
    <m/>
    <m/>
    <d v="2012-04-17T00:00:00"/>
    <m/>
    <s v="Completed"/>
    <x v="0"/>
    <n v="86740"/>
    <n v="0.42569748674198754"/>
    <n v="0.56999999999999995"/>
    <n v="0"/>
    <n v="0.26861886096379989"/>
    <n v="0.73"/>
    <n v="1"/>
    <n v="0"/>
    <n v="36740"/>
    <n v="36740"/>
    <n v="36740"/>
    <m/>
    <m/>
    <m/>
    <n v="981022.61"/>
    <n v="981022.61"/>
    <x v="0"/>
    <n v="0"/>
    <m/>
    <m/>
    <m/>
    <m/>
    <m/>
  </r>
  <r>
    <x v="13"/>
    <m/>
    <x v="10"/>
    <m/>
    <m/>
    <d v="2012-08-23T00:00:00"/>
    <d v="2014-09-30T00:00:00"/>
    <s v="Completed"/>
    <x v="0"/>
    <n v="89815"/>
    <n v="0.61"/>
    <n v="0.39"/>
    <n v="6.2762344819907584E-2"/>
    <n v="0.60472081500862884"/>
    <n v="0.33500000000000002"/>
    <n v="1"/>
    <n v="0"/>
    <n v="86580"/>
    <n v="86822"/>
    <n v="86822"/>
    <m/>
    <m/>
    <m/>
    <n v="1652740"/>
    <n v="1067394.5833333333"/>
    <x v="29"/>
    <n v="0"/>
    <m/>
    <m/>
    <m/>
    <m/>
    <m/>
  </r>
  <r>
    <x v="13"/>
    <m/>
    <x v="10"/>
    <m/>
    <m/>
    <d v="2015-01-01T00:00:00"/>
    <s v="31/1/2015"/>
    <s v="Active"/>
    <x v="3"/>
    <m/>
    <m/>
    <m/>
    <m/>
    <m/>
    <m/>
    <m/>
    <m/>
    <m/>
    <m/>
    <m/>
    <m/>
    <m/>
    <m/>
    <n v="300000"/>
    <n v="0"/>
    <x v="0"/>
    <n v="300000"/>
    <m/>
    <m/>
    <m/>
    <m/>
    <m/>
  </r>
  <r>
    <x v="13"/>
    <m/>
    <x v="17"/>
    <m/>
    <m/>
    <d v="2014-04-01T00:00:00"/>
    <d v="2015-03-31T00:00:00"/>
    <s v="Completed"/>
    <x v="2"/>
    <m/>
    <m/>
    <m/>
    <m/>
    <m/>
    <m/>
    <m/>
    <m/>
    <m/>
    <m/>
    <m/>
    <m/>
    <m/>
    <m/>
    <n v="750000"/>
    <n v="0"/>
    <x v="30"/>
    <n v="185439.56043956045"/>
    <m/>
    <m/>
    <m/>
    <m/>
    <m/>
  </r>
  <r>
    <x v="13"/>
    <m/>
    <x v="16"/>
    <m/>
    <m/>
    <d v="2014-04-01T00:00:00"/>
    <d v="2014-12-31T00:00:00"/>
    <s v="Completed"/>
    <x v="2"/>
    <n v="10837"/>
    <n v="0.43323798099104921"/>
    <n v="0.56999999999999995"/>
    <n v="0.23798099104918335"/>
    <n v="0"/>
    <n v="0.76"/>
    <n v="1"/>
    <n v="0"/>
    <n v="10837"/>
    <m/>
    <m/>
    <m/>
    <m/>
    <m/>
    <n v="700000"/>
    <n v="0"/>
    <x v="31"/>
    <n v="0"/>
    <m/>
    <m/>
    <m/>
    <m/>
    <m/>
  </r>
  <r>
    <x v="13"/>
    <m/>
    <x v="16"/>
    <m/>
    <m/>
    <d v="2013-09-16T00:00:00"/>
    <d v="2014-06-30T00:00:00"/>
    <s v="Completed"/>
    <x v="1"/>
    <n v="9940"/>
    <n v="0.24557344064386319"/>
    <n v="0.75"/>
    <n v="0.23048289738430583"/>
    <n v="0"/>
    <n v="0.77"/>
    <n v="1"/>
    <n v="0"/>
    <n v="5989"/>
    <n v="5462"/>
    <n v="6137"/>
    <m/>
    <m/>
    <m/>
    <n v="514030"/>
    <n v="191641.84668989549"/>
    <x v="32"/>
    <n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8">
  <location ref="B374:C394" firstHeaderRow="1" firstDataRow="1" firstDataCol="1" rowPageCount="3" colPageCount="1"/>
  <pivotFields count="95">
    <pivotField axis="axisRow" showAll="0">
      <items count="21">
        <item x="11"/>
        <item x="0"/>
        <item x="1"/>
        <item x="2"/>
        <item x="15"/>
        <item x="3"/>
        <item x="10"/>
        <item x="18"/>
        <item x="4"/>
        <item x="5"/>
        <item x="6"/>
        <item x="13"/>
        <item x="7"/>
        <item x="14"/>
        <item x="17"/>
        <item x="8"/>
        <item x="12"/>
        <item m="1" x="19"/>
        <item x="9"/>
        <item x="16"/>
        <item t="default"/>
      </items>
    </pivotField>
    <pivotField showAll="0"/>
    <pivotField showAll="0"/>
    <pivotField showAll="0"/>
    <pivotField showAll="0"/>
    <pivotField showAll="0"/>
    <pivotField axis="axisPage" multipleItemSelectionAllowed="1" showAll="0">
      <items count="4">
        <item x="0"/>
        <item h="1" x="2"/>
        <item h="1" x="1"/>
        <item t="default"/>
      </items>
    </pivotField>
    <pivotField axis="axisPage" multipleItemSelectionAllowed="1"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0">
    <i>
      <x/>
    </i>
    <i>
      <x v="1"/>
    </i>
    <i>
      <x v="2"/>
    </i>
    <i>
      <x v="3"/>
    </i>
    <i>
      <x v="4"/>
    </i>
    <i>
      <x v="5"/>
    </i>
    <i>
      <x v="6"/>
    </i>
    <i>
      <x v="7"/>
    </i>
    <i>
      <x v="8"/>
    </i>
    <i>
      <x v="9"/>
    </i>
    <i>
      <x v="10"/>
    </i>
    <i>
      <x v="11"/>
    </i>
    <i>
      <x v="12"/>
    </i>
    <i>
      <x v="13"/>
    </i>
    <i>
      <x v="14"/>
    </i>
    <i>
      <x v="15"/>
    </i>
    <i>
      <x v="16"/>
    </i>
    <i>
      <x v="18"/>
    </i>
    <i>
      <x v="19"/>
    </i>
    <i t="grand">
      <x/>
    </i>
  </rowItems>
  <colItems count="1">
    <i/>
  </colItems>
  <pageFields count="3">
    <pageField fld="6" hier="-1"/>
    <pageField fld="7" hier="-1"/>
    <pageField fld="19" hier="-1"/>
  </pageFields>
  <dataFields count="1">
    <dataField name="Sum of Coverage Full HK %" fld="90" baseField="0" baseItem="0"/>
  </dataFields>
  <formats count="2">
    <format dxfId="99">
      <pivotArea outline="0" collapsedLevelsAreSubtotals="1" fieldPosition="0"/>
    </format>
    <format dxfId="98">
      <pivotArea outline="0" collapsedLevelsAreSubtotals="1" fieldPosition="0"/>
    </format>
  </formats>
  <chartFormats count="2">
    <chartFormat chart="22" format="0" series="1">
      <pivotArea type="data" outline="0" fieldPosition="0">
        <references count="1">
          <reference field="4294967294" count="1" selected="0">
            <x v="0"/>
          </reference>
        </references>
      </pivotArea>
    </chartFormat>
    <chartFormat chart="2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8">
  <location ref="B178:D181" firstHeaderRow="0" firstDataRow="1" firstDataCol="1" rowPageCount="2" colPageCount="1"/>
  <pivotFields count="95">
    <pivotField showAll="0"/>
    <pivotField showAll="0"/>
    <pivotField showAll="0"/>
    <pivotField showAll="0"/>
    <pivotField showAll="0"/>
    <pivotField showAll="0"/>
    <pivotField axis="axisPage" multipleItemSelectionAllowed="1" showAll="0">
      <items count="4">
        <item x="0"/>
        <item h="1" x="2"/>
        <item h="1" x="1"/>
        <item t="default"/>
      </items>
    </pivotField>
    <pivotField axis="axisRow"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2">
    <i>
      <x/>
    </i>
    <i i="1">
      <x v="1"/>
    </i>
  </colItems>
  <pageFields count="2">
    <pageField fld="6" hier="-1"/>
    <pageField fld="19" hier="-1"/>
  </pageFields>
  <dataFields count="2">
    <dataField name="% Water Need coverage" fld="85" baseField="0" baseItem="0" numFmtId="1"/>
    <dataField name="% Coverage projection end of project" fld="92" baseField="0" baseItem="0"/>
  </dataFields>
  <formats count="7">
    <format dxfId="138">
      <pivotArea outline="0" collapsedLevelsAreSubtotals="1" fieldPosition="0"/>
    </format>
    <format dxfId="137">
      <pivotArea field="7" type="button" dataOnly="0" labelOnly="1" outline="0" axis="axisRow" fieldPosition="0"/>
    </format>
    <format dxfId="136">
      <pivotArea dataOnly="0" labelOnly="1" outline="0" fieldPosition="0">
        <references count="1">
          <reference field="4294967294" count="2">
            <x v="0"/>
            <x v="1"/>
          </reference>
        </references>
      </pivotArea>
    </format>
    <format dxfId="135">
      <pivotArea outline="0" collapsedLevelsAreSubtotals="1" fieldPosition="0"/>
    </format>
    <format dxfId="134">
      <pivotArea dataOnly="0" labelOnly="1" outline="0" fieldPosition="0">
        <references count="1">
          <reference field="4294967294" count="2">
            <x v="0"/>
            <x v="1"/>
          </reference>
        </references>
      </pivotArea>
    </format>
    <format dxfId="133">
      <pivotArea outline="0" collapsedLevelsAreSubtotals="1" fieldPosition="0"/>
    </format>
    <format dxfId="132">
      <pivotArea dataOnly="0" labelOnly="1" outline="0" fieldPosition="0">
        <references count="1">
          <reference field="4294967294" count="2">
            <x v="0"/>
            <x v="1"/>
          </reference>
        </references>
      </pivotArea>
    </format>
  </formats>
  <chartFormats count="2">
    <chartFormat chart="34" format="0" series="1">
      <pivotArea type="data" outline="0" fieldPosition="0">
        <references count="1">
          <reference field="4294967294" count="1" selected="0">
            <x v="0"/>
          </reference>
        </references>
      </pivotArea>
    </chartFormat>
    <chartFormat chart="34"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8"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location ref="B63:E74" firstHeaderRow="0" firstDataRow="1" firstDataCol="1" rowPageCount="3" colPageCount="1"/>
  <pivotFields count="95">
    <pivotField showAll="0"/>
    <pivotField showAll="0"/>
    <pivotField axis="axisRow"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Fields count="1">
    <field x="-2"/>
  </colFields>
  <colItems count="3">
    <i>
      <x/>
    </i>
    <i i="1">
      <x v="1"/>
    </i>
    <i i="2">
      <x v="2"/>
    </i>
  </colItems>
  <pageFields count="3">
    <pageField fld="6" hier="-1"/>
    <pageField fld="7" hier="-1"/>
    <pageField fld="19" hier="-1"/>
  </pageFields>
  <dataFields count="3">
    <dataField name="% Water Need coverage" fld="85" baseField="0" baseItem="0" numFmtId="1"/>
    <dataField name="% Latrine need coverage" fld="86" baseField="0" baseItem="0" numFmtId="1"/>
    <dataField name="% Bathroom need coverage" fld="87" baseField="0" baseItem="0" numFmtId="1"/>
  </dataFields>
  <formats count="5">
    <format dxfId="143">
      <pivotArea outline="0" collapsedLevelsAreSubtotals="1" fieldPosition="0"/>
    </format>
    <format dxfId="142">
      <pivotArea field="2" type="button" dataOnly="0" labelOnly="1" outline="0" axis="axisRow" fieldPosition="0"/>
    </format>
    <format dxfId="141">
      <pivotArea dataOnly="0" labelOnly="1" outline="0" fieldPosition="0">
        <references count="1">
          <reference field="4294967294" count="3">
            <x v="0"/>
            <x v="1"/>
            <x v="2"/>
          </reference>
        </references>
      </pivotArea>
    </format>
    <format dxfId="140">
      <pivotArea outline="0" collapsedLevelsAreSubtotals="1" fieldPosition="0"/>
    </format>
    <format dxfId="139">
      <pivotArea dataOnly="0" labelOnly="1" outline="0" fieldPosition="0">
        <references count="1">
          <reference field="4294967294" count="3">
            <x v="0"/>
            <x v="1"/>
            <x v="2"/>
          </reference>
        </references>
      </pivotArea>
    </format>
  </format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18" series="1">
      <pivotArea type="data" outline="0" fieldPosition="0">
        <references count="1">
          <reference field="4294967294" count="1" selected="0">
            <x v="0"/>
          </reference>
        </references>
      </pivotArea>
    </chartFormat>
    <chartFormat chart="2" format="19" series="1">
      <pivotArea type="data" outline="0" fieldPosition="0">
        <references count="1">
          <reference field="4294967294" count="1" selected="0">
            <x v="1"/>
          </reference>
        </references>
      </pivotArea>
    </chartFormat>
    <chartFormat chart="2" format="20" series="1">
      <pivotArea type="data" outline="0" fieldPosition="0">
        <references count="1">
          <reference field="4294967294" count="1" selected="0">
            <x v="2"/>
          </reference>
        </references>
      </pivotArea>
    </chartFormat>
    <chartFormat chart="5" format="24" series="1">
      <pivotArea type="data" outline="0" fieldPosition="0">
        <references count="1">
          <reference field="4294967294" count="1" selected="0">
            <x v="0"/>
          </reference>
        </references>
      </pivotArea>
    </chartFormat>
    <chartFormat chart="5" format="25" series="1">
      <pivotArea type="data" outline="0" fieldPosition="0">
        <references count="1">
          <reference field="4294967294" count="1" selected="0">
            <x v="1"/>
          </reference>
        </references>
      </pivotArea>
    </chartFormat>
    <chartFormat chart="5" format="26"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29"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2">
  <location ref="B698:E710" firstHeaderRow="1" firstDataRow="2" firstDataCol="1" rowPageCount="2" colPageCount="1"/>
  <pivotFields count="95">
    <pivotField showAll="0"/>
    <pivotField showAll="0"/>
    <pivotField axis="axisRow" showAll="0">
      <items count="11">
        <item x="1"/>
        <item x="5"/>
        <item x="2"/>
        <item x="6"/>
        <item x="4"/>
        <item x="3"/>
        <item x="7"/>
        <item x="8"/>
        <item x="9"/>
        <item x="0"/>
        <item t="default"/>
      </items>
    </pivotField>
    <pivotField showAll="0"/>
    <pivotField showAll="0"/>
    <pivotField showAll="0"/>
    <pivotField axis="axisPage" multipleItemSelectionAllowed="1" showAll="0">
      <items count="4">
        <item x="0"/>
        <item x="2"/>
        <item x="1"/>
        <item t="default"/>
      </items>
    </pivotField>
    <pivotField axis="axisPage"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Col" dataField="1"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Fields count="1">
    <field x="19"/>
  </colFields>
  <colItems count="3">
    <i>
      <x/>
    </i>
    <i>
      <x v="1"/>
    </i>
    <i t="grand">
      <x/>
    </i>
  </colItems>
  <pageFields count="2">
    <pageField fld="6" hier="-1"/>
    <pageField fld="7" hier="-1"/>
  </pageFields>
  <dataFields count="1">
    <dataField name="Count of Documented" fld="19" subtotal="count" baseField="0" baseItem="0"/>
  </dataFields>
  <formats count="3">
    <format dxfId="146">
      <pivotArea outline="0" collapsedLevelsAreSubtotals="1" fieldPosition="0"/>
    </format>
    <format dxfId="145">
      <pivotArea outline="0" collapsedLevelsAreSubtotals="1" fieldPosition="0"/>
    </format>
    <format dxfId="144">
      <pivotArea outline="0" collapsedLevelsAreSubtotals="1" fieldPosition="0"/>
    </format>
  </formats>
  <chartFormats count="4">
    <chartFormat chart="48" format="0" series="1">
      <pivotArea type="data" outline="0" fieldPosition="0">
        <references count="2">
          <reference field="4294967294" count="1" selected="0">
            <x v="0"/>
          </reference>
          <reference field="19" count="1" selected="0">
            <x v="0"/>
          </reference>
        </references>
      </pivotArea>
    </chartFormat>
    <chartFormat chart="48" format="1" series="1">
      <pivotArea type="data" outline="0" fieldPosition="0">
        <references count="2">
          <reference field="4294967294" count="1" selected="0">
            <x v="0"/>
          </reference>
          <reference field="19" count="1" selected="0">
            <x v="1"/>
          </reference>
        </references>
      </pivotArea>
    </chartFormat>
    <chartFormat chart="50" format="0" series="1">
      <pivotArea type="data" outline="0" fieldPosition="0">
        <references count="2">
          <reference field="4294967294" count="1" selected="0">
            <x v="0"/>
          </reference>
          <reference field="19" count="1" selected="0">
            <x v="0"/>
          </reference>
        </references>
      </pivotArea>
    </chartFormat>
    <chartFormat chart="50" format="1" series="1">
      <pivotArea type="data" outline="0" fieldPosition="0">
        <references count="2">
          <reference field="4294967294" count="1" selected="0">
            <x v="0"/>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27"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6">
  <location ref="B464:C471" firstHeaderRow="1" firstDataRow="1" firstDataCol="1" rowPageCount="3" colPageCount="1"/>
  <pivotFields count="95">
    <pivotField showAll="0"/>
    <pivotField showAll="0"/>
    <pivotField showAll="0"/>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axis="axisRow" dataField="1" showAll="0">
      <items count="8">
        <item x="0"/>
        <item x="2"/>
        <item x="3"/>
        <item x="1"/>
        <item x="4"/>
        <item x="5"/>
        <item m="1" x="6"/>
        <item t="default"/>
      </items>
    </pivotField>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6"/>
  </rowFields>
  <rowItems count="7">
    <i>
      <x/>
    </i>
    <i>
      <x v="1"/>
    </i>
    <i>
      <x v="2"/>
    </i>
    <i>
      <x v="3"/>
    </i>
    <i>
      <x v="4"/>
    </i>
    <i>
      <x v="5"/>
    </i>
    <i t="grand">
      <x/>
    </i>
  </rowItems>
  <colItems count="1">
    <i/>
  </colItems>
  <pageFields count="3">
    <pageField fld="6" hier="-1"/>
    <pageField fld="7" hier="-1"/>
    <pageField fld="19" hier="-1"/>
  </pageFields>
  <dataFields count="1">
    <dataField name="Count of Latrines gender sperated" fld="46" subtotal="count" baseField="0" baseItem="0" numFmtId="1"/>
  </dataFields>
  <formats count="3">
    <format dxfId="149">
      <pivotArea outline="0" collapsedLevelsAreSubtotals="1" fieldPosition="0"/>
    </format>
    <format dxfId="148">
      <pivotArea outline="0" collapsedLevelsAreSubtotals="1" fieldPosition="0"/>
    </format>
    <format dxfId="147">
      <pivotArea outline="0" fieldPosition="0">
        <references count="1">
          <reference field="4294967294" count="1">
            <x v="0"/>
          </reference>
        </references>
      </pivotArea>
    </format>
  </formats>
  <chartFormats count="15">
    <chartFormat chart="30" format="15" series="1">
      <pivotArea type="data" outline="0" fieldPosition="0">
        <references count="1">
          <reference field="4294967294" count="1" selected="0">
            <x v="0"/>
          </reference>
        </references>
      </pivotArea>
    </chartFormat>
    <chartFormat chart="30" format="16">
      <pivotArea type="data" outline="0" fieldPosition="0">
        <references count="2">
          <reference field="4294967294" count="1" selected="0">
            <x v="0"/>
          </reference>
          <reference field="46" count="1" selected="0">
            <x v="0"/>
          </reference>
        </references>
      </pivotArea>
    </chartFormat>
    <chartFormat chart="30" format="17">
      <pivotArea type="data" outline="0" fieldPosition="0">
        <references count="2">
          <reference field="4294967294" count="1" selected="0">
            <x v="0"/>
          </reference>
          <reference field="46" count="1" selected="0">
            <x v="1"/>
          </reference>
        </references>
      </pivotArea>
    </chartFormat>
    <chartFormat chart="30" format="18">
      <pivotArea type="data" outline="0" fieldPosition="0">
        <references count="2">
          <reference field="4294967294" count="1" selected="0">
            <x v="0"/>
          </reference>
          <reference field="46" count="1" selected="0">
            <x v="2"/>
          </reference>
        </references>
      </pivotArea>
    </chartFormat>
    <chartFormat chart="30" format="19">
      <pivotArea type="data" outline="0" fieldPosition="0">
        <references count="2">
          <reference field="4294967294" count="1" selected="0">
            <x v="0"/>
          </reference>
          <reference field="46" count="1" selected="0">
            <x v="3"/>
          </reference>
        </references>
      </pivotArea>
    </chartFormat>
    <chartFormat chart="30" format="20">
      <pivotArea type="data" outline="0" fieldPosition="0">
        <references count="2">
          <reference field="4294967294" count="1" selected="0">
            <x v="0"/>
          </reference>
          <reference field="46" count="1" selected="0">
            <x v="6"/>
          </reference>
        </references>
      </pivotArea>
    </chartFormat>
    <chartFormat chart="30" format="21">
      <pivotArea type="data" outline="0" fieldPosition="0">
        <references count="2">
          <reference field="4294967294" count="1" selected="0">
            <x v="0"/>
          </reference>
          <reference field="46" count="1" selected="0">
            <x v="4"/>
          </reference>
        </references>
      </pivotArea>
    </chartFormat>
    <chartFormat chart="30" format="22">
      <pivotArea type="data" outline="0" fieldPosition="0">
        <references count="2">
          <reference field="4294967294" count="1" selected="0">
            <x v="0"/>
          </reference>
          <reference field="46" count="1" selected="0">
            <x v="5"/>
          </reference>
        </references>
      </pivotArea>
    </chartFormat>
    <chartFormat chart="35" format="30" series="1">
      <pivotArea type="data" outline="0" fieldPosition="0">
        <references count="1">
          <reference field="4294967294" count="1" selected="0">
            <x v="0"/>
          </reference>
        </references>
      </pivotArea>
    </chartFormat>
    <chartFormat chart="35" format="31">
      <pivotArea type="data" outline="0" fieldPosition="0">
        <references count="2">
          <reference field="4294967294" count="1" selected="0">
            <x v="0"/>
          </reference>
          <reference field="46" count="1" selected="0">
            <x v="0"/>
          </reference>
        </references>
      </pivotArea>
    </chartFormat>
    <chartFormat chart="35" format="32">
      <pivotArea type="data" outline="0" fieldPosition="0">
        <references count="2">
          <reference field="4294967294" count="1" selected="0">
            <x v="0"/>
          </reference>
          <reference field="46" count="1" selected="0">
            <x v="1"/>
          </reference>
        </references>
      </pivotArea>
    </chartFormat>
    <chartFormat chart="35" format="33">
      <pivotArea type="data" outline="0" fieldPosition="0">
        <references count="2">
          <reference field="4294967294" count="1" selected="0">
            <x v="0"/>
          </reference>
          <reference field="46" count="1" selected="0">
            <x v="2"/>
          </reference>
        </references>
      </pivotArea>
    </chartFormat>
    <chartFormat chart="35" format="34">
      <pivotArea type="data" outline="0" fieldPosition="0">
        <references count="2">
          <reference field="4294967294" count="1" selected="0">
            <x v="0"/>
          </reference>
          <reference field="46" count="1" selected="0">
            <x v="3"/>
          </reference>
        </references>
      </pivotArea>
    </chartFormat>
    <chartFormat chart="35" format="35">
      <pivotArea type="data" outline="0" fieldPosition="0">
        <references count="2">
          <reference field="4294967294" count="1" selected="0">
            <x v="0"/>
          </reference>
          <reference field="46" count="1" selected="0">
            <x v="4"/>
          </reference>
        </references>
      </pivotArea>
    </chartFormat>
    <chartFormat chart="35" format="36">
      <pivotArea type="data" outline="0" fieldPosition="0">
        <references count="2">
          <reference field="4294967294" count="1" selected="0">
            <x v="0"/>
          </reference>
          <reference field="4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location ref="B118:E125" firstHeaderRow="0" firstDataRow="1" firstDataCol="1" rowPageCount="3" colPageCount="1"/>
  <pivotFields count="95">
    <pivotField showAll="0"/>
    <pivotField showAll="0"/>
    <pivotField showAll="0"/>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axis="axisRow" showAll="0">
      <items count="7">
        <item x="1"/>
        <item x="0"/>
        <item x="2"/>
        <item x="3"/>
        <item x="4"/>
        <item x="5"/>
        <item t="default"/>
      </items>
    </pivotField>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1"/>
  </rowFields>
  <rowItems count="7">
    <i>
      <x/>
    </i>
    <i>
      <x v="1"/>
    </i>
    <i>
      <x v="2"/>
    </i>
    <i>
      <x v="3"/>
    </i>
    <i>
      <x v="4"/>
    </i>
    <i>
      <x v="5"/>
    </i>
    <i t="grand">
      <x/>
    </i>
  </rowItems>
  <colFields count="1">
    <field x="-2"/>
  </colFields>
  <colItems count="3">
    <i>
      <x/>
    </i>
    <i i="1">
      <x v="1"/>
    </i>
    <i i="2">
      <x v="2"/>
    </i>
  </colItems>
  <pageFields count="3">
    <pageField fld="6" hier="-1"/>
    <pageField fld="7" hier="-1"/>
    <pageField fld="19" hier="-1"/>
  </pageFields>
  <dataFields count="3">
    <dataField name="% Water Need coverage" fld="85" baseField="0" baseItem="0" numFmtId="1"/>
    <dataField name="% Latrine need coverage" fld="86" baseField="0" baseItem="0" numFmtId="1"/>
    <dataField name="% Bathroom need coverage" fld="87" baseField="0" baseItem="0" numFmtId="1"/>
  </dataFields>
  <formats count="6">
    <format dxfId="155">
      <pivotArea outline="0" collapsedLevelsAreSubtotals="1" fieldPosition="0"/>
    </format>
    <format dxfId="154">
      <pivotArea field="11" type="button" dataOnly="0" labelOnly="1" outline="0" axis="axisRow" fieldPosition="0"/>
    </format>
    <format dxfId="153">
      <pivotArea dataOnly="0" labelOnly="1" outline="0" fieldPosition="0">
        <references count="1">
          <reference field="4294967294" count="3">
            <x v="0"/>
            <x v="1"/>
            <x v="2"/>
          </reference>
        </references>
      </pivotArea>
    </format>
    <format dxfId="152">
      <pivotArea outline="0" collapsedLevelsAreSubtotals="1" fieldPosition="0"/>
    </format>
    <format dxfId="151">
      <pivotArea dataOnly="0" labelOnly="1" outline="0" fieldPosition="0">
        <references count="1">
          <reference field="4294967294" count="3">
            <x v="0"/>
            <x v="1"/>
            <x v="2"/>
          </reference>
        </references>
      </pivotArea>
    </format>
    <format dxfId="150">
      <pivotArea dataOnly="0" outline="0" fieldPosition="0">
        <references count="1">
          <reference field="4294967294" count="3">
            <x v="0"/>
            <x v="1"/>
            <x v="2"/>
          </reference>
        </references>
      </pivotArea>
    </format>
  </format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4" format="18" series="1">
      <pivotArea type="data" outline="0" fieldPosition="0">
        <references count="1">
          <reference field="4294967294" count="1" selected="0">
            <x v="0"/>
          </reference>
        </references>
      </pivotArea>
    </chartFormat>
    <chartFormat chart="4" format="19" series="1">
      <pivotArea type="data" outline="0" fieldPosition="0">
        <references count="1">
          <reference field="4294967294" count="1" selected="0">
            <x v="1"/>
          </reference>
        </references>
      </pivotArea>
    </chartFormat>
    <chartFormat chart="4" format="20"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26"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6">
  <location ref="B445:C453" firstHeaderRow="1" firstDataRow="1" firstDataCol="1" rowPageCount="3" colPageCount="1"/>
  <pivotFields count="95">
    <pivotField showAll="0"/>
    <pivotField showAll="0"/>
    <pivotField showAll="0"/>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axis="axisRow" dataField="1" showAll="0">
      <items count="16">
        <item x="5"/>
        <item m="1" x="11"/>
        <item x="0"/>
        <item m="1" x="10"/>
        <item m="1" x="8"/>
        <item m="1" x="14"/>
        <item m="1" x="12"/>
        <item m="1" x="9"/>
        <item x="3"/>
        <item m="1" x="13"/>
        <item x="4"/>
        <item x="2"/>
        <item x="1"/>
        <item m="1" x="7"/>
        <item x="6"/>
        <item t="default"/>
      </items>
    </pivotField>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83"/>
  </rowFields>
  <rowItems count="8">
    <i>
      <x/>
    </i>
    <i>
      <x v="2"/>
    </i>
    <i>
      <x v="8"/>
    </i>
    <i>
      <x v="10"/>
    </i>
    <i>
      <x v="11"/>
    </i>
    <i>
      <x v="12"/>
    </i>
    <i>
      <x v="14"/>
    </i>
    <i t="grand">
      <x/>
    </i>
  </rowItems>
  <colItems count="1">
    <i/>
  </colItems>
  <pageFields count="3">
    <pageField fld="6" hier="-1"/>
    <pageField fld="7" hier="-1"/>
    <pageField fld="19" hier="-1"/>
  </pageFields>
  <dataFields count="1">
    <dataField name="Count of Community management organise and efficient in camps" fld="83" subtotal="count" baseField="0" baseItem="0" numFmtId="3"/>
  </dataFields>
  <formats count="5">
    <format dxfId="160">
      <pivotArea outline="0" collapsedLevelsAreSubtotals="1" fieldPosition="0"/>
    </format>
    <format dxfId="159">
      <pivotArea outline="0" collapsedLevelsAreSubtotals="1" fieldPosition="0"/>
    </format>
    <format dxfId="158">
      <pivotArea outline="0" fieldPosition="0">
        <references count="1">
          <reference field="4294967294" count="1">
            <x v="0"/>
          </reference>
        </references>
      </pivotArea>
    </format>
    <format dxfId="157">
      <pivotArea field="83" type="button" dataOnly="0" labelOnly="1" outline="0" axis="axisRow" fieldPosition="0"/>
    </format>
    <format dxfId="156">
      <pivotArea dataOnly="0" labelOnly="1" outline="0" axis="axisValues" fieldPosition="0"/>
    </format>
  </formats>
  <chartFormats count="18">
    <chartFormat chart="28" format="0" series="1">
      <pivotArea type="data" outline="0" fieldPosition="0">
        <references count="1">
          <reference field="4294967294" count="1" selected="0">
            <x v="0"/>
          </reference>
        </references>
      </pivotArea>
    </chartFormat>
    <chartFormat chart="28" format="1">
      <pivotArea type="data" outline="0" fieldPosition="0">
        <references count="2">
          <reference field="4294967294" count="1" selected="0">
            <x v="0"/>
          </reference>
          <reference field="83" count="1" selected="0">
            <x v="2"/>
          </reference>
        </references>
      </pivotArea>
    </chartFormat>
    <chartFormat chart="28" format="2">
      <pivotArea type="data" outline="0" fieldPosition="0">
        <references count="2">
          <reference field="4294967294" count="1" selected="0">
            <x v="0"/>
          </reference>
          <reference field="83" count="1" selected="0">
            <x v="7"/>
          </reference>
        </references>
      </pivotArea>
    </chartFormat>
    <chartFormat chart="28" format="3">
      <pivotArea type="data" outline="0" fieldPosition="0">
        <references count="2">
          <reference field="4294967294" count="1" selected="0">
            <x v="0"/>
          </reference>
          <reference field="83" count="1" selected="0">
            <x v="11"/>
          </reference>
        </references>
      </pivotArea>
    </chartFormat>
    <chartFormat chart="28" format="4">
      <pivotArea type="data" outline="0" fieldPosition="0">
        <references count="2">
          <reference field="4294967294" count="1" selected="0">
            <x v="0"/>
          </reference>
          <reference field="83" count="1" selected="0">
            <x v="12"/>
          </reference>
        </references>
      </pivotArea>
    </chartFormat>
    <chartFormat chart="28" format="5">
      <pivotArea type="data" outline="0" fieldPosition="0">
        <references count="2">
          <reference field="4294967294" count="1" selected="0">
            <x v="0"/>
          </reference>
          <reference field="83" count="1" selected="0">
            <x v="8"/>
          </reference>
        </references>
      </pivotArea>
    </chartFormat>
    <chartFormat chart="35" format="12" series="1">
      <pivotArea type="data" outline="0" fieldPosition="0">
        <references count="1">
          <reference field="4294967294" count="1" selected="0">
            <x v="0"/>
          </reference>
        </references>
      </pivotArea>
    </chartFormat>
    <chartFormat chart="35" format="13">
      <pivotArea type="data" outline="0" fieldPosition="0">
        <references count="2">
          <reference field="4294967294" count="1" selected="0">
            <x v="0"/>
          </reference>
          <reference field="83" count="1" selected="0">
            <x v="2"/>
          </reference>
        </references>
      </pivotArea>
    </chartFormat>
    <chartFormat chart="35" format="14">
      <pivotArea type="data" outline="0" fieldPosition="0">
        <references count="2">
          <reference field="4294967294" count="1" selected="0">
            <x v="0"/>
          </reference>
          <reference field="83" count="1" selected="0">
            <x v="7"/>
          </reference>
        </references>
      </pivotArea>
    </chartFormat>
    <chartFormat chart="35" format="15">
      <pivotArea type="data" outline="0" fieldPosition="0">
        <references count="2">
          <reference field="4294967294" count="1" selected="0">
            <x v="0"/>
          </reference>
          <reference field="83" count="1" selected="0">
            <x v="8"/>
          </reference>
        </references>
      </pivotArea>
    </chartFormat>
    <chartFormat chart="35" format="16">
      <pivotArea type="data" outline="0" fieldPosition="0">
        <references count="2">
          <reference field="4294967294" count="1" selected="0">
            <x v="0"/>
          </reference>
          <reference field="83" count="1" selected="0">
            <x v="11"/>
          </reference>
        </references>
      </pivotArea>
    </chartFormat>
    <chartFormat chart="35" format="17">
      <pivotArea type="data" outline="0" fieldPosition="0">
        <references count="2">
          <reference field="4294967294" count="1" selected="0">
            <x v="0"/>
          </reference>
          <reference field="83" count="1" selected="0">
            <x v="12"/>
          </reference>
        </references>
      </pivotArea>
    </chartFormat>
    <chartFormat chart="35" format="18">
      <pivotArea type="data" outline="0" fieldPosition="0">
        <references count="2">
          <reference field="4294967294" count="1" selected="0">
            <x v="0"/>
          </reference>
          <reference field="83" count="1" selected="0">
            <x v="0"/>
          </reference>
        </references>
      </pivotArea>
    </chartFormat>
    <chartFormat chart="28" format="6">
      <pivotArea type="data" outline="0" fieldPosition="0">
        <references count="2">
          <reference field="4294967294" count="1" selected="0">
            <x v="0"/>
          </reference>
          <reference field="83" count="1" selected="0">
            <x v="0"/>
          </reference>
        </references>
      </pivotArea>
    </chartFormat>
    <chartFormat chart="28" format="7">
      <pivotArea type="data" outline="0" fieldPosition="0">
        <references count="2">
          <reference field="4294967294" count="1" selected="0">
            <x v="0"/>
          </reference>
          <reference field="83" count="1" selected="0">
            <x v="10"/>
          </reference>
        </references>
      </pivotArea>
    </chartFormat>
    <chartFormat chart="35" format="19">
      <pivotArea type="data" outline="0" fieldPosition="0">
        <references count="2">
          <reference field="4294967294" count="1" selected="0">
            <x v="0"/>
          </reference>
          <reference field="83" count="1" selected="0">
            <x v="10"/>
          </reference>
        </references>
      </pivotArea>
    </chartFormat>
    <chartFormat chart="35" format="20">
      <pivotArea type="data" outline="0" fieldPosition="0">
        <references count="2">
          <reference field="4294967294" count="1" selected="0">
            <x v="0"/>
          </reference>
          <reference field="83" count="1" selected="0">
            <x v="14"/>
          </reference>
        </references>
      </pivotArea>
    </chartFormat>
    <chartFormat chart="28" format="8">
      <pivotArea type="data" outline="0" fieldPosition="0">
        <references count="2">
          <reference field="4294967294" count="1" selected="0">
            <x v="0"/>
          </reference>
          <reference field="83"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location ref="B32:E52" firstHeaderRow="0" firstDataRow="1" firstDataCol="1" rowPageCount="3" colPageCount="1"/>
  <pivotFields count="95">
    <pivotField axis="axisRow" showAll="0">
      <items count="21">
        <item x="11"/>
        <item x="0"/>
        <item x="1"/>
        <item x="2"/>
        <item x="15"/>
        <item x="3"/>
        <item x="10"/>
        <item x="18"/>
        <item x="4"/>
        <item x="5"/>
        <item x="6"/>
        <item x="13"/>
        <item x="7"/>
        <item x="14"/>
        <item x="17"/>
        <item x="8"/>
        <item x="12"/>
        <item m="1" x="19"/>
        <item x="9"/>
        <item x="16"/>
        <item t="default"/>
      </items>
    </pivotField>
    <pivotField showAll="0"/>
    <pivotField axis="axisPage"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h="1" x="2"/>
        <item h="1" x="1"/>
        <item t="default"/>
      </items>
    </pivotField>
    <pivotField showAll="0"/>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0">
    <i>
      <x/>
    </i>
    <i>
      <x v="1"/>
    </i>
    <i>
      <x v="2"/>
    </i>
    <i>
      <x v="3"/>
    </i>
    <i>
      <x v="4"/>
    </i>
    <i>
      <x v="5"/>
    </i>
    <i>
      <x v="6"/>
    </i>
    <i>
      <x v="7"/>
    </i>
    <i>
      <x v="8"/>
    </i>
    <i>
      <x v="9"/>
    </i>
    <i>
      <x v="10"/>
    </i>
    <i>
      <x v="11"/>
    </i>
    <i>
      <x v="12"/>
    </i>
    <i>
      <x v="13"/>
    </i>
    <i>
      <x v="14"/>
    </i>
    <i>
      <x v="15"/>
    </i>
    <i>
      <x v="16"/>
    </i>
    <i>
      <x v="18"/>
    </i>
    <i>
      <x v="19"/>
    </i>
    <i t="grand">
      <x/>
    </i>
  </rowItems>
  <colFields count="1">
    <field x="-2"/>
  </colFields>
  <colItems count="3">
    <i>
      <x/>
    </i>
    <i i="1">
      <x v="1"/>
    </i>
    <i i="2">
      <x v="2"/>
    </i>
  </colItems>
  <pageFields count="3">
    <pageField fld="6" hier="-1"/>
    <pageField fld="2" hier="-1"/>
    <pageField fld="19" hier="-1"/>
  </pageFields>
  <dataFields count="3">
    <dataField name="% Water Need coverage" fld="85" baseField="0" baseItem="0" numFmtId="1"/>
    <dataField name="%  Latrine need coverage" fld="86" baseField="0" baseItem="0" numFmtId="1"/>
    <dataField name="% Bathroom need coverage" fld="87" baseField="0" baseItem="0" numFmtId="1"/>
  </dataFields>
  <formats count="26">
    <format dxfId="186">
      <pivotArea outline="0" collapsedLevelsAreSubtotals="1" fieldPosition="0"/>
    </format>
    <format dxfId="185">
      <pivotArea field="0" type="button" dataOnly="0" labelOnly="1" outline="0" axis="axisRow" fieldPosition="0"/>
    </format>
    <format dxfId="184">
      <pivotArea dataOnly="0" labelOnly="1" outline="0" fieldPosition="0">
        <references count="1">
          <reference field="4294967294" count="3">
            <x v="0"/>
            <x v="1"/>
            <x v="2"/>
          </reference>
        </references>
      </pivotArea>
    </format>
    <format dxfId="183">
      <pivotArea collapsedLevelsAreSubtotals="1" fieldPosition="0">
        <references count="1">
          <reference field="0" count="0"/>
        </references>
      </pivotArea>
    </format>
    <format dxfId="182">
      <pivotArea dataOnly="0" labelOnly="1" outline="0" fieldPosition="0">
        <references count="1">
          <reference field="4294967294" count="3">
            <x v="0"/>
            <x v="1"/>
            <x v="2"/>
          </reference>
        </references>
      </pivotArea>
    </format>
    <format dxfId="181">
      <pivotArea grandRow="1" outline="0" collapsedLevelsAreSubtotals="1" fieldPosition="0"/>
    </format>
    <format dxfId="180">
      <pivotArea dataOnly="0" labelOnly="1" fieldPosition="0">
        <references count="1">
          <reference field="0" count="1">
            <x v="15"/>
          </reference>
        </references>
      </pivotArea>
    </format>
    <format dxfId="179">
      <pivotArea dataOnly="0" labelOnly="1" fieldPosition="0">
        <references count="1">
          <reference field="0" count="1">
            <x v="5"/>
          </reference>
        </references>
      </pivotArea>
    </format>
    <format dxfId="178">
      <pivotArea dataOnly="0" labelOnly="1" fieldPosition="0">
        <references count="1">
          <reference field="0" count="1">
            <x v="3"/>
          </reference>
        </references>
      </pivotArea>
    </format>
    <format dxfId="177">
      <pivotArea dataOnly="0" labelOnly="1" fieldPosition="0">
        <references count="1">
          <reference field="0" count="1">
            <x v="17"/>
          </reference>
        </references>
      </pivotArea>
    </format>
    <format dxfId="176">
      <pivotArea dataOnly="0" labelOnly="1" fieldPosition="0">
        <references count="1">
          <reference field="0" count="1">
            <x v="1"/>
          </reference>
        </references>
      </pivotArea>
    </format>
    <format dxfId="175">
      <pivotArea dataOnly="0" labelOnly="1" fieldPosition="0">
        <references count="1">
          <reference field="0" count="1">
            <x v="18"/>
          </reference>
        </references>
      </pivotArea>
    </format>
    <format dxfId="174">
      <pivotArea dataOnly="0" labelOnly="1" fieldPosition="0">
        <references count="1">
          <reference field="0" count="1">
            <x v="12"/>
          </reference>
        </references>
      </pivotArea>
    </format>
    <format dxfId="173">
      <pivotArea dataOnly="0" labelOnly="1" fieldPosition="0">
        <references count="1">
          <reference field="0" count="1">
            <x v="2"/>
          </reference>
        </references>
      </pivotArea>
    </format>
    <format dxfId="172">
      <pivotArea dataOnly="0" labelOnly="1" fieldPosition="0">
        <references count="1">
          <reference field="0" count="1">
            <x v="8"/>
          </reference>
        </references>
      </pivotArea>
    </format>
    <format dxfId="171">
      <pivotArea dataOnly="0" labelOnly="1" fieldPosition="0">
        <references count="1">
          <reference field="0" count="1">
            <x v="9"/>
          </reference>
        </references>
      </pivotArea>
    </format>
    <format dxfId="170">
      <pivotArea dataOnly="0" labelOnly="1" fieldPosition="0">
        <references count="1">
          <reference field="0" count="1">
            <x v="10"/>
          </reference>
        </references>
      </pivotArea>
    </format>
    <format dxfId="169">
      <pivotArea dataOnly="0" labelOnly="1" fieldPosition="0">
        <references count="1">
          <reference field="0" count="1">
            <x v="16"/>
          </reference>
        </references>
      </pivotArea>
    </format>
    <format dxfId="168">
      <pivotArea dataOnly="0" labelOnly="1" fieldPosition="0">
        <references count="1">
          <reference field="0" count="1">
            <x v="6"/>
          </reference>
        </references>
      </pivotArea>
    </format>
    <format dxfId="167">
      <pivotArea dataOnly="0" labelOnly="1" fieldPosition="0">
        <references count="1">
          <reference field="0" count="1">
            <x v="0"/>
          </reference>
        </references>
      </pivotArea>
    </format>
    <format dxfId="166">
      <pivotArea dataOnly="0" labelOnly="1" fieldPosition="0">
        <references count="1">
          <reference field="0" count="1">
            <x v="11"/>
          </reference>
        </references>
      </pivotArea>
    </format>
    <format dxfId="165">
      <pivotArea dataOnly="0" labelOnly="1" fieldPosition="0">
        <references count="1">
          <reference field="0" count="1">
            <x v="13"/>
          </reference>
        </references>
      </pivotArea>
    </format>
    <format dxfId="164">
      <pivotArea dataOnly="0" labelOnly="1" fieldPosition="0">
        <references count="1">
          <reference field="0" count="1">
            <x v="14"/>
          </reference>
        </references>
      </pivotArea>
    </format>
    <format dxfId="163">
      <pivotArea dataOnly="0" labelOnly="1" fieldPosition="0">
        <references count="1">
          <reference field="0" count="1">
            <x v="7"/>
          </reference>
        </references>
      </pivotArea>
    </format>
    <format dxfId="162">
      <pivotArea dataOnly="0" labelOnly="1" fieldPosition="0">
        <references count="1">
          <reference field="0" count="1">
            <x v="4"/>
          </reference>
        </references>
      </pivotArea>
    </format>
    <format dxfId="161">
      <pivotArea dataOnly="0" labelOnly="1" fieldPosition="0">
        <references count="1">
          <reference field="0" count="0"/>
        </references>
      </pivotArea>
    </format>
  </format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9" series="1">
      <pivotArea type="data" outline="0" fieldPosition="0">
        <references count="1">
          <reference field="4294967294" count="1" selected="0">
            <x v="0"/>
          </reference>
        </references>
      </pivotArea>
    </chartFormat>
    <chartFormat chart="2" format="10" series="1">
      <pivotArea type="data" outline="0" fieldPosition="0">
        <references count="1">
          <reference field="4294967294" count="1" selected="0">
            <x v="1"/>
          </reference>
        </references>
      </pivotArea>
    </chartFormat>
    <chartFormat chart="2" format="11"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7">
  <location ref="B13:E16" firstHeaderRow="0" firstDataRow="1" firstDataCol="1" rowPageCount="3" colPageCount="1"/>
  <pivotFields count="95">
    <pivotField showAll="0"/>
    <pivotField showAll="0"/>
    <pivotField axis="axisPage"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h="1" x="2"/>
        <item h="1" x="1"/>
        <item t="default"/>
      </items>
    </pivotField>
    <pivotField axis="axisRow"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3">
    <i>
      <x/>
    </i>
    <i i="1">
      <x v="1"/>
    </i>
    <i i="2">
      <x v="2"/>
    </i>
  </colItems>
  <pageFields count="3">
    <pageField fld="6" hier="-1"/>
    <pageField fld="2" hier="-1"/>
    <pageField fld="19" hier="-1"/>
  </pageFields>
  <dataFields count="3">
    <dataField name="% Water coverage" fld="85" baseField="0" baseItem="0" numFmtId="1"/>
    <dataField name="% Latrine coverage" fld="86" baseField="0" baseItem="0" numFmtId="1"/>
    <dataField name="% Bathroom coverage" fld="87" baseField="0" baseItem="0" numFmtId="1"/>
  </dataFields>
  <formats count="12">
    <format dxfId="198">
      <pivotArea outline="0" collapsedLevelsAreSubtotals="1" fieldPosition="0"/>
    </format>
    <format dxfId="197">
      <pivotArea field="7" type="button" dataOnly="0" labelOnly="1" outline="0" axis="axisRow" fieldPosition="0"/>
    </format>
    <format dxfId="196">
      <pivotArea dataOnly="0" labelOnly="1" outline="0" fieldPosition="0">
        <references count="1">
          <reference field="4294967294" count="3">
            <x v="0"/>
            <x v="1"/>
            <x v="2"/>
          </reference>
        </references>
      </pivotArea>
    </format>
    <format dxfId="195">
      <pivotArea type="all" dataOnly="0" outline="0" fieldPosition="0"/>
    </format>
    <format dxfId="194">
      <pivotArea outline="0" collapsedLevelsAreSubtotals="1" fieldPosition="0"/>
    </format>
    <format dxfId="193">
      <pivotArea field="7" type="button" dataOnly="0" labelOnly="1" outline="0" axis="axisRow" fieldPosition="0"/>
    </format>
    <format dxfId="192">
      <pivotArea dataOnly="0" labelOnly="1" fieldPosition="0">
        <references count="1">
          <reference field="7" count="0"/>
        </references>
      </pivotArea>
    </format>
    <format dxfId="191">
      <pivotArea dataOnly="0" labelOnly="1" grandRow="1" outline="0" fieldPosition="0"/>
    </format>
    <format dxfId="190">
      <pivotArea dataOnly="0" labelOnly="1" outline="0" fieldPosition="0">
        <references count="1">
          <reference field="4294967294" count="3">
            <x v="0"/>
            <x v="1"/>
            <x v="2"/>
          </reference>
        </references>
      </pivotArea>
    </format>
    <format dxfId="189">
      <pivotArea field="7" type="button" dataOnly="0" labelOnly="1" outline="0" axis="axisRow" fieldPosition="0"/>
    </format>
    <format dxfId="188">
      <pivotArea dataOnly="0" labelOnly="1" outline="0" fieldPosition="0">
        <references count="1">
          <reference field="4294967294" count="3">
            <x v="0"/>
            <x v="1"/>
            <x v="2"/>
          </reference>
        </references>
      </pivotArea>
    </format>
    <format dxfId="187">
      <pivotArea outline="0" collapsedLevelsAreSubtotals="1" fieldPosition="0"/>
    </format>
  </formats>
  <chartFormats count="1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12" format="6" series="1">
      <pivotArea type="data" outline="0" fieldPosition="0">
        <references count="1">
          <reference field="4294967294" count="1" selected="0">
            <x v="0"/>
          </reference>
        </references>
      </pivotArea>
    </chartFormat>
    <chartFormat chart="12" format="7" series="1">
      <pivotArea type="data" outline="0" fieldPosition="0">
        <references count="1">
          <reference field="4294967294" count="1" selected="0">
            <x v="1"/>
          </reference>
        </references>
      </pivotArea>
    </chartFormat>
    <chartFormat chart="12" format="8" series="1">
      <pivotArea type="data" outline="0" fieldPosition="0">
        <references count="1">
          <reference field="4294967294" count="1" selected="0">
            <x v="2"/>
          </reference>
        </references>
      </pivotArea>
    </chartFormat>
    <chartFormat chart="14" format="10" series="1">
      <pivotArea type="data" outline="0" fieldPosition="0">
        <references count="1">
          <reference field="4294967294" count="1" selected="0">
            <x v="0"/>
          </reference>
        </references>
      </pivotArea>
    </chartFormat>
    <chartFormat chart="14" format="11" series="1">
      <pivotArea type="data" outline="0" fieldPosition="0">
        <references count="1">
          <reference field="4294967294" count="1" selected="0">
            <x v="1"/>
          </reference>
        </references>
      </pivotArea>
    </chartFormat>
    <chartFormat chart="14" format="12" series="1">
      <pivotArea type="data" outline="0" fieldPosition="0">
        <references count="1">
          <reference field="4294967294" count="1" selected="0">
            <x v="2"/>
          </reference>
        </references>
      </pivotArea>
    </chartFormat>
    <chartFormat chart="16" format="2" series="1">
      <pivotArea type="data" outline="0" fieldPosition="0">
        <references count="1">
          <reference field="4294967294" count="1" selected="0">
            <x v="2"/>
          </reference>
        </references>
      </pivotArea>
    </chartFormat>
    <chartFormat chart="16" format="3" series="1">
      <pivotArea type="data" outline="0" fieldPosition="0">
        <references count="1">
          <reference field="4294967294" count="1" selected="0">
            <x v="0"/>
          </reference>
        </references>
      </pivotArea>
    </chartFormat>
    <chartFormat chart="16" format="4"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1"/>
          </reference>
        </references>
      </pivotArea>
    </chartFormat>
    <chartFormat chart="5"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2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2">
  <location ref="B351:C366" firstHeaderRow="1" firstDataRow="1" firstDataCol="1" rowPageCount="4" colPageCount="1"/>
  <pivotFields count="95">
    <pivotField axis="axisPage" showAll="0">
      <items count="21">
        <item x="11"/>
        <item x="0"/>
        <item x="1"/>
        <item x="2"/>
        <item x="15"/>
        <item x="3"/>
        <item x="10"/>
        <item x="18"/>
        <item x="4"/>
        <item x="5"/>
        <item x="6"/>
        <item x="13"/>
        <item x="7"/>
        <item x="14"/>
        <item x="17"/>
        <item x="8"/>
        <item x="12"/>
        <item m="1" x="19"/>
        <item x="9"/>
        <item x="16"/>
        <item t="default"/>
      </items>
    </pivotField>
    <pivotField showAll="0"/>
    <pivotField showAll="0"/>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dataField="1"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1">
        <item x="0"/>
        <item x="15"/>
        <item x="1"/>
        <item x="16"/>
        <item x="2"/>
        <item x="8"/>
        <item x="7"/>
        <item x="11"/>
        <item x="3"/>
        <item x="6"/>
        <item x="14"/>
        <item x="12"/>
        <item x="4"/>
        <item x="13"/>
        <item x="9"/>
        <item x="10"/>
        <item m="1" x="19"/>
        <item m="1" x="20"/>
        <item m="1" x="21"/>
        <item m="1" x="22"/>
        <item m="1" x="23"/>
        <item m="1" x="24"/>
        <item h="1" x="5"/>
        <item h="1" m="1" x="25"/>
        <item h="1" m="1" x="26"/>
        <item h="1" m="1" x="27"/>
        <item h="1" m="1" x="29"/>
        <item h="1" m="1" x="28"/>
        <item h="1" x="18"/>
        <item h="1" x="17"/>
        <item t="default"/>
      </items>
    </pivotField>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6"/>
  </rowFields>
  <rowItems count="15">
    <i>
      <x/>
    </i>
    <i>
      <x v="1"/>
    </i>
    <i>
      <x v="2"/>
    </i>
    <i>
      <x v="3"/>
    </i>
    <i>
      <x v="4"/>
    </i>
    <i>
      <x v="5"/>
    </i>
    <i>
      <x v="6"/>
    </i>
    <i>
      <x v="7"/>
    </i>
    <i>
      <x v="8"/>
    </i>
    <i>
      <x v="9"/>
    </i>
    <i>
      <x v="10"/>
    </i>
    <i>
      <x v="11"/>
    </i>
    <i>
      <x v="12"/>
    </i>
    <i>
      <x v="14"/>
    </i>
    <i t="grand">
      <x/>
    </i>
  </rowItems>
  <colItems count="1">
    <i/>
  </colItems>
  <pageFields count="4">
    <pageField fld="6" hier="-1"/>
    <pageField fld="0" hier="-1"/>
    <pageField fld="7" hier="-1"/>
    <pageField fld="19" hier="-1"/>
  </pageFields>
  <dataFields count="1">
    <dataField name="Nb of Familly affected" fld="8" baseField="74" baseItem="0" numFmtId="3"/>
  </dataFields>
  <formats count="6">
    <format dxfId="204">
      <pivotArea outline="0" collapsedLevelsAreSubtotals="1" fieldPosition="0"/>
    </format>
    <format dxfId="203">
      <pivotArea outline="0" collapsedLevelsAreSubtotals="1" fieldPosition="0"/>
    </format>
    <format dxfId="202">
      <pivotArea collapsedLevelsAreSubtotals="1" fieldPosition="0">
        <references count="1">
          <reference field="76" count="0"/>
        </references>
      </pivotArea>
    </format>
    <format dxfId="201">
      <pivotArea dataOnly="0" labelOnly="1" fieldPosition="0">
        <references count="1">
          <reference field="76" count="0"/>
        </references>
      </pivotArea>
    </format>
    <format dxfId="200">
      <pivotArea outline="0" fieldPosition="0">
        <references count="1">
          <reference field="4294967294" count="1">
            <x v="0"/>
          </reference>
        </references>
      </pivotArea>
    </format>
    <format dxfId="199">
      <pivotArea dataOnly="0" labelOnly="1" outline="0" axis="axisValues" fieldPosition="0"/>
    </format>
  </formats>
  <chartFormats count="22">
    <chartFormat chart="20" format="0" series="1">
      <pivotArea type="data" outline="0" fieldPosition="0">
        <references count="1">
          <reference field="4294967294" count="1" selected="0">
            <x v="0"/>
          </reference>
        </references>
      </pivotArea>
    </chartFormat>
    <chartFormat chart="20" format="1">
      <pivotArea type="data" outline="0" fieldPosition="0">
        <references count="2">
          <reference field="4294967294" count="1" selected="0">
            <x v="0"/>
          </reference>
          <reference field="76" count="1" selected="0">
            <x v="0"/>
          </reference>
        </references>
      </pivotArea>
    </chartFormat>
    <chartFormat chart="20" format="2">
      <pivotArea type="data" outline="0" fieldPosition="0">
        <references count="2">
          <reference field="4294967294" count="1" selected="0">
            <x v="0"/>
          </reference>
          <reference field="76" count="1" selected="0">
            <x v="2"/>
          </reference>
        </references>
      </pivotArea>
    </chartFormat>
    <chartFormat chart="20" format="3">
      <pivotArea type="data" outline="0" fieldPosition="0">
        <references count="2">
          <reference field="4294967294" count="1" selected="0">
            <x v="0"/>
          </reference>
          <reference field="76" count="1" selected="0">
            <x v="3"/>
          </reference>
        </references>
      </pivotArea>
    </chartFormat>
    <chartFormat chart="20" format="4">
      <pivotArea type="data" outline="0" fieldPosition="0">
        <references count="2">
          <reference field="4294967294" count="1" selected="0">
            <x v="0"/>
          </reference>
          <reference field="76" count="1" selected="0">
            <x v="4"/>
          </reference>
        </references>
      </pivotArea>
    </chartFormat>
    <chartFormat chart="20" format="5">
      <pivotArea type="data" outline="0" fieldPosition="0">
        <references count="2">
          <reference field="4294967294" count="1" selected="0">
            <x v="0"/>
          </reference>
          <reference field="76" count="1" selected="0">
            <x v="5"/>
          </reference>
        </references>
      </pivotArea>
    </chartFormat>
    <chartFormat chart="20" format="6">
      <pivotArea type="data" outline="0" fieldPosition="0">
        <references count="2">
          <reference field="4294967294" count="1" selected="0">
            <x v="0"/>
          </reference>
          <reference field="76" count="1" selected="0">
            <x v="6"/>
          </reference>
        </references>
      </pivotArea>
    </chartFormat>
    <chartFormat chart="20" format="7">
      <pivotArea type="data" outline="0" fieldPosition="0">
        <references count="2">
          <reference field="4294967294" count="1" selected="0">
            <x v="0"/>
          </reference>
          <reference field="76" count="1" selected="0">
            <x v="7"/>
          </reference>
        </references>
      </pivotArea>
    </chartFormat>
    <chartFormat chart="20" format="8">
      <pivotArea type="data" outline="0" fieldPosition="0">
        <references count="2">
          <reference field="4294967294" count="1" selected="0">
            <x v="0"/>
          </reference>
          <reference field="76" count="1" selected="0">
            <x v="10"/>
          </reference>
        </references>
      </pivotArea>
    </chartFormat>
    <chartFormat chart="20" format="9">
      <pivotArea type="data" outline="0" fieldPosition="0">
        <references count="2">
          <reference field="4294967294" count="1" selected="0">
            <x v="0"/>
          </reference>
          <reference field="76" count="1" selected="0">
            <x v="11"/>
          </reference>
        </references>
      </pivotArea>
    </chartFormat>
    <chartFormat chart="20" format="10">
      <pivotArea type="data" outline="0" fieldPosition="0">
        <references count="2">
          <reference field="4294967294" count="1" selected="0">
            <x v="0"/>
          </reference>
          <reference field="76" count="1" selected="0">
            <x v="12"/>
          </reference>
        </references>
      </pivotArea>
    </chartFormat>
    <chartFormat chart="20" format="11">
      <pivotArea type="data" outline="0" fieldPosition="0">
        <references count="2">
          <reference field="4294967294" count="1" selected="0">
            <x v="0"/>
          </reference>
          <reference field="76" count="1" selected="0">
            <x v="13"/>
          </reference>
        </references>
      </pivotArea>
    </chartFormat>
    <chartFormat chart="20" format="12">
      <pivotArea type="data" outline="0" fieldPosition="0">
        <references count="2">
          <reference field="4294967294" count="1" selected="0">
            <x v="0"/>
          </reference>
          <reference field="76" count="1" selected="0">
            <x v="16"/>
          </reference>
        </references>
      </pivotArea>
    </chartFormat>
    <chartFormat chart="20" format="13">
      <pivotArea type="data" outline="0" fieldPosition="0">
        <references count="2">
          <reference field="4294967294" count="1" selected="0">
            <x v="0"/>
          </reference>
          <reference field="76" count="1" selected="0">
            <x v="20"/>
          </reference>
        </references>
      </pivotArea>
    </chartFormat>
    <chartFormat chart="20" format="14">
      <pivotArea type="data" outline="0" fieldPosition="0">
        <references count="2">
          <reference field="4294967294" count="1" selected="0">
            <x v="0"/>
          </reference>
          <reference field="76" count="1" selected="0">
            <x v="21"/>
          </reference>
        </references>
      </pivotArea>
    </chartFormat>
    <chartFormat chart="20" format="15">
      <pivotArea type="data" outline="0" fieldPosition="0">
        <references count="2">
          <reference field="4294967294" count="1" selected="0">
            <x v="0"/>
          </reference>
          <reference field="76" count="1" selected="0">
            <x v="22"/>
          </reference>
        </references>
      </pivotArea>
    </chartFormat>
    <chartFormat chart="20" format="17">
      <pivotArea type="data" outline="0" fieldPosition="0">
        <references count="2">
          <reference field="4294967294" count="1" selected="0">
            <x v="0"/>
          </reference>
          <reference field="76" count="1" selected="0">
            <x v="8"/>
          </reference>
        </references>
      </pivotArea>
    </chartFormat>
    <chartFormat chart="20" format="18">
      <pivotArea type="data" outline="0" fieldPosition="0">
        <references count="2">
          <reference field="4294967294" count="1" selected="0">
            <x v="0"/>
          </reference>
          <reference field="76" count="1" selected="0">
            <x v="1"/>
          </reference>
        </references>
      </pivotArea>
    </chartFormat>
    <chartFormat chart="20" format="19">
      <pivotArea type="data" outline="0" fieldPosition="0">
        <references count="2">
          <reference field="4294967294" count="1" selected="0">
            <x v="0"/>
          </reference>
          <reference field="76" count="1" selected="0">
            <x v="9"/>
          </reference>
        </references>
      </pivotArea>
    </chartFormat>
    <chartFormat chart="20" format="20">
      <pivotArea type="data" outline="0" fieldPosition="0">
        <references count="2">
          <reference field="4294967294" count="1" selected="0">
            <x v="0"/>
          </reference>
          <reference field="76" count="1" selected="0">
            <x v="14"/>
          </reference>
        </references>
      </pivotArea>
    </chartFormat>
    <chartFormat chart="20" format="21">
      <pivotArea type="data" outline="0" fieldPosition="0">
        <references count="2">
          <reference field="4294967294" count="1" selected="0">
            <x v="0"/>
          </reference>
          <reference field="76" count="1" selected="0">
            <x v="17"/>
          </reference>
        </references>
      </pivotArea>
    </chartFormat>
    <chartFormat chart="20" format="22">
      <pivotArea type="data" outline="0" fieldPosition="0">
        <references count="2">
          <reference field="4294967294" count="1" selected="0">
            <x v="0"/>
          </reference>
          <reference field="76" count="1" selected="0">
            <x v="1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17"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0">
  <location ref="B630:E634" firstHeaderRow="1" firstDataRow="2" firstDataCol="1" rowPageCount="2" colPageCount="1"/>
  <pivotFields count="95">
    <pivotField showAll="0"/>
    <pivotField showAll="0"/>
    <pivotField axis="axisPage"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dataField="1" showAll="0"/>
    <pivotField showAll="0"/>
    <pivotField showAll="0"/>
    <pivotField showAll="0"/>
    <pivotField axis="axisCol" showAll="0" defaultSubtotal="0">
      <items count="2">
        <item x="0"/>
        <item x="1"/>
      </items>
    </pivotField>
    <pivotField showAll="0"/>
    <pivotField showAll="0"/>
    <pivotField showAll="0"/>
    <pivotField showAll="0"/>
    <pivotField showAll="0" defaultSubtota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14"/>
  </colFields>
  <colItems count="3">
    <i>
      <x/>
    </i>
    <i>
      <x v="1"/>
    </i>
    <i t="grand">
      <x/>
    </i>
  </colItems>
  <pageFields count="2">
    <pageField fld="6" hier="-1"/>
    <pageField fld="2" hier="-1"/>
  </pageFields>
  <dataFields count="1">
    <dataField name="Sum of Total PoP" fld="10" baseField="0" baseItem="0" numFmtId="1"/>
  </dataFields>
  <formats count="3">
    <format dxfId="207">
      <pivotArea outline="0" collapsedLevelsAreSubtotals="1" fieldPosition="0"/>
    </format>
    <format dxfId="206">
      <pivotArea outline="0" collapsedLevelsAreSubtotals="1" fieldPosition="0"/>
    </format>
    <format dxfId="205">
      <pivotArea outline="0" collapsedLevelsAreSubtotals="1" fieldPosition="0"/>
    </format>
  </formats>
  <chartFormats count="6">
    <chartFormat chart="44" format="0" series="1">
      <pivotArea type="data" outline="0" fieldPosition="0">
        <references count="2">
          <reference field="4294967294" count="1" selected="0">
            <x v="0"/>
          </reference>
          <reference field="14" count="1" selected="0">
            <x v="0"/>
          </reference>
        </references>
      </pivotArea>
    </chartFormat>
    <chartFormat chart="44" format="1" series="1">
      <pivotArea type="data" outline="0" fieldPosition="0">
        <references count="2">
          <reference field="4294967294" count="1" selected="0">
            <x v="0"/>
          </reference>
          <reference field="14" count="1" selected="0">
            <x v="1"/>
          </reference>
        </references>
      </pivotArea>
    </chartFormat>
    <chartFormat chart="47" format="4" series="1">
      <pivotArea type="data" outline="0" fieldPosition="0">
        <references count="2">
          <reference field="4294967294" count="1" selected="0">
            <x v="0"/>
          </reference>
          <reference field="14" count="1" selected="0">
            <x v="0"/>
          </reference>
        </references>
      </pivotArea>
    </chartFormat>
    <chartFormat chart="47" format="5" series="1">
      <pivotArea type="data" outline="0" fieldPosition="0">
        <references count="2">
          <reference field="4294967294" count="1" selected="0">
            <x v="0"/>
          </reference>
          <reference field="14" count="1" selected="0">
            <x v="1"/>
          </reference>
        </references>
      </pivotArea>
    </chartFormat>
    <chartFormat chart="49" format="4" series="1">
      <pivotArea type="data" outline="0" fieldPosition="0">
        <references count="2">
          <reference field="4294967294" count="1" selected="0">
            <x v="0"/>
          </reference>
          <reference field="14" count="1" selected="0">
            <x v="0"/>
          </reference>
        </references>
      </pivotArea>
    </chartFormat>
    <chartFormat chart="49" format="5" series="1">
      <pivotArea type="data" outline="0" fieldPosition="0">
        <references count="2">
          <reference field="4294967294" count="1" selected="0">
            <x v="0"/>
          </reference>
          <reference field="1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6">
  <location ref="B322:D325" firstHeaderRow="0" firstDataRow="1" firstDataCol="1" rowPageCount="2" colPageCount="1"/>
  <pivotFields count="95">
    <pivotField showAll="0"/>
    <pivotField showAll="0"/>
    <pivotField showAll="0"/>
    <pivotField showAll="0"/>
    <pivotField showAll="0"/>
    <pivotField showAll="0"/>
    <pivotField axis="axisPage" multipleItemSelectionAllowed="1" showAll="0">
      <items count="4">
        <item x="0"/>
        <item h="1" x="2"/>
        <item h="1" x="1"/>
        <item t="default"/>
      </items>
    </pivotField>
    <pivotField axis="axisRow"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2">
    <i>
      <x/>
    </i>
    <i i="1">
      <x v="1"/>
    </i>
  </colItems>
  <pageFields count="2">
    <pageField fld="6" hier="-1"/>
    <pageField fld="19" hier="-1"/>
  </pageFields>
  <dataFields count="2">
    <dataField name="% Latrine need coverage" fld="86" baseField="0" baseItem="0" numFmtId="1"/>
    <dataField name="% Projection latrine need coverage EOP" fld="93" baseField="0" baseItem="0" numFmtId="1"/>
  </dataFields>
  <formats count="4">
    <format dxfId="103">
      <pivotArea outline="0" collapsedLevelsAreSubtotals="1" fieldPosition="0"/>
    </format>
    <format dxfId="102">
      <pivotArea outline="0" collapsedLevelsAreSubtotals="1" fieldPosition="0"/>
    </format>
    <format dxfId="101">
      <pivotArea field="7" type="button" dataOnly="0" labelOnly="1" outline="0" axis="axisRow" fieldPosition="0"/>
    </format>
    <format dxfId="100">
      <pivotArea dataOnly="0" labelOnly="1" outline="0" fieldPosition="0">
        <references count="1">
          <reference field="4294967294" count="2">
            <x v="0"/>
            <x v="1"/>
          </reference>
        </references>
      </pivotArea>
    </format>
  </formats>
  <chartFormats count="2">
    <chartFormat chart="36" format="6" series="1">
      <pivotArea type="data" outline="0" fieldPosition="0">
        <references count="1">
          <reference field="4294967294" count="1" selected="0">
            <x v="0"/>
          </reference>
        </references>
      </pivotArea>
    </chartFormat>
    <chartFormat chart="36" format="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24"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8">
  <location ref="B402:C413" firstHeaderRow="1" firstDataRow="1" firstDataCol="1" rowPageCount="3" colPageCount="1"/>
  <pivotFields count="95">
    <pivotField showAll="0"/>
    <pivotField showAll="0"/>
    <pivotField axis="axisRow" showAll="0">
      <items count="11">
        <item x="1"/>
        <item x="5"/>
        <item x="2"/>
        <item x="6"/>
        <item x="4"/>
        <item x="3"/>
        <item x="7"/>
        <item x="8"/>
        <item x="9"/>
        <item x="0"/>
        <item t="default"/>
      </items>
    </pivotField>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Items count="1">
    <i/>
  </colItems>
  <pageFields count="3">
    <pageField fld="6" hier="-1"/>
    <pageField fld="7" hier="-1"/>
    <pageField fld="19" hier="-1"/>
  </pageFields>
  <dataFields count="1">
    <dataField name="% Coverage Full HK" fld="90" baseField="0" baseItem="0"/>
  </dataFields>
  <formats count="2">
    <format dxfId="209">
      <pivotArea outline="0" collapsedLevelsAreSubtotals="1" fieldPosition="0"/>
    </format>
    <format dxfId="208">
      <pivotArea outline="0" collapsedLevelsAreSubtotals="1" fieldPosition="0"/>
    </format>
  </formats>
  <chartFormats count="2">
    <chartFormat chart="22" format="0" series="1">
      <pivotArea type="data" outline="0" fieldPosition="0">
        <references count="1">
          <reference field="4294967294" count="1" selected="0">
            <x v="0"/>
          </reference>
        </references>
      </pivotArea>
    </chartFormat>
    <chartFormat chart="24"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14"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2">
  <location ref="B610:E622" firstHeaderRow="1" firstDataRow="2" firstDataCol="1" rowPageCount="2" colPageCount="1"/>
  <pivotFields count="95">
    <pivotField showAll="0"/>
    <pivotField showAll="0"/>
    <pivotField axis="axisRow" showAll="0">
      <items count="11">
        <item x="1"/>
        <item x="5"/>
        <item x="2"/>
        <item x="6"/>
        <item x="4"/>
        <item x="3"/>
        <item x="7"/>
        <item x="8"/>
        <item x="9"/>
        <item x="0"/>
        <item t="default"/>
      </items>
    </pivotField>
    <pivotField showAll="0"/>
    <pivotField showAll="0"/>
    <pivotField showAll="0"/>
    <pivotField axis="axisPage" multipleItemSelectionAllowed="1" showAll="0">
      <items count="4">
        <item x="0"/>
        <item h="1" x="2"/>
        <item x="1"/>
        <item t="default"/>
      </items>
    </pivotField>
    <pivotField axis="axisPage" showAll="0">
      <items count="3">
        <item x="0"/>
        <item x="1"/>
        <item t="default"/>
      </items>
    </pivotField>
    <pivotField showAll="0"/>
    <pivotField showAll="0"/>
    <pivotField showAll="0"/>
    <pivotField showAll="0"/>
    <pivotField showAll="0"/>
    <pivotField showAll="0"/>
    <pivotField axis="axisCol" dataField="1" showAll="0" defaultSubtotal="0">
      <items count="2">
        <item x="0"/>
        <item x="1"/>
      </items>
    </pivotField>
    <pivotField showAll="0"/>
    <pivotField showAll="0"/>
    <pivotField showAll="0"/>
    <pivotField showAll="0"/>
    <pivotField showAll="0" defaultSubtota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Fields count="1">
    <field x="14"/>
  </colFields>
  <colItems count="3">
    <i>
      <x/>
    </i>
    <i>
      <x v="1"/>
    </i>
    <i t="grand">
      <x/>
    </i>
  </colItems>
  <pageFields count="2">
    <pageField fld="6" hier="-1"/>
    <pageField fld="7" hier="-1"/>
  </pageFields>
  <dataFields count="1">
    <dataField name="Count of Targetted" fld="14" subtotal="count" baseField="0" baseItem="0" numFmtId="1"/>
  </dataFields>
  <formats count="3">
    <format dxfId="212">
      <pivotArea outline="0" collapsedLevelsAreSubtotals="1" fieldPosition="0"/>
    </format>
    <format dxfId="211">
      <pivotArea outline="0" collapsedLevelsAreSubtotals="1" fieldPosition="0"/>
    </format>
    <format dxfId="210">
      <pivotArea outline="0" fieldPosition="0">
        <references count="1">
          <reference field="4294967294" count="1">
            <x v="0"/>
          </reference>
        </references>
      </pivotArea>
    </format>
  </formats>
  <chartFormats count="4">
    <chartFormat chart="38" format="0" series="1">
      <pivotArea type="data" outline="0" fieldPosition="0">
        <references count="2">
          <reference field="4294967294" count="1" selected="0">
            <x v="0"/>
          </reference>
          <reference field="14" count="1" selected="0">
            <x v="0"/>
          </reference>
        </references>
      </pivotArea>
    </chartFormat>
    <chartFormat chart="38" format="1" series="1">
      <pivotArea type="data" outline="0" fieldPosition="0">
        <references count="2">
          <reference field="4294967294" count="1" selected="0">
            <x v="0"/>
          </reference>
          <reference field="14" count="1" selected="0">
            <x v="1"/>
          </reference>
        </references>
      </pivotArea>
    </chartFormat>
    <chartFormat chart="40" format="0" series="1">
      <pivotArea type="data" outline="0" fieldPosition="0">
        <references count="2">
          <reference field="4294967294" count="1" selected="0">
            <x v="0"/>
          </reference>
          <reference field="14" count="1" selected="0">
            <x v="0"/>
          </reference>
        </references>
      </pivotArea>
    </chartFormat>
    <chartFormat chart="40" format="1" series="1">
      <pivotArea type="data" outline="0" fieldPosition="0">
        <references count="2">
          <reference field="4294967294" count="1" selected="0">
            <x v="0"/>
          </reference>
          <reference field="1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25"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8">
  <location ref="B425:C428" firstHeaderRow="1" firstDataRow="1" firstDataCol="1" rowPageCount="3" colPageCount="1"/>
  <pivotFields count="95">
    <pivotField showAll="0"/>
    <pivotField showAll="0"/>
    <pivotField axis="axisPage" showAll="0">
      <items count="11">
        <item x="1"/>
        <item x="5"/>
        <item x="2"/>
        <item x="6"/>
        <item x="4"/>
        <item x="3"/>
        <item x="7"/>
        <item x="8"/>
        <item x="9"/>
        <item x="0"/>
        <item t="default"/>
      </items>
    </pivotField>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Items count="1">
    <i/>
  </colItems>
  <pageFields count="3">
    <pageField fld="6" hier="-1"/>
    <pageField fld="2" hier="-1"/>
    <pageField fld="19" hier="-1"/>
  </pageFields>
  <dataFields count="1">
    <dataField name="% Coverage HP session at HH level" fld="91" baseField="0" baseItem="0" numFmtId="3"/>
  </dataFields>
  <formats count="2">
    <format dxfId="214">
      <pivotArea outline="0" collapsedLevelsAreSubtotals="1" fieldPosition="0"/>
    </format>
    <format dxfId="213">
      <pivotArea outline="0" collapsedLevelsAreSubtotals="1" fieldPosition="0"/>
    </format>
  </formats>
  <chartFormats count="1">
    <chartFormat chart="2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2">
  <location ref="B589:E593" firstHeaderRow="1" firstDataRow="2" firstDataCol="1" rowPageCount="1" colPageCount="1"/>
  <pivotFields count="95">
    <pivotField showAll="0"/>
    <pivotField showAll="0"/>
    <pivotField showAll="0"/>
    <pivotField showAll="0"/>
    <pivotField showAll="0"/>
    <pivotField showAll="0"/>
    <pivotField axis="axisPage" multipleItemSelectionAllowed="1" showAll="0">
      <items count="4">
        <item x="0"/>
        <item h="1" x="2"/>
        <item x="1"/>
        <item t="default"/>
      </items>
    </pivotField>
    <pivotField axis="axisRow" showAll="0">
      <items count="3">
        <item x="0"/>
        <item x="1"/>
        <item t="default"/>
      </items>
    </pivotField>
    <pivotField showAll="0"/>
    <pivotField showAll="0"/>
    <pivotField showAll="0"/>
    <pivotField showAll="0"/>
    <pivotField showAll="0"/>
    <pivotField showAll="0"/>
    <pivotField axis="axisCol" dataField="1" showAll="0" defaultSubtotal="0">
      <items count="2">
        <item x="0"/>
        <item x="1"/>
      </items>
    </pivotField>
    <pivotField showAll="0"/>
    <pivotField showAll="0"/>
    <pivotField showAll="0"/>
    <pivotField showAll="0"/>
    <pivotField showAll="0" defaultSubtota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14"/>
  </colFields>
  <colItems count="3">
    <i>
      <x/>
    </i>
    <i>
      <x v="1"/>
    </i>
    <i t="grand">
      <x/>
    </i>
  </colItems>
  <pageFields count="1">
    <pageField fld="6" hier="-1"/>
  </pageFields>
  <dataFields count="1">
    <dataField name="Count of Targetted" fld="14" subtotal="count" baseField="0" baseItem="0" numFmtId="1"/>
  </dataFields>
  <formats count="3">
    <format dxfId="217">
      <pivotArea outline="0" collapsedLevelsAreSubtotals="1" fieldPosition="0"/>
    </format>
    <format dxfId="216">
      <pivotArea outline="0" collapsedLevelsAreSubtotals="1" fieldPosition="0"/>
    </format>
    <format dxfId="215">
      <pivotArea outline="0" fieldPosition="0">
        <references count="1">
          <reference field="4294967294" count="1">
            <x v="0"/>
          </reference>
        </references>
      </pivotArea>
    </format>
  </formats>
  <chartFormats count="6">
    <chartFormat chart="38" format="0" series="1">
      <pivotArea type="data" outline="0" fieldPosition="0">
        <references count="2">
          <reference field="4294967294" count="1" selected="0">
            <x v="0"/>
          </reference>
          <reference field="14" count="1" selected="0">
            <x v="0"/>
          </reference>
        </references>
      </pivotArea>
    </chartFormat>
    <chartFormat chart="38" format="1" series="1">
      <pivotArea type="data" outline="0" fieldPosition="0">
        <references count="2">
          <reference field="4294967294" count="1" selected="0">
            <x v="0"/>
          </reference>
          <reference field="14" count="1" selected="0">
            <x v="1"/>
          </reference>
        </references>
      </pivotArea>
    </chartFormat>
    <chartFormat chart="40" format="2" series="1">
      <pivotArea type="data" outline="0" fieldPosition="0">
        <references count="2">
          <reference field="4294967294" count="1" selected="0">
            <x v="0"/>
          </reference>
          <reference field="14" count="1" selected="0">
            <x v="0"/>
          </reference>
        </references>
      </pivotArea>
    </chartFormat>
    <chartFormat chart="40" format="3" series="1">
      <pivotArea type="data" outline="0" fieldPosition="0">
        <references count="2">
          <reference field="4294967294" count="1" selected="0">
            <x v="0"/>
          </reference>
          <reference field="14" count="1" selected="0">
            <x v="1"/>
          </reference>
        </references>
      </pivotArea>
    </chartFormat>
    <chartFormat chart="41" format="4" series="1">
      <pivotArea type="data" outline="0" fieldPosition="0">
        <references count="2">
          <reference field="4294967294" count="1" selected="0">
            <x v="0"/>
          </reference>
          <reference field="14" count="1" selected="0">
            <x v="0"/>
          </reference>
        </references>
      </pivotArea>
    </chartFormat>
    <chartFormat chart="41" format="5" series="1">
      <pivotArea type="data" outline="0" fieldPosition="0">
        <references count="2">
          <reference field="4294967294" count="1" selected="0">
            <x v="0"/>
          </reference>
          <reference field="1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10"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4">
  <location ref="B334:D337" firstHeaderRow="0" firstDataRow="1" firstDataCol="1" rowPageCount="2" colPageCount="1"/>
  <pivotFields count="95">
    <pivotField showAll="0"/>
    <pivotField showAll="0"/>
    <pivotField showAll="0"/>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7"/>
  </rowFields>
  <rowItems count="3">
    <i>
      <x/>
    </i>
    <i>
      <x v="1"/>
    </i>
    <i t="grand">
      <x/>
    </i>
  </rowItems>
  <colFields count="1">
    <field x="-2"/>
  </colFields>
  <colItems count="2">
    <i>
      <x/>
    </i>
    <i i="1">
      <x v="1"/>
    </i>
  </colItems>
  <pageFields count="2">
    <pageField fld="6" hier="-1"/>
    <pageField fld="19" hier="-1"/>
  </pageFields>
  <dataFields count="2">
    <dataField name="% Bathroom need coverage" fld="87" baseField="0" baseItem="0" numFmtId="1"/>
    <dataField name="% Projection Bathrrom coverage EOP" fld="94" baseField="0" baseItem="0"/>
  </dataFields>
  <formats count="5">
    <format dxfId="222">
      <pivotArea outline="0" collapsedLevelsAreSubtotals="1" fieldPosition="0"/>
    </format>
    <format dxfId="221">
      <pivotArea field="7" type="button" dataOnly="0" labelOnly="1" outline="0" axis="axisRow" fieldPosition="0"/>
    </format>
    <format dxfId="220">
      <pivotArea dataOnly="0" labelOnly="1" outline="0" fieldPosition="0">
        <references count="1">
          <reference field="4294967294" count="2">
            <x v="0"/>
            <x v="1"/>
          </reference>
        </references>
      </pivotArea>
    </format>
    <format dxfId="219">
      <pivotArea outline="0" collapsedLevelsAreSubtotals="1" fieldPosition="0"/>
    </format>
    <format dxfId="218">
      <pivotArea dataOnly="0" labelOnly="1" outline="0" fieldPosition="0">
        <references count="1">
          <reference field="4294967294" count="2">
            <x v="0"/>
            <x v="1"/>
          </reference>
        </references>
      </pivotArea>
    </format>
  </formats>
  <chartFormats count="6">
    <chartFormat chart="38" format="0" series="1">
      <pivotArea type="data" outline="0" fieldPosition="0">
        <references count="1">
          <reference field="4294967294" count="1" selected="0">
            <x v="0"/>
          </reference>
        </references>
      </pivotArea>
    </chartFormat>
    <chartFormat chart="38" format="1" series="1">
      <pivotArea type="data" outline="0" fieldPosition="0">
        <references count="1">
          <reference field="4294967294" count="1" selected="0">
            <x v="1"/>
          </reference>
        </references>
      </pivotArea>
    </chartFormat>
    <chartFormat chart="40" format="0" series="1">
      <pivotArea type="data" outline="0" fieldPosition="0">
        <references count="1">
          <reference field="4294967294" count="1" selected="0">
            <x v="0"/>
          </reference>
        </references>
      </pivotArea>
    </chartFormat>
    <chartFormat chart="40" format="1" series="1">
      <pivotArea type="data" outline="0" fieldPosition="0">
        <references count="1">
          <reference field="4294967294" count="1" selected="0">
            <x v="1"/>
          </reference>
        </references>
      </pivotArea>
    </chartFormat>
    <chartFormat chart="42" format="0" series="1">
      <pivotArea type="data" outline="0" fieldPosition="0">
        <references count="1">
          <reference field="4294967294" count="1" selected="0">
            <x v="0"/>
          </reference>
        </references>
      </pivotArea>
    </chartFormat>
    <chartFormat chart="42"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16"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8">
  <location ref="B221:M225" firstHeaderRow="1" firstDataRow="2" firstDataCol="1" rowPageCount="2" colPageCount="1"/>
  <pivotFields count="95">
    <pivotField showAll="0"/>
    <pivotField showAll="0"/>
    <pivotField axis="axisCol"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dataField="1"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11">
    <i>
      <x/>
    </i>
    <i>
      <x v="1"/>
    </i>
    <i>
      <x v="2"/>
    </i>
    <i>
      <x v="3"/>
    </i>
    <i>
      <x v="4"/>
    </i>
    <i>
      <x v="5"/>
    </i>
    <i>
      <x v="6"/>
    </i>
    <i>
      <x v="7"/>
    </i>
    <i>
      <x v="8"/>
    </i>
    <i>
      <x v="9"/>
    </i>
    <i t="grand">
      <x/>
    </i>
  </colItems>
  <pageFields count="2">
    <pageField fld="6" hier="-1"/>
    <pageField fld="19" hier="-1"/>
  </pageFields>
  <dataFields count="1">
    <dataField name="Sum of # Semi permanent latrines missing" fld="56" baseField="0" baseItem="0" numFmtId="1"/>
  </dataFields>
  <formats count="4">
    <format dxfId="226">
      <pivotArea outline="0" collapsedLevelsAreSubtotals="1" fieldPosition="0"/>
    </format>
    <format dxfId="225">
      <pivotArea outline="0" collapsedLevelsAreSubtotals="1" fieldPosition="0"/>
    </format>
    <format dxfId="224">
      <pivotArea dataOnly="0" labelOnly="1" fieldPosition="0">
        <references count="1">
          <reference field="2" count="0"/>
        </references>
      </pivotArea>
    </format>
    <format dxfId="223">
      <pivotArea dataOnly="0" labelOnly="1" grandCol="1" outline="0" fieldPosition="0"/>
    </format>
  </formats>
  <chartFormats count="24">
    <chartFormat chart="8" format="0" series="1">
      <pivotArea type="data" outline="0" fieldPosition="0">
        <references count="2">
          <reference field="4294967294" count="1" selected="0">
            <x v="0"/>
          </reference>
          <reference field="7" count="1" selected="0">
            <x v="0"/>
          </reference>
        </references>
      </pivotArea>
    </chartFormat>
    <chartFormat chart="8" format="1" series="1">
      <pivotArea type="data" outline="0" fieldPosition="0">
        <references count="2">
          <reference field="4294967294" count="1" selected="0">
            <x v="0"/>
          </reference>
          <reference field="7" count="1" selected="0">
            <x v="1"/>
          </reference>
        </references>
      </pivotArea>
    </chartFormat>
    <chartFormat chart="10" format="0" series="1">
      <pivotArea type="data" outline="0" fieldPosition="0">
        <references count="2">
          <reference field="4294967294" count="1" selected="0">
            <x v="0"/>
          </reference>
          <reference field="7" count="1" selected="0">
            <x v="0"/>
          </reference>
        </references>
      </pivotArea>
    </chartFormat>
    <chartFormat chart="10" format="1" series="1">
      <pivotArea type="data" outline="0" fieldPosition="0">
        <references count="2">
          <reference field="4294967294" count="1" selected="0">
            <x v="0"/>
          </reference>
          <reference field="7" count="1" selected="0">
            <x v="1"/>
          </reference>
        </references>
      </pivotArea>
    </chartFormat>
    <chartFormat chart="14" format="0" series="1">
      <pivotArea type="data" outline="0" fieldPosition="0">
        <references count="2">
          <reference field="4294967294" count="1" selected="0">
            <x v="0"/>
          </reference>
          <reference field="2" count="1" selected="0">
            <x v="0"/>
          </reference>
        </references>
      </pivotArea>
    </chartFormat>
    <chartFormat chart="14" format="1" series="1">
      <pivotArea type="data" outline="0" fieldPosition="0">
        <references count="2">
          <reference field="4294967294" count="1" selected="0">
            <x v="0"/>
          </reference>
          <reference field="2" count="1" selected="0">
            <x v="1"/>
          </reference>
        </references>
      </pivotArea>
    </chartFormat>
    <chartFormat chart="14" format="2" series="1">
      <pivotArea type="data" outline="0" fieldPosition="0">
        <references count="2">
          <reference field="4294967294" count="1" selected="0">
            <x v="0"/>
          </reference>
          <reference field="2" count="1" selected="0">
            <x v="2"/>
          </reference>
        </references>
      </pivotArea>
    </chartFormat>
    <chartFormat chart="14" format="3" series="1">
      <pivotArea type="data" outline="0" fieldPosition="0">
        <references count="2">
          <reference field="4294967294" count="1" selected="0">
            <x v="0"/>
          </reference>
          <reference field="2" count="1" selected="0">
            <x v="3"/>
          </reference>
        </references>
      </pivotArea>
    </chartFormat>
    <chartFormat chart="14" format="4" series="1">
      <pivotArea type="data" outline="0" fieldPosition="0">
        <references count="2">
          <reference field="4294967294" count="1" selected="0">
            <x v="0"/>
          </reference>
          <reference field="2" count="1" selected="0">
            <x v="4"/>
          </reference>
        </references>
      </pivotArea>
    </chartFormat>
    <chartFormat chart="14" format="5" series="1">
      <pivotArea type="data" outline="0" fieldPosition="0">
        <references count="2">
          <reference field="4294967294" count="1" selected="0">
            <x v="0"/>
          </reference>
          <reference field="2" count="1" selected="0">
            <x v="5"/>
          </reference>
        </references>
      </pivotArea>
    </chartFormat>
    <chartFormat chart="14" format="6" series="1">
      <pivotArea type="data" outline="0" fieldPosition="0">
        <references count="2">
          <reference field="4294967294" count="1" selected="0">
            <x v="0"/>
          </reference>
          <reference field="2" count="1" selected="0">
            <x v="6"/>
          </reference>
        </references>
      </pivotArea>
    </chartFormat>
    <chartFormat chart="14" format="7" series="1">
      <pivotArea type="data" outline="0" fieldPosition="0">
        <references count="2">
          <reference field="4294967294" count="1" selected="0">
            <x v="0"/>
          </reference>
          <reference field="2" count="1" selected="0">
            <x v="7"/>
          </reference>
        </references>
      </pivotArea>
    </chartFormat>
    <chartFormat chart="14" format="8" series="1">
      <pivotArea type="data" outline="0" fieldPosition="0">
        <references count="2">
          <reference field="4294967294" count="1" selected="0">
            <x v="0"/>
          </reference>
          <reference field="2" count="1" selected="0">
            <x v="8"/>
          </reference>
        </references>
      </pivotArea>
    </chartFormat>
    <chartFormat chart="14" format="9" series="1">
      <pivotArea type="data" outline="0" fieldPosition="0">
        <references count="2">
          <reference field="4294967294" count="1" selected="0">
            <x v="0"/>
          </reference>
          <reference field="2" count="1" selected="0">
            <x v="9"/>
          </reference>
        </references>
      </pivotArea>
    </chartFormat>
    <chartFormat chart="16" format="0" series="1">
      <pivotArea type="data" outline="0" fieldPosition="0">
        <references count="2">
          <reference field="4294967294" count="1" selected="0">
            <x v="0"/>
          </reference>
          <reference field="2" count="1" selected="0">
            <x v="0"/>
          </reference>
        </references>
      </pivotArea>
    </chartFormat>
    <chartFormat chart="16" format="1" series="1">
      <pivotArea type="data" outline="0" fieldPosition="0">
        <references count="2">
          <reference field="4294967294" count="1" selected="0">
            <x v="0"/>
          </reference>
          <reference field="2" count="1" selected="0">
            <x v="1"/>
          </reference>
        </references>
      </pivotArea>
    </chartFormat>
    <chartFormat chart="16" format="2" series="1">
      <pivotArea type="data" outline="0" fieldPosition="0">
        <references count="2">
          <reference field="4294967294" count="1" selected="0">
            <x v="0"/>
          </reference>
          <reference field="2" count="1" selected="0">
            <x v="2"/>
          </reference>
        </references>
      </pivotArea>
    </chartFormat>
    <chartFormat chart="16" format="3" series="1">
      <pivotArea type="data" outline="0" fieldPosition="0">
        <references count="2">
          <reference field="4294967294" count="1" selected="0">
            <x v="0"/>
          </reference>
          <reference field="2" count="1" selected="0">
            <x v="3"/>
          </reference>
        </references>
      </pivotArea>
    </chartFormat>
    <chartFormat chart="16" format="4" series="1">
      <pivotArea type="data" outline="0" fieldPosition="0">
        <references count="2">
          <reference field="4294967294" count="1" selected="0">
            <x v="0"/>
          </reference>
          <reference field="2" count="1" selected="0">
            <x v="4"/>
          </reference>
        </references>
      </pivotArea>
    </chartFormat>
    <chartFormat chart="16" format="5" series="1">
      <pivotArea type="data" outline="0" fieldPosition="0">
        <references count="2">
          <reference field="4294967294" count="1" selected="0">
            <x v="0"/>
          </reference>
          <reference field="2" count="1" selected="0">
            <x v="5"/>
          </reference>
        </references>
      </pivotArea>
    </chartFormat>
    <chartFormat chart="16" format="6" series="1">
      <pivotArea type="data" outline="0" fieldPosition="0">
        <references count="2">
          <reference field="4294967294" count="1" selected="0">
            <x v="0"/>
          </reference>
          <reference field="2" count="1" selected="0">
            <x v="6"/>
          </reference>
        </references>
      </pivotArea>
    </chartFormat>
    <chartFormat chart="16" format="7" series="1">
      <pivotArea type="data" outline="0" fieldPosition="0">
        <references count="2">
          <reference field="4294967294" count="1" selected="0">
            <x v="0"/>
          </reference>
          <reference field="2" count="1" selected="0">
            <x v="7"/>
          </reference>
        </references>
      </pivotArea>
    </chartFormat>
    <chartFormat chart="16" format="8" series="1">
      <pivotArea type="data" outline="0" fieldPosition="0">
        <references count="2">
          <reference field="4294967294" count="1" selected="0">
            <x v="0"/>
          </reference>
          <reference field="2" count="1" selected="0">
            <x v="8"/>
          </reference>
        </references>
      </pivotArea>
    </chartFormat>
    <chartFormat chart="16" format="9" series="1">
      <pivotArea type="data" outline="0" fieldPosition="0">
        <references count="2">
          <reference field="4294967294" count="1" selected="0">
            <x v="0"/>
          </reference>
          <reference field="2"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2">
  <location ref="B721:F835" firstHeaderRow="0" firstDataRow="1" firstDataCol="1" rowPageCount="2" colPageCount="1"/>
  <pivotFields count="95">
    <pivotField axis="axisRow" showAll="0">
      <items count="21">
        <item x="11"/>
        <item x="0"/>
        <item x="1"/>
        <item x="2"/>
        <item x="15"/>
        <item x="3"/>
        <item x="10"/>
        <item x="18"/>
        <item x="4"/>
        <item x="5"/>
        <item x="6"/>
        <item x="13"/>
        <item x="7"/>
        <item x="14"/>
        <item x="17"/>
        <item x="8"/>
        <item x="12"/>
        <item m="1" x="19"/>
        <item x="9"/>
        <item x="16"/>
        <item t="default"/>
      </items>
    </pivotField>
    <pivotField showAll="0"/>
    <pivotField axis="axisPage" showAll="0">
      <items count="11">
        <item x="1"/>
        <item x="5"/>
        <item x="2"/>
        <item x="6"/>
        <item x="4"/>
        <item x="3"/>
        <item x="7"/>
        <item x="8"/>
        <item x="9"/>
        <item x="0"/>
        <item t="default"/>
      </items>
    </pivotField>
    <pivotField showAll="0"/>
    <pivotField showAll="0"/>
    <pivotField showAll="0"/>
    <pivotField axis="axisRow" dataField="1" multipleItemSelectionAllowed="1" showAll="0">
      <items count="4">
        <item x="0"/>
        <item x="2"/>
        <item x="1"/>
        <item t="default"/>
      </items>
    </pivotField>
    <pivotField axis="axisPage" showAll="0">
      <items count="3">
        <item x="0"/>
        <item x="1"/>
        <item t="default"/>
      </items>
    </pivotField>
    <pivotField showAll="0"/>
    <pivotField showAll="0"/>
    <pivotField dataField="1" showAll="0"/>
    <pivotField showAll="0"/>
    <pivotField showAll="0"/>
    <pivotField axis="axisRow" showAll="0">
      <items count="10">
        <item x="5"/>
        <item x="1"/>
        <item x="2"/>
        <item x="4"/>
        <item x="3"/>
        <item x="8"/>
        <item x="0"/>
        <item x="6"/>
        <item x="7"/>
        <item t="default"/>
      </items>
    </pivotField>
    <pivotField showAll="0" defaultSubtotal="0"/>
    <pivotField showAll="0"/>
    <pivotField showAll="0"/>
    <pivotField showAll="0"/>
    <pivotField showAll="0"/>
    <pivotField showAll="0" defaultSubtota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3">
    <field x="13"/>
    <field x="0"/>
    <field x="6"/>
  </rowFields>
  <rowItems count="114">
    <i>
      <x/>
    </i>
    <i r="1">
      <x/>
    </i>
    <i r="2">
      <x v="2"/>
    </i>
    <i r="1">
      <x v="6"/>
    </i>
    <i r="2">
      <x/>
    </i>
    <i r="1">
      <x v="10"/>
    </i>
    <i r="2">
      <x v="2"/>
    </i>
    <i>
      <x v="1"/>
    </i>
    <i r="1">
      <x v="1"/>
    </i>
    <i r="2">
      <x/>
    </i>
    <i r="1">
      <x v="2"/>
    </i>
    <i r="2">
      <x/>
    </i>
    <i r="1">
      <x v="5"/>
    </i>
    <i r="2">
      <x/>
    </i>
    <i r="1">
      <x v="8"/>
    </i>
    <i r="2">
      <x/>
    </i>
    <i r="1">
      <x v="9"/>
    </i>
    <i r="2">
      <x/>
    </i>
    <i r="1">
      <x v="10"/>
    </i>
    <i r="2">
      <x/>
    </i>
    <i r="1">
      <x v="12"/>
    </i>
    <i r="2">
      <x/>
    </i>
    <i r="1">
      <x v="15"/>
    </i>
    <i r="2">
      <x/>
    </i>
    <i r="2">
      <x v="2"/>
    </i>
    <i r="1">
      <x v="18"/>
    </i>
    <i r="2">
      <x/>
    </i>
    <i>
      <x v="2"/>
    </i>
    <i r="1">
      <x v="1"/>
    </i>
    <i r="2">
      <x/>
    </i>
    <i r="2">
      <x v="1"/>
    </i>
    <i r="1">
      <x v="2"/>
    </i>
    <i r="2">
      <x/>
    </i>
    <i r="1">
      <x v="4"/>
    </i>
    <i r="2">
      <x/>
    </i>
    <i r="1">
      <x v="7"/>
    </i>
    <i r="2">
      <x/>
    </i>
    <i r="2">
      <x v="2"/>
    </i>
    <i r="1">
      <x v="9"/>
    </i>
    <i r="2">
      <x/>
    </i>
    <i r="1">
      <x v="10"/>
    </i>
    <i r="2">
      <x/>
    </i>
    <i r="1">
      <x v="12"/>
    </i>
    <i r="2">
      <x/>
    </i>
    <i r="1">
      <x v="18"/>
    </i>
    <i r="2">
      <x/>
    </i>
    <i>
      <x v="3"/>
    </i>
    <i r="1">
      <x/>
    </i>
    <i r="2">
      <x/>
    </i>
    <i r="1">
      <x v="4"/>
    </i>
    <i r="2">
      <x/>
    </i>
    <i r="1">
      <x v="6"/>
    </i>
    <i r="2">
      <x/>
    </i>
    <i r="1">
      <x v="7"/>
    </i>
    <i r="2">
      <x/>
    </i>
    <i r="1">
      <x v="10"/>
    </i>
    <i r="2">
      <x/>
    </i>
    <i r="1">
      <x v="11"/>
    </i>
    <i r="2">
      <x/>
    </i>
    <i r="1">
      <x v="13"/>
    </i>
    <i r="2">
      <x/>
    </i>
    <i r="1">
      <x v="14"/>
    </i>
    <i r="2">
      <x/>
    </i>
    <i r="1">
      <x v="16"/>
    </i>
    <i r="2">
      <x/>
    </i>
    <i r="1">
      <x v="18"/>
    </i>
    <i r="2">
      <x/>
    </i>
    <i r="2">
      <x v="1"/>
    </i>
    <i r="2">
      <x v="2"/>
    </i>
    <i r="1">
      <x v="19"/>
    </i>
    <i r="2">
      <x/>
    </i>
    <i>
      <x v="4"/>
    </i>
    <i r="1">
      <x v="2"/>
    </i>
    <i r="2">
      <x/>
    </i>
    <i r="1">
      <x v="3"/>
    </i>
    <i r="2">
      <x/>
    </i>
    <i r="1">
      <x v="6"/>
    </i>
    <i r="2">
      <x v="2"/>
    </i>
    <i r="1">
      <x v="10"/>
    </i>
    <i r="2">
      <x v="2"/>
    </i>
    <i r="1">
      <x v="15"/>
    </i>
    <i r="2">
      <x v="2"/>
    </i>
    <i r="1">
      <x v="16"/>
    </i>
    <i r="2">
      <x v="2"/>
    </i>
    <i>
      <x v="5"/>
    </i>
    <i r="1">
      <x v="6"/>
    </i>
    <i r="2">
      <x/>
    </i>
    <i r="1">
      <x v="11"/>
    </i>
    <i r="2">
      <x/>
    </i>
    <i r="1">
      <x v="13"/>
    </i>
    <i r="2">
      <x/>
    </i>
    <i>
      <x v="6"/>
    </i>
    <i r="1">
      <x v="1"/>
    </i>
    <i r="2">
      <x/>
    </i>
    <i r="1">
      <x v="2"/>
    </i>
    <i r="2">
      <x/>
    </i>
    <i r="1">
      <x v="12"/>
    </i>
    <i r="2">
      <x/>
    </i>
    <i r="1">
      <x v="18"/>
    </i>
    <i r="2">
      <x/>
    </i>
    <i>
      <x v="7"/>
    </i>
    <i r="1">
      <x/>
    </i>
    <i r="2">
      <x/>
    </i>
    <i r="1">
      <x v="10"/>
    </i>
    <i r="2">
      <x/>
    </i>
    <i r="2">
      <x v="1"/>
    </i>
    <i>
      <x v="8"/>
    </i>
    <i r="1">
      <x v="6"/>
    </i>
    <i r="2">
      <x/>
    </i>
    <i r="1">
      <x v="10"/>
    </i>
    <i r="2">
      <x/>
    </i>
    <i r="2">
      <x v="1"/>
    </i>
    <i r="2">
      <x v="2"/>
    </i>
    <i t="grand">
      <x/>
    </i>
  </rowItems>
  <colFields count="1">
    <field x="-2"/>
  </colFields>
  <colItems count="4">
    <i>
      <x/>
    </i>
    <i i="1">
      <x v="1"/>
    </i>
    <i i="2">
      <x v="2"/>
    </i>
    <i i="3">
      <x v="3"/>
    </i>
  </colItems>
  <pageFields count="2">
    <pageField fld="7" hier="-1"/>
    <pageField fld="2" hier="-1"/>
  </pageFields>
  <dataFields count="4">
    <dataField name="Nb of sites" fld="6" subtotal="count" baseField="0" baseItem="0"/>
    <dataField name="Population targetted" fld="10" baseField="0" baseItem="0"/>
    <dataField name="% Water Need coverage" fld="85" baseField="0" baseItem="0" numFmtId="9"/>
    <dataField name="% Latrine need coverage" fld="86" baseField="0" baseItem="0"/>
  </dataFields>
  <formats count="45">
    <format dxfId="271">
      <pivotArea outline="0" collapsedLevelsAreSubtotals="1" fieldPosition="0"/>
    </format>
    <format dxfId="270">
      <pivotArea outline="0" collapsedLevelsAreSubtotals="1" fieldPosition="0"/>
    </format>
    <format dxfId="269">
      <pivotArea outline="0" collapsedLevelsAreSubtotals="1" fieldPosition="0"/>
    </format>
    <format dxfId="268">
      <pivotArea outline="0" collapsedLevelsAreSubtotals="1" fieldPosition="0">
        <references count="2">
          <reference field="4294967294" count="2" selected="0">
            <x v="2"/>
            <x v="3"/>
          </reference>
          <reference field="6" count="1" selected="0">
            <x v="0"/>
          </reference>
        </references>
      </pivotArea>
    </format>
    <format dxfId="267">
      <pivotArea dataOnly="0" labelOnly="1" fieldPosition="0">
        <references count="1">
          <reference field="6" count="1">
            <x v="1"/>
          </reference>
        </references>
      </pivotArea>
    </format>
    <format dxfId="266">
      <pivotArea dataOnly="0" labelOnly="1" fieldPosition="0">
        <references count="1">
          <reference field="6" count="1">
            <x v="0"/>
          </reference>
        </references>
      </pivotArea>
    </format>
    <format dxfId="265">
      <pivotArea outline="0" collapsedLevelsAreSubtotals="1" fieldPosition="0">
        <references count="2">
          <reference field="4294967294" count="2" selected="0">
            <x v="2"/>
            <x v="3"/>
          </reference>
          <reference field="6" count="1" selected="0">
            <x v="1"/>
          </reference>
        </references>
      </pivotArea>
    </format>
    <format dxfId="264">
      <pivotArea outline="0" fieldPosition="0">
        <references count="1">
          <reference field="4294967294" count="1">
            <x v="2"/>
          </reference>
        </references>
      </pivotArea>
    </format>
    <format dxfId="263">
      <pivotArea field="13" type="button" dataOnly="0" labelOnly="1" outline="0" axis="axisRow" fieldPosition="0"/>
    </format>
    <format dxfId="262">
      <pivotArea field="6" dataOnly="0" labelOnly="1" outline="0" axis="axisRow" fieldPosition="2">
        <references count="1">
          <reference field="4294967294" count="1" selected="0">
            <x v="0"/>
          </reference>
        </references>
      </pivotArea>
    </format>
    <format dxfId="261">
      <pivotArea field="6" dataOnly="0" labelOnly="1" outline="0" axis="axisRow" fieldPosition="2">
        <references count="1">
          <reference field="4294967294" count="1" selected="0">
            <x v="1"/>
          </reference>
        </references>
      </pivotArea>
    </format>
    <format dxfId="260">
      <pivotArea field="6" dataOnly="0" labelOnly="1" outline="0" axis="axisRow" fieldPosition="2">
        <references count="1">
          <reference field="4294967294" count="1" selected="0">
            <x v="2"/>
          </reference>
        </references>
      </pivotArea>
    </format>
    <format dxfId="259">
      <pivotArea field="6" dataOnly="0" labelOnly="1" outline="0" axis="axisRow" fieldPosition="2">
        <references count="1">
          <reference field="4294967294" count="1" selected="0">
            <x v="3"/>
          </reference>
        </references>
      </pivotArea>
    </format>
    <format dxfId="258">
      <pivotArea dataOnly="0" labelOnly="1" outline="0" fieldPosition="0">
        <references count="2">
          <reference field="4294967294" count="4">
            <x v="0"/>
            <x v="1"/>
            <x v="2"/>
            <x v="3"/>
          </reference>
          <reference field="6" count="1" selected="0">
            <x v="0"/>
          </reference>
        </references>
      </pivotArea>
    </format>
    <format dxfId="257">
      <pivotArea dataOnly="0" labelOnly="1" outline="0" fieldPosition="0">
        <references count="2">
          <reference field="4294967294" count="4">
            <x v="0"/>
            <x v="1"/>
            <x v="2"/>
            <x v="3"/>
          </reference>
          <reference field="6" count="1" selected="0">
            <x v="1"/>
          </reference>
        </references>
      </pivotArea>
    </format>
    <format dxfId="256">
      <pivotArea dataOnly="0" labelOnly="1" outline="0" fieldPosition="0">
        <references count="2">
          <reference field="4294967294" count="4">
            <x v="0"/>
            <x v="1"/>
            <x v="2"/>
            <x v="3"/>
          </reference>
          <reference field="6" count="1" selected="0">
            <x v="2"/>
          </reference>
        </references>
      </pivotArea>
    </format>
    <format dxfId="255">
      <pivotArea field="13" type="button" dataOnly="0" labelOnly="1" outline="0" axis="axisRow" fieldPosition="0"/>
    </format>
    <format dxfId="254">
      <pivotArea field="6" dataOnly="0" labelOnly="1" outline="0" axis="axisRow" fieldPosition="2">
        <references count="1">
          <reference field="4294967294" count="1" selected="0">
            <x v="0"/>
          </reference>
        </references>
      </pivotArea>
    </format>
    <format dxfId="253">
      <pivotArea field="6" dataOnly="0" labelOnly="1" outline="0" axis="axisRow" fieldPosition="2">
        <references count="1">
          <reference field="4294967294" count="1" selected="0">
            <x v="1"/>
          </reference>
        </references>
      </pivotArea>
    </format>
    <format dxfId="252">
      <pivotArea field="6" dataOnly="0" labelOnly="1" outline="0" axis="axisRow" fieldPosition="2">
        <references count="1">
          <reference field="4294967294" count="1" selected="0">
            <x v="2"/>
          </reference>
        </references>
      </pivotArea>
    </format>
    <format dxfId="251">
      <pivotArea field="6" dataOnly="0" labelOnly="1" outline="0" axis="axisRow" fieldPosition="2">
        <references count="1">
          <reference field="4294967294" count="1" selected="0">
            <x v="3"/>
          </reference>
        </references>
      </pivotArea>
    </format>
    <format dxfId="250">
      <pivotArea dataOnly="0" labelOnly="1" outline="0" fieldPosition="0">
        <references count="2">
          <reference field="4294967294" count="4">
            <x v="0"/>
            <x v="1"/>
            <x v="2"/>
            <x v="3"/>
          </reference>
          <reference field="6" count="1" selected="0">
            <x v="0"/>
          </reference>
        </references>
      </pivotArea>
    </format>
    <format dxfId="249">
      <pivotArea dataOnly="0" labelOnly="1" outline="0" fieldPosition="0">
        <references count="2">
          <reference field="4294967294" count="4">
            <x v="0"/>
            <x v="1"/>
            <x v="2"/>
            <x v="3"/>
          </reference>
          <reference field="6" count="1" selected="0">
            <x v="1"/>
          </reference>
        </references>
      </pivotArea>
    </format>
    <format dxfId="248">
      <pivotArea dataOnly="0" labelOnly="1" outline="0" fieldPosition="0">
        <references count="2">
          <reference field="4294967294" count="4">
            <x v="0"/>
            <x v="1"/>
            <x v="2"/>
            <x v="3"/>
          </reference>
          <reference field="6" count="1" selected="0">
            <x v="2"/>
          </reference>
        </references>
      </pivotArea>
    </format>
    <format dxfId="247">
      <pivotArea field="13" type="button" dataOnly="0" labelOnly="1" outline="0" axis="axisRow" fieldPosition="0"/>
    </format>
    <format dxfId="246">
      <pivotArea field="6" dataOnly="0" labelOnly="1" outline="0" axis="axisRow" fieldPosition="2">
        <references count="1">
          <reference field="4294967294" count="1" selected="0">
            <x v="0"/>
          </reference>
        </references>
      </pivotArea>
    </format>
    <format dxfId="245">
      <pivotArea field="6" dataOnly="0" labelOnly="1" outline="0" axis="axisRow" fieldPosition="2">
        <references count="1">
          <reference field="4294967294" count="1" selected="0">
            <x v="1"/>
          </reference>
        </references>
      </pivotArea>
    </format>
    <format dxfId="244">
      <pivotArea field="6" dataOnly="0" labelOnly="1" outline="0" axis="axisRow" fieldPosition="2">
        <references count="1">
          <reference field="4294967294" count="1" selected="0">
            <x v="2"/>
          </reference>
        </references>
      </pivotArea>
    </format>
    <format dxfId="243">
      <pivotArea field="6" dataOnly="0" labelOnly="1" outline="0" axis="axisRow" fieldPosition="2">
        <references count="1">
          <reference field="4294967294" count="1" selected="0">
            <x v="3"/>
          </reference>
        </references>
      </pivotArea>
    </format>
    <format dxfId="242">
      <pivotArea dataOnly="0" labelOnly="1" outline="0" fieldPosition="0">
        <references count="2">
          <reference field="4294967294" count="4">
            <x v="0"/>
            <x v="1"/>
            <x v="2"/>
            <x v="3"/>
          </reference>
          <reference field="6" count="1" selected="0">
            <x v="0"/>
          </reference>
        </references>
      </pivotArea>
    </format>
    <format dxfId="241">
      <pivotArea dataOnly="0" labelOnly="1" outline="0" fieldPosition="0">
        <references count="2">
          <reference field="4294967294" count="4">
            <x v="0"/>
            <x v="1"/>
            <x v="2"/>
            <x v="3"/>
          </reference>
          <reference field="6" count="1" selected="0">
            <x v="1"/>
          </reference>
        </references>
      </pivotArea>
    </format>
    <format dxfId="240">
      <pivotArea dataOnly="0" labelOnly="1" outline="0" fieldPosition="0">
        <references count="2">
          <reference field="4294967294" count="4">
            <x v="0"/>
            <x v="1"/>
            <x v="2"/>
            <x v="3"/>
          </reference>
          <reference field="6" count="1" selected="0">
            <x v="2"/>
          </reference>
        </references>
      </pivotArea>
    </format>
    <format dxfId="239">
      <pivotArea field="13" type="button" dataOnly="0" labelOnly="1" outline="0" axis="axisRow" fieldPosition="0"/>
    </format>
    <format dxfId="238">
      <pivotArea field="6" dataOnly="0" labelOnly="1" outline="0" axis="axisRow" fieldPosition="2">
        <references count="1">
          <reference field="4294967294" count="1" selected="0">
            <x v="0"/>
          </reference>
        </references>
      </pivotArea>
    </format>
    <format dxfId="237">
      <pivotArea field="6" dataOnly="0" labelOnly="1" outline="0" axis="axisRow" fieldPosition="2">
        <references count="1">
          <reference field="4294967294" count="1" selected="0">
            <x v="1"/>
          </reference>
        </references>
      </pivotArea>
    </format>
    <format dxfId="236">
      <pivotArea field="6" dataOnly="0" labelOnly="1" outline="0" axis="axisRow" fieldPosition="2">
        <references count="1">
          <reference field="4294967294" count="1" selected="0">
            <x v="2"/>
          </reference>
        </references>
      </pivotArea>
    </format>
    <format dxfId="235">
      <pivotArea field="6" dataOnly="0" labelOnly="1" outline="0" axis="axisRow" fieldPosition="2">
        <references count="1">
          <reference field="4294967294" count="1" selected="0">
            <x v="3"/>
          </reference>
        </references>
      </pivotArea>
    </format>
    <format dxfId="234">
      <pivotArea dataOnly="0" labelOnly="1" outline="0" fieldPosition="0">
        <references count="2">
          <reference field="4294967294" count="4">
            <x v="0"/>
            <x v="1"/>
            <x v="2"/>
            <x v="3"/>
          </reference>
          <reference field="6" count="1" selected="0">
            <x v="0"/>
          </reference>
        </references>
      </pivotArea>
    </format>
    <format dxfId="233">
      <pivotArea dataOnly="0" labelOnly="1" outline="0" fieldPosition="0">
        <references count="2">
          <reference field="4294967294" count="4">
            <x v="0"/>
            <x v="1"/>
            <x v="2"/>
            <x v="3"/>
          </reference>
          <reference field="6" count="1" selected="0">
            <x v="1"/>
          </reference>
        </references>
      </pivotArea>
    </format>
    <format dxfId="232">
      <pivotArea dataOnly="0" labelOnly="1" outline="0" fieldPosition="0">
        <references count="2">
          <reference field="4294967294" count="4">
            <x v="0"/>
            <x v="1"/>
            <x v="2"/>
            <x v="3"/>
          </reference>
          <reference field="6" count="1" selected="0">
            <x v="2"/>
          </reference>
        </references>
      </pivotArea>
    </format>
    <format dxfId="231">
      <pivotArea field="6" outline="0" collapsedLevelsAreSubtotals="1" axis="axisRow" fieldPosition="2">
        <references count="1">
          <reference field="4294967294" count="1" selected="0">
            <x v="3"/>
          </reference>
        </references>
      </pivotArea>
    </format>
    <format dxfId="230">
      <pivotArea dataOnly="0" labelOnly="1" outline="0" fieldPosition="0">
        <references count="1">
          <reference field="4294967294" count="4">
            <x v="0"/>
            <x v="1"/>
            <x v="2"/>
            <x v="3"/>
          </reference>
        </references>
      </pivotArea>
    </format>
    <format dxfId="229">
      <pivotArea dataOnly="0" labelOnly="1" outline="0" fieldPosition="0">
        <references count="1">
          <reference field="4294967294" count="4">
            <x v="0"/>
            <x v="1"/>
            <x v="2"/>
            <x v="3"/>
          </reference>
        </references>
      </pivotArea>
    </format>
    <format dxfId="228">
      <pivotArea dataOnly="0" labelOnly="1" outline="0" fieldPosition="0">
        <references count="1">
          <reference field="4294967294" count="4">
            <x v="0"/>
            <x v="1"/>
            <x v="2"/>
            <x v="3"/>
          </reference>
        </references>
      </pivotArea>
    </format>
    <format dxfId="227">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15"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8">
  <location ref="B194:E215" firstHeaderRow="1" firstDataRow="2" firstDataCol="1" rowPageCount="2" colPageCount="1"/>
  <pivotFields count="95">
    <pivotField axis="axisRow" showAll="0">
      <items count="21">
        <item x="11"/>
        <item x="0"/>
        <item x="1"/>
        <item x="2"/>
        <item x="15"/>
        <item x="3"/>
        <item x="10"/>
        <item x="18"/>
        <item x="4"/>
        <item x="5"/>
        <item x="6"/>
        <item x="13"/>
        <item x="7"/>
        <item x="14"/>
        <item x="17"/>
        <item x="8"/>
        <item x="12"/>
        <item m="1" x="19"/>
        <item x="9"/>
        <item x="16"/>
        <item t="default"/>
      </items>
    </pivotField>
    <pivotField showAll="0"/>
    <pivotField showAll="0"/>
    <pivotField showAll="0"/>
    <pivotField showAll="0"/>
    <pivotField showAll="0"/>
    <pivotField axis="axisPage" multipleItemSelectionAllowed="1" showAll="0">
      <items count="4">
        <item x="0"/>
        <item x="2"/>
        <item x="1"/>
        <item t="default"/>
      </items>
    </pivotField>
    <pivotField axis="axisCol"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dataField="1"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0">
    <i>
      <x/>
    </i>
    <i>
      <x v="1"/>
    </i>
    <i>
      <x v="2"/>
    </i>
    <i>
      <x v="3"/>
    </i>
    <i>
      <x v="4"/>
    </i>
    <i>
      <x v="5"/>
    </i>
    <i>
      <x v="6"/>
    </i>
    <i>
      <x v="7"/>
    </i>
    <i>
      <x v="8"/>
    </i>
    <i>
      <x v="9"/>
    </i>
    <i>
      <x v="10"/>
    </i>
    <i>
      <x v="11"/>
    </i>
    <i>
      <x v="12"/>
    </i>
    <i>
      <x v="13"/>
    </i>
    <i>
      <x v="14"/>
    </i>
    <i>
      <x v="15"/>
    </i>
    <i>
      <x v="16"/>
    </i>
    <i>
      <x v="18"/>
    </i>
    <i>
      <x v="19"/>
    </i>
    <i t="grand">
      <x/>
    </i>
  </rowItems>
  <colFields count="1">
    <field x="7"/>
  </colFields>
  <colItems count="3">
    <i>
      <x/>
    </i>
    <i>
      <x v="1"/>
    </i>
    <i t="grand">
      <x/>
    </i>
  </colItems>
  <pageFields count="2">
    <pageField fld="6" hier="-1"/>
    <pageField fld="19" hier="-1"/>
  </pageFields>
  <dataFields count="1">
    <dataField name="Sum of # Semi permanent latrines missing" fld="56" baseField="0" baseItem="0" numFmtId="1"/>
  </dataFields>
  <formats count="4">
    <format dxfId="275">
      <pivotArea outline="0" collapsedLevelsAreSubtotals="1" fieldPosition="0"/>
    </format>
    <format dxfId="274">
      <pivotArea outline="0" collapsedLevelsAreSubtotals="1" fieldPosition="0"/>
    </format>
    <format dxfId="273">
      <pivotArea dataOnly="0" labelOnly="1" fieldPosition="0">
        <references count="1">
          <reference field="7" count="0"/>
        </references>
      </pivotArea>
    </format>
    <format dxfId="272">
      <pivotArea dataOnly="0" labelOnly="1" grandCol="1" outline="0" fieldPosition="0"/>
    </format>
  </formats>
  <chartFormats count="10">
    <chartFormat chart="10" format="0" series="1">
      <pivotArea type="data" outline="0" fieldPosition="0">
        <references count="2">
          <reference field="4294967294" count="1" selected="0">
            <x v="0"/>
          </reference>
          <reference field="7" count="1" selected="0">
            <x v="0"/>
          </reference>
        </references>
      </pivotArea>
    </chartFormat>
    <chartFormat chart="10" format="1" series="1">
      <pivotArea type="data" outline="0" fieldPosition="0">
        <references count="2">
          <reference field="4294967294" count="1" selected="0">
            <x v="0"/>
          </reference>
          <reference field="7" count="1" selected="0">
            <x v="1"/>
          </reference>
        </references>
      </pivotArea>
    </chartFormat>
    <chartFormat chart="12" format="2" series="1">
      <pivotArea type="data" outline="0" fieldPosition="0">
        <references count="2">
          <reference field="4294967294" count="1" selected="0">
            <x v="0"/>
          </reference>
          <reference field="7" count="1" selected="0">
            <x v="0"/>
          </reference>
        </references>
      </pivotArea>
    </chartFormat>
    <chartFormat chart="12" format="3" series="1">
      <pivotArea type="data" outline="0" fieldPosition="0">
        <references count="2">
          <reference field="4294967294" count="1" selected="0">
            <x v="0"/>
          </reference>
          <reference field="7" count="1" selected="0">
            <x v="1"/>
          </reference>
        </references>
      </pivotArea>
    </chartFormat>
    <chartFormat chart="13" format="4" series="1">
      <pivotArea type="data" outline="0" fieldPosition="0">
        <references count="2">
          <reference field="4294967294" count="1" selected="0">
            <x v="0"/>
          </reference>
          <reference field="7" count="1" selected="0">
            <x v="0"/>
          </reference>
        </references>
      </pivotArea>
    </chartFormat>
    <chartFormat chart="13" format="5" series="1">
      <pivotArea type="data" outline="0" fieldPosition="0">
        <references count="2">
          <reference field="4294967294" count="1" selected="0">
            <x v="0"/>
          </reference>
          <reference field="7" count="1" selected="0">
            <x v="1"/>
          </reference>
        </references>
      </pivotArea>
    </chartFormat>
    <chartFormat chart="14" format="2" series="1">
      <pivotArea type="data" outline="0" fieldPosition="0">
        <references count="2">
          <reference field="4294967294" count="1" selected="0">
            <x v="0"/>
          </reference>
          <reference field="7" count="1" selected="0">
            <x v="0"/>
          </reference>
        </references>
      </pivotArea>
    </chartFormat>
    <chartFormat chart="14" format="3" series="1">
      <pivotArea type="data" outline="0" fieldPosition="0">
        <references count="2">
          <reference field="4294967294" count="1" selected="0">
            <x v="0"/>
          </reference>
          <reference field="7" count="1" selected="0">
            <x v="1"/>
          </reference>
        </references>
      </pivotArea>
    </chartFormat>
    <chartFormat chart="16" format="0" series="1">
      <pivotArea type="data" outline="0" fieldPosition="0">
        <references count="2">
          <reference field="4294967294" count="1" selected="0">
            <x v="0"/>
          </reference>
          <reference field="7" count="1" selected="0">
            <x v="0"/>
          </reference>
        </references>
      </pivotArea>
    </chartFormat>
    <chartFormat chart="16" format="1" series="1">
      <pivotArea type="data" outline="0" fieldPosition="0">
        <references count="2">
          <reference field="4294967294" count="1" selected="0">
            <x v="0"/>
          </reference>
          <reference field="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3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0">
  <location ref="B161:C167" firstHeaderRow="1" firstDataRow="1" firstDataCol="1" rowPageCount="4" colPageCount="1"/>
  <pivotFields count="95">
    <pivotField axis="axisPage" showAll="0">
      <items count="21">
        <item x="11"/>
        <item x="0"/>
        <item x="1"/>
        <item x="2"/>
        <item x="15"/>
        <item x="3"/>
        <item x="10"/>
        <item x="18"/>
        <item x="4"/>
        <item x="5"/>
        <item x="6"/>
        <item x="13"/>
        <item x="7"/>
        <item x="14"/>
        <item x="17"/>
        <item x="8"/>
        <item x="12"/>
        <item m="1" x="19"/>
        <item x="9"/>
        <item x="16"/>
        <item t="default"/>
      </items>
    </pivotField>
    <pivotField showAll="0"/>
    <pivotField showAll="0"/>
    <pivotField showAll="0"/>
    <pivotField showAll="0"/>
    <pivotField showAll="0"/>
    <pivotField axis="axisPage" multipleItemSelectionAllowed="1" showAll="0">
      <items count="4">
        <item x="0"/>
        <item x="2"/>
        <item x="1"/>
        <item t="default"/>
      </items>
    </pivotField>
    <pivotField axis="axisPage"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axis="axisRow" dataField="1" showAll="0">
      <items count="7">
        <item x="1"/>
        <item x="2"/>
        <item m="1" x="5"/>
        <item x="3"/>
        <item x="4"/>
        <item x="0"/>
        <item t="default"/>
      </items>
    </pivotField>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34"/>
  </rowFields>
  <rowItems count="6">
    <i>
      <x/>
    </i>
    <i>
      <x v="1"/>
    </i>
    <i>
      <x v="3"/>
    </i>
    <i>
      <x v="4"/>
    </i>
    <i>
      <x v="5"/>
    </i>
    <i t="grand">
      <x/>
    </i>
  </rowItems>
  <colItems count="1">
    <i/>
  </colItems>
  <pageFields count="4">
    <pageField fld="7" hier="-1"/>
    <pageField fld="0" hier="-1"/>
    <pageField fld="6" hier="-1"/>
    <pageField fld="19" hier="-1"/>
  </pageFields>
  <dataFields count="1">
    <dataField name="Count of Rank coverage" fld="34" subtotal="count" baseField="0" baseItem="0" numFmtId="1"/>
  </dataFields>
  <formats count="4">
    <format dxfId="279">
      <pivotArea outline="0" collapsedLevelsAreSubtotals="1" fieldPosition="0"/>
    </format>
    <format dxfId="278">
      <pivotArea field="6" type="button" dataOnly="0" labelOnly="1" outline="0" axis="axisPage" fieldPosition="2"/>
    </format>
    <format dxfId="277">
      <pivotArea outline="0" collapsedLevelsAreSubtotals="1" fieldPosition="0"/>
    </format>
    <format dxfId="276">
      <pivotArea outline="0" collapsedLevelsAreSubtotals="1" fieldPosition="0"/>
    </format>
  </formats>
  <chartFormats count="6">
    <chartFormat chart="8" format="0" series="1">
      <pivotArea type="data" outline="0" fieldPosition="0">
        <references count="1">
          <reference field="4294967294" count="1" selected="0">
            <x v="0"/>
          </reference>
        </references>
      </pivotArea>
    </chartFormat>
    <chartFormat chart="8" format="1">
      <pivotArea type="data" outline="0" fieldPosition="0">
        <references count="2">
          <reference field="4294967294" count="1" selected="0">
            <x v="0"/>
          </reference>
          <reference field="34" count="1" selected="0">
            <x v="0"/>
          </reference>
        </references>
      </pivotArea>
    </chartFormat>
    <chartFormat chart="8" format="2">
      <pivotArea type="data" outline="0" fieldPosition="0">
        <references count="2">
          <reference field="4294967294" count="1" selected="0">
            <x v="0"/>
          </reference>
          <reference field="34" count="1" selected="0">
            <x v="1"/>
          </reference>
        </references>
      </pivotArea>
    </chartFormat>
    <chartFormat chart="8" format="3">
      <pivotArea type="data" outline="0" fieldPosition="0">
        <references count="2">
          <reference field="4294967294" count="1" selected="0">
            <x v="0"/>
          </reference>
          <reference field="34" count="1" selected="0">
            <x v="3"/>
          </reference>
        </references>
      </pivotArea>
    </chartFormat>
    <chartFormat chart="8" format="4">
      <pivotArea type="data" outline="0" fieldPosition="0">
        <references count="2">
          <reference field="4294967294" count="1" selected="0">
            <x v="0"/>
          </reference>
          <reference field="34" count="1" selected="0">
            <x v="4"/>
          </reference>
        </references>
      </pivotArea>
    </chartFormat>
    <chartFormat chart="8" format="5">
      <pivotArea type="data" outline="0" fieldPosition="0">
        <references count="2">
          <reference field="4294967294" count="1" selected="0">
            <x v="0"/>
          </reference>
          <reference field="3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1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8">
  <location ref="B137:E141" firstHeaderRow="0" firstDataRow="1" firstDataCol="1" rowPageCount="3" colPageCount="1"/>
  <pivotFields count="95">
    <pivotField axis="axisPage" showAll="0">
      <items count="21">
        <item x="11"/>
        <item x="0"/>
        <item x="1"/>
        <item x="2"/>
        <item x="15"/>
        <item x="3"/>
        <item x="10"/>
        <item x="18"/>
        <item x="4"/>
        <item x="5"/>
        <item x="6"/>
        <item x="13"/>
        <item x="7"/>
        <item x="14"/>
        <item x="17"/>
        <item x="8"/>
        <item x="12"/>
        <item m="1" x="19"/>
        <item x="9"/>
        <item x="16"/>
        <item t="default"/>
      </items>
    </pivotField>
    <pivotField showAll="0"/>
    <pivotField showAll="0"/>
    <pivotField showAll="0"/>
    <pivotField showAll="0"/>
    <pivotField showAll="0"/>
    <pivotField axis="axisRow" multipleItemSelectionAllowed="1" showAll="0">
      <items count="4">
        <item x="0"/>
        <item x="2"/>
        <item x="1"/>
        <item t="default"/>
      </items>
    </pivotField>
    <pivotField axis="axisPage"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4">
    <i>
      <x/>
    </i>
    <i>
      <x v="1"/>
    </i>
    <i>
      <x v="2"/>
    </i>
    <i t="grand">
      <x/>
    </i>
  </rowItems>
  <colFields count="1">
    <field x="-2"/>
  </colFields>
  <colItems count="3">
    <i>
      <x/>
    </i>
    <i i="1">
      <x v="1"/>
    </i>
    <i i="2">
      <x v="2"/>
    </i>
  </colItems>
  <pageFields count="3">
    <pageField fld="7" hier="-1"/>
    <pageField fld="0" hier="-1"/>
    <pageField fld="19" hier="-1"/>
  </pageFields>
  <dataFields count="3">
    <dataField name="% Water Need coverage" fld="85" baseField="0" baseItem="0" numFmtId="1"/>
    <dataField name="% Latrine need coverage" fld="86" baseField="0" baseItem="0" numFmtId="1"/>
    <dataField name="% Bathroom need coverage" fld="87" baseField="0" baseItem="0" numFmtId="1"/>
  </dataFields>
  <formats count="5">
    <format dxfId="284">
      <pivotArea outline="0" collapsedLevelsAreSubtotals="1" fieldPosition="0"/>
    </format>
    <format dxfId="283">
      <pivotArea field="6" type="button" dataOnly="0" labelOnly="1" outline="0" axis="axisRow" fieldPosition="0"/>
    </format>
    <format dxfId="282">
      <pivotArea dataOnly="0" labelOnly="1" outline="0" fieldPosition="0">
        <references count="1">
          <reference field="4294967294" count="3">
            <x v="0"/>
            <x v="1"/>
            <x v="2"/>
          </reference>
        </references>
      </pivotArea>
    </format>
    <format dxfId="281">
      <pivotArea outline="0" collapsedLevelsAreSubtotals="1" fieldPosition="0"/>
    </format>
    <format dxfId="280">
      <pivotArea dataOnly="0" labelOnly="1" outline="0" fieldPosition="0">
        <references count="1">
          <reference field="4294967294" count="3">
            <x v="0"/>
            <x v="1"/>
            <x v="2"/>
          </reference>
        </references>
      </pivotArea>
    </format>
  </formats>
  <chartFormats count="1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6" format="18" series="1">
      <pivotArea type="data" outline="0" fieldPosition="0">
        <references count="1">
          <reference field="4294967294" count="1" selected="0">
            <x v="0"/>
          </reference>
        </references>
      </pivotArea>
    </chartFormat>
    <chartFormat chart="6" format="19" series="1">
      <pivotArea type="data" outline="0" fieldPosition="0">
        <references count="1">
          <reference field="4294967294" count="1" selected="0">
            <x v="1"/>
          </reference>
        </references>
      </pivotArea>
    </chartFormat>
    <chartFormat chart="6" format="20"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8">
  <location ref="B646:E667" firstHeaderRow="1" firstDataRow="2" firstDataCol="1" rowPageCount="3" colPageCount="1"/>
  <pivotFields count="95">
    <pivotField axis="axisRow" showAll="0">
      <items count="21">
        <item x="11"/>
        <item x="0"/>
        <item x="1"/>
        <item x="2"/>
        <item x="15"/>
        <item x="3"/>
        <item x="10"/>
        <item x="18"/>
        <item x="4"/>
        <item x="5"/>
        <item x="6"/>
        <item x="13"/>
        <item x="7"/>
        <item x="14"/>
        <item x="17"/>
        <item x="8"/>
        <item x="12"/>
        <item m="1" x="19"/>
        <item x="9"/>
        <item x="16"/>
        <item t="default"/>
      </items>
    </pivotField>
    <pivotField showAll="0"/>
    <pivotField axis="axisPage"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x="2"/>
        <item x="1"/>
        <item t="default"/>
      </items>
    </pivotField>
    <pivotField axis="axisPage" showAll="0">
      <items count="3">
        <item x="0"/>
        <item x="1"/>
        <item t="default"/>
      </items>
    </pivotField>
    <pivotField showAll="0"/>
    <pivotField showAll="0"/>
    <pivotField dataField="1" showAll="0"/>
    <pivotField showAll="0"/>
    <pivotField showAll="0"/>
    <pivotField showAll="0"/>
    <pivotField axis="axisCol" showAll="0" defaultSubtotal="0">
      <items count="2">
        <item x="0"/>
        <item x="1"/>
      </items>
    </pivotField>
    <pivotField showAll="0"/>
    <pivotField showAll="0"/>
    <pivotField showAll="0"/>
    <pivotField showAll="0"/>
    <pivotField showAll="0" defaultSubtota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0">
    <i>
      <x/>
    </i>
    <i>
      <x v="1"/>
    </i>
    <i>
      <x v="2"/>
    </i>
    <i>
      <x v="3"/>
    </i>
    <i>
      <x v="4"/>
    </i>
    <i>
      <x v="5"/>
    </i>
    <i>
      <x v="6"/>
    </i>
    <i>
      <x v="7"/>
    </i>
    <i>
      <x v="8"/>
    </i>
    <i>
      <x v="9"/>
    </i>
    <i>
      <x v="10"/>
    </i>
    <i>
      <x v="11"/>
    </i>
    <i>
      <x v="12"/>
    </i>
    <i>
      <x v="13"/>
    </i>
    <i>
      <x v="14"/>
    </i>
    <i>
      <x v="15"/>
    </i>
    <i>
      <x v="16"/>
    </i>
    <i>
      <x v="18"/>
    </i>
    <i>
      <x v="19"/>
    </i>
    <i t="grand">
      <x/>
    </i>
  </rowItems>
  <colFields count="1">
    <field x="14"/>
  </colFields>
  <colItems count="3">
    <i>
      <x/>
    </i>
    <i>
      <x v="1"/>
    </i>
    <i t="grand">
      <x/>
    </i>
  </colItems>
  <pageFields count="3">
    <pageField fld="6" hier="-1"/>
    <pageField fld="2" hier="-1"/>
    <pageField fld="7" hier="-1"/>
  </pageFields>
  <dataFields count="1">
    <dataField name="Sum of Total PoP" fld="10" baseField="0" baseItem="0" numFmtId="1"/>
  </dataFields>
  <formats count="3">
    <format dxfId="106">
      <pivotArea outline="0" collapsedLevelsAreSubtotals="1" fieldPosition="0"/>
    </format>
    <format dxfId="105">
      <pivotArea outline="0" collapsedLevelsAreSubtotals="1" fieldPosition="0"/>
    </format>
    <format dxfId="104">
      <pivotArea outline="0" collapsedLevelsAreSubtotals="1" fieldPosition="0"/>
    </format>
  </formats>
  <chartFormats count="6">
    <chartFormat chart="42" format="0" series="1">
      <pivotArea type="data" outline="0" fieldPosition="0">
        <references count="2">
          <reference field="4294967294" count="1" selected="0">
            <x v="0"/>
          </reference>
          <reference field="14" count="1" selected="0">
            <x v="0"/>
          </reference>
        </references>
      </pivotArea>
    </chartFormat>
    <chartFormat chart="42" format="1" series="1">
      <pivotArea type="data" outline="0" fieldPosition="0">
        <references count="2">
          <reference field="4294967294" count="1" selected="0">
            <x v="0"/>
          </reference>
          <reference field="14" count="1" selected="0">
            <x v="1"/>
          </reference>
        </references>
      </pivotArea>
    </chartFormat>
    <chartFormat chart="44" format="0" series="1">
      <pivotArea type="data" outline="0" fieldPosition="0">
        <references count="2">
          <reference field="4294967294" count="1" selected="0">
            <x v="0"/>
          </reference>
          <reference field="14" count="1" selected="0">
            <x v="0"/>
          </reference>
        </references>
      </pivotArea>
    </chartFormat>
    <chartFormat chart="44" format="1" series="1">
      <pivotArea type="data" outline="0" fieldPosition="0">
        <references count="2">
          <reference field="4294967294" count="1" selected="0">
            <x v="0"/>
          </reference>
          <reference field="14" count="1" selected="0">
            <x v="1"/>
          </reference>
        </references>
      </pivotArea>
    </chartFormat>
    <chartFormat chart="46" format="0" series="1">
      <pivotArea type="data" outline="0" fieldPosition="0">
        <references count="2">
          <reference field="4294967294" count="1" selected="0">
            <x v="0"/>
          </reference>
          <reference field="14" count="1" selected="0">
            <x v="0"/>
          </reference>
        </references>
      </pivotArea>
    </chartFormat>
    <chartFormat chart="46" format="1" series="1">
      <pivotArea type="data" outline="0" fieldPosition="0">
        <references count="2">
          <reference field="4294967294" count="1" selected="0">
            <x v="0"/>
          </reference>
          <reference field="1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10"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59">
  <location ref="B33:C45" firstHeaderRow="2" firstDataRow="2" firstDataCol="1" rowPageCount="1" colPageCount="1"/>
  <pivotFields count="32">
    <pivotField compact="0" outline="0" subtotalTop="0" showAll="0" includeNewItemsInFilter="1"/>
    <pivotField compact="0" outline="0" subtotalTop="0" showAll="0" includeNewItemsInFilter="1"/>
    <pivotField axis="axisRow" compact="0" outline="0" subtotalTop="0" showAll="0" includeNewItemsInFilter="1">
      <items count="21">
        <item x="1"/>
        <item x="2"/>
        <item x="10"/>
        <item x="11"/>
        <item h="1" x="0"/>
        <item x="16"/>
        <item x="7"/>
        <item x="17"/>
        <item x="3"/>
        <item x="4"/>
        <item x="5"/>
        <item x="6"/>
        <item m="1" x="19"/>
        <item x="9"/>
        <item x="12"/>
        <item m="1" x="18"/>
        <item x="14"/>
        <item x="15"/>
        <item x="8"/>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multipleItemSelectionAllowed="1"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howAll="0" defaultSubtotal="0"/>
    <pivotField axis="axisPage" dataField="1" compact="0" outline="0" multipleItemSelectionAllowed="1" showAll="0" defaultSubtotal="0">
      <items count="45">
        <item h="1" x="0"/>
        <item x="31"/>
        <item m="1" x="38"/>
        <item x="1"/>
        <item m="1" x="40"/>
        <item x="5"/>
        <item m="1" x="37"/>
        <item x="8"/>
        <item x="9"/>
        <item x="10"/>
        <item x="11"/>
        <item m="1" x="33"/>
        <item x="13"/>
        <item x="14"/>
        <item m="1" x="39"/>
        <item x="19"/>
        <item x="20"/>
        <item x="22"/>
        <item m="1" x="35"/>
        <item m="1" x="44"/>
        <item x="27"/>
        <item x="28"/>
        <item x="29"/>
        <item x="32"/>
        <item h="1" m="1" x="42"/>
        <item h="1" x="4"/>
        <item h="1" x="6"/>
        <item h="1" m="1" x="36"/>
        <item h="1" m="1" x="41"/>
        <item h="1" x="3"/>
        <item h="1" x="7"/>
        <item h="1" x="12"/>
        <item h="1" x="17"/>
        <item h="1" x="25"/>
        <item h="1" x="26"/>
        <item h="1" x="30"/>
        <item h="1" m="1" x="43"/>
        <item h="1" m="1" x="34"/>
        <item h="1" x="2"/>
        <item h="1" x="18"/>
        <item h="1" x="21"/>
        <item h="1" x="23"/>
        <item h="1" x="15"/>
        <item h="1" x="16"/>
        <item h="1" x="24"/>
      </items>
    </pivotField>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11">
    <i>
      <x/>
    </i>
    <i>
      <x v="2"/>
    </i>
    <i>
      <x v="5"/>
    </i>
    <i>
      <x v="6"/>
    </i>
    <i>
      <x v="10"/>
    </i>
    <i>
      <x v="11"/>
    </i>
    <i>
      <x v="13"/>
    </i>
    <i>
      <x v="16"/>
    </i>
    <i>
      <x v="17"/>
    </i>
    <i>
      <x v="19"/>
    </i>
    <i t="grand">
      <x/>
    </i>
  </rowItems>
  <colItems count="1">
    <i/>
  </colItems>
  <pageFields count="1">
    <pageField fld="25" hier="-1"/>
  </pageFields>
  <dataFields count="1">
    <dataField name="Sum of Approximate fund 2014 regarding project date implementation" fld="25" baseField="0" baseItem="0" numFmtId="165"/>
  </dataFields>
  <formats count="7">
    <format dxfId="8">
      <pivotArea outline="0" fieldPosition="0"/>
    </format>
    <format dxfId="7">
      <pivotArea type="origin" dataOnly="0" labelOnly="1" outline="0" fieldPosition="0"/>
    </format>
    <format dxfId="6">
      <pivotArea field="2" type="button" dataOnly="0" labelOnly="1" outline="0" axis="axisRow" fieldPosition="0"/>
    </format>
    <format dxfId="5">
      <pivotArea dataOnly="0" labelOnly="1" grandRow="1" outline="0" fieldPosition="0"/>
    </format>
    <format dxfId="4">
      <pivotArea outline="0" fieldPosition="0"/>
    </format>
    <format dxfId="3">
      <pivotArea type="topRight" dataOnly="0" labelOnly="1" outline="0" fieldPosition="0"/>
    </format>
    <format dxfId="2">
      <pivotArea outline="0" collapsedLevelsAreSubtotals="1" fieldPosition="0"/>
    </format>
  </formats>
  <chartFormats count="7">
    <chartFormat chart="56" format="38" series="1">
      <pivotArea type="data" outline="0" fieldPosition="0">
        <references count="1">
          <reference field="4294967294" count="1" selected="0">
            <x v="0"/>
          </reference>
        </references>
      </pivotArea>
    </chartFormat>
    <chartFormat chart="57" format="40" series="1">
      <pivotArea type="data" outline="0" fieldPosition="0">
        <references count="1">
          <reference field="4294967294" count="1" selected="0">
            <x v="0"/>
          </reference>
        </references>
      </pivotArea>
    </chartFormat>
    <chartFormat chart="57" format="41">
      <pivotArea type="data" outline="0" fieldPosition="0">
        <references count="2">
          <reference field="4294967294" count="1" selected="0">
            <x v="0"/>
          </reference>
          <reference field="2" count="1" selected="0">
            <x v="11"/>
          </reference>
        </references>
      </pivotArea>
    </chartFormat>
    <chartFormat chart="57" format="42">
      <pivotArea type="data" outline="0" fieldPosition="0">
        <references count="2">
          <reference field="4294967294" count="1" selected="0">
            <x v="0"/>
          </reference>
          <reference field="2" count="1" selected="0">
            <x v="15"/>
          </reference>
        </references>
      </pivotArea>
    </chartFormat>
    <chartFormat chart="57" format="43">
      <pivotArea type="data" outline="0" fieldPosition="0">
        <references count="2">
          <reference field="4294967294" count="1" selected="0">
            <x v="0"/>
          </reference>
          <reference field="2" count="1" selected="0">
            <x v="17"/>
          </reference>
        </references>
      </pivotArea>
    </chartFormat>
    <chartFormat chart="57" format="44">
      <pivotArea type="data" outline="0" fieldPosition="0">
        <references count="2">
          <reference field="4294967294" count="1" selected="0">
            <x v="0"/>
          </reference>
          <reference field="2" count="1" selected="0">
            <x v="16"/>
          </reference>
        </references>
      </pivotArea>
    </chartFormat>
    <chartFormat chart="57" format="45">
      <pivotArea type="data" outline="0" fieldPosition="0">
        <references count="2">
          <reference field="4294967294" count="1" selected="0">
            <x v="0"/>
          </reference>
          <reference field="2" count="1" selected="0">
            <x v="10"/>
          </reference>
        </references>
      </pivotArea>
    </chartFormat>
  </chartFormats>
  <pivotTableStyleInfo showRowHeaders="1" showColHeaders="1" showRowStripes="0" showColStripes="0" showLastColumn="1"/>
</pivotTableDefinition>
</file>

<file path=xl/pivotTables/pivotTable31.xml><?xml version="1.0" encoding="utf-8"?>
<pivotTableDefinition xmlns="http://schemas.openxmlformats.org/spreadsheetml/2006/main" name="PivotTable6"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
  <location ref="B153:G157" firstHeaderRow="1" firstDataRow="2" firstDataCol="1"/>
  <pivotFields count="32">
    <pivotField compact="0" outline="0" subtotalTop="0" showAll="0" includeNewItemsInFilter="1">
      <items count="17">
        <item x="9"/>
        <item x="13"/>
        <item x="3"/>
        <item x="4"/>
        <item x="6"/>
        <item x="0"/>
        <item x="1"/>
        <item x="2"/>
        <item x="5"/>
        <item x="7"/>
        <item x="8"/>
        <item m="1" x="15"/>
        <item x="12"/>
        <item x="10"/>
        <item m="1" x="14"/>
        <item x="1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8"/>
  </colFields>
  <colItems count="5">
    <i>
      <x/>
    </i>
    <i>
      <x v="1"/>
    </i>
    <i>
      <x v="2"/>
    </i>
    <i>
      <x v="3"/>
    </i>
    <i t="grand">
      <x/>
    </i>
  </colItems>
  <dataFields count="3">
    <dataField name="Number of sanitation beneficiaries" fld="17" baseField="0" baseItem="3207800"/>
    <dataField name="Number of water access beneficiaries" fld="18" baseField="0" baseItem="3207800"/>
    <dataField name=" Number of beneficiairies for HE" fld="19" baseField="0" baseItem="3207800"/>
  </dataFields>
  <formats count="10">
    <format dxfId="18">
      <pivotArea outline="0" fieldPosition="0"/>
    </format>
    <format dxfId="17">
      <pivotArea field="0" type="button" dataOnly="0" labelOnly="1" outline="0"/>
    </format>
    <format dxfId="16">
      <pivotArea field="-2" type="button" dataOnly="0" labelOnly="1" outline="0" axis="axisRow" fieldPosition="0"/>
    </format>
    <format dxfId="15">
      <pivotArea outline="0" fieldPosition="0"/>
    </format>
    <format dxfId="14">
      <pivotArea outline="0" collapsedLevelsAreSubtotals="1" fieldPosition="0"/>
    </format>
    <format dxfId="13">
      <pivotArea type="all" dataOnly="0" outline="0" fieldPosition="0"/>
    </format>
    <format dxfId="12">
      <pivotArea outline="0" collapsedLevelsAreSubtotals="1" fieldPosition="0"/>
    </format>
    <format dxfId="11">
      <pivotArea dataOnly="0" labelOnly="1" outline="0" fieldPosition="0">
        <references count="1">
          <reference field="4294967294" count="3">
            <x v="0"/>
            <x v="1"/>
            <x v="2"/>
          </reference>
        </references>
      </pivotArea>
    </format>
    <format dxfId="10">
      <pivotArea dataOnly="0" labelOnly="1" outline="0" fieldPosition="0">
        <references count="1">
          <reference field="8" count="0"/>
        </references>
      </pivotArea>
    </format>
    <format dxfId="9">
      <pivotArea dataOnly="0" labelOnly="1" grandCol="1" outline="0" fieldPosition="0"/>
    </format>
  </formats>
  <chartFormats count="5">
    <chartFormat chart="1" format="0" series="1">
      <pivotArea type="data" outline="0" fieldPosition="0">
        <references count="1">
          <reference field="4294967294" count="1" selected="0">
            <x v="0"/>
          </reference>
        </references>
      </pivotArea>
    </chartFormat>
    <chartFormat chart="2" format="1" series="1">
      <pivotArea type="data" outline="0" fieldPosition="0">
        <references count="2">
          <reference field="4294967294" count="1" selected="0">
            <x v="0"/>
          </reference>
          <reference field="8" count="1" selected="0">
            <x v="0"/>
          </reference>
        </references>
      </pivotArea>
    </chartFormat>
    <chartFormat chart="2" format="2" series="1">
      <pivotArea type="data" outline="0" fieldPosition="0">
        <references count="2">
          <reference field="4294967294" count="1" selected="0">
            <x v="0"/>
          </reference>
          <reference field="8" count="1" selected="0">
            <x v="1"/>
          </reference>
        </references>
      </pivotArea>
    </chartFormat>
    <chartFormat chart="2" format="3" series="1">
      <pivotArea type="data" outline="0" fieldPosition="0">
        <references count="2">
          <reference field="4294967294" count="1" selected="0">
            <x v="0"/>
          </reference>
          <reference field="8" count="1" selected="0">
            <x v="2"/>
          </reference>
        </references>
      </pivotArea>
    </chartFormat>
    <chartFormat chart="2" format="4" series="1">
      <pivotArea type="data" outline="0" fieldPosition="0">
        <references count="2">
          <reference field="4294967294" count="1" selected="0">
            <x v="0"/>
          </reference>
          <reference field="8" count="1" selected="0">
            <x v="3"/>
          </reference>
        </references>
      </pivotArea>
    </chartFormat>
  </chartFormats>
  <pivotTableStyleInfo showRowHeaders="1" showColHeaders="1" showRowStripes="0" showColStripes="0" showLastColumn="1"/>
</pivotTableDefinition>
</file>

<file path=xl/pivotTables/pivotTable32.xml><?xml version="1.0" encoding="utf-8"?>
<pivotTableDefinition xmlns="http://schemas.openxmlformats.org/spreadsheetml/2006/main" name="PivotTable4"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6">
  <location ref="B56:C62" firstHeaderRow="2" firstDataRow="2" firstDataCol="1" rowPageCount="1" colPageCount="1"/>
  <pivotFields count="32">
    <pivotField compact="0" outline="0" subtotalTop="0" showAll="0" includeNewItemsInFilter="1"/>
    <pivotField compact="0" outline="0" subtotalTop="0" showAll="0" includeNewItemsInFilter="1"/>
    <pivotField axis="axisPage" compact="0" outline="0" subtotalTop="0" multipleItemSelectionAllowed="1" showAll="0" includeNewItemsInFilter="1">
      <items count="21">
        <item x="1"/>
        <item x="2"/>
        <item m="1" x="18"/>
        <item x="10"/>
        <item h="1" x="0"/>
        <item x="16"/>
        <item x="3"/>
        <item h="1" x="4"/>
        <item x="6"/>
        <item x="12"/>
        <item x="14"/>
        <item x="15"/>
        <item x="7"/>
        <item x="17"/>
        <item x="9"/>
        <item x="11"/>
        <item x="5"/>
        <item m="1" x="19"/>
        <item x="8"/>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8"/>
  </rowFields>
  <rowItems count="5">
    <i>
      <x/>
    </i>
    <i>
      <x v="1"/>
    </i>
    <i>
      <x v="2"/>
    </i>
    <i>
      <x v="3"/>
    </i>
    <i t="grand">
      <x/>
    </i>
  </rowItems>
  <colItems count="1">
    <i/>
  </colItems>
  <pageFields count="1">
    <pageField fld="2" hier="-1"/>
  </pageFields>
  <dataFields count="1">
    <dataField name="Sum of Total budget of the project US$. For only WASH related cost (including related support costs)" fld="23" baseField="0" baseItem="0" numFmtId="3"/>
  </dataFields>
  <formats count="12">
    <format dxfId="30">
      <pivotArea outline="0" fieldPosition="0">
        <references count="1">
          <reference field="4294967294" count="1">
            <x v="0"/>
          </reference>
        </references>
      </pivotArea>
    </format>
    <format dxfId="29">
      <pivotArea outline="0" fieldPosition="0"/>
    </format>
    <format dxfId="28">
      <pivotArea type="origin" dataOnly="0" labelOnly="1" outline="0" fieldPosition="0"/>
    </format>
    <format dxfId="27">
      <pivotArea field="2" type="button" dataOnly="0" labelOnly="1" outline="0" axis="axisPage" fieldPosition="0"/>
    </format>
    <format dxfId="26">
      <pivotArea dataOnly="0" labelOnly="1" grandRow="1" outline="0" fieldPosition="0"/>
    </format>
    <format dxfId="25">
      <pivotArea outline="0" fieldPosition="0"/>
    </format>
    <format dxfId="24">
      <pivotArea type="topRight" dataOnly="0" labelOnly="1" outline="0" fieldPosition="0"/>
    </format>
    <format dxfId="23">
      <pivotArea type="all" dataOnly="0" outline="0" fieldPosition="0"/>
    </format>
    <format dxfId="22">
      <pivotArea outline="0" collapsedLevelsAreSubtotals="1" fieldPosition="0"/>
    </format>
    <format dxfId="21">
      <pivotArea type="topRight" dataOnly="0" labelOnly="1" outline="0" fieldPosition="0"/>
    </format>
    <format dxfId="20">
      <pivotArea dataOnly="0" labelOnly="1" outline="0" fieldPosition="0">
        <references count="1">
          <reference field="8" count="0"/>
        </references>
      </pivotArea>
    </format>
    <format dxfId="19">
      <pivotArea dataOnly="0" labelOnly="1" grandRow="1" outline="0" fieldPosition="0"/>
    </format>
  </formats>
  <chartFormats count="6">
    <chartFormat chart="0" format="0"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13" series="1">
      <pivotArea type="data" outline="0" fieldPosition="0">
        <references count="1">
          <reference field="4294967294" count="1" selected="0">
            <x v="0"/>
          </reference>
        </references>
      </pivotArea>
    </chartFormat>
    <chartFormat chart="4" format="12"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33.xml><?xml version="1.0" encoding="utf-8"?>
<pivotTableDefinition xmlns="http://schemas.openxmlformats.org/spreadsheetml/2006/main" name="PivotTable7"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
  <location ref="B169:G173" firstHeaderRow="1" firstDataRow="2" firstDataCol="1" rowPageCount="1" colPageCount="1"/>
  <pivotFields count="32">
    <pivotField axis="axisPage" compact="0" outline="0" subtotalTop="0" showAll="0" includeNewItemsInFilter="1">
      <items count="17">
        <item x="9"/>
        <item x="13"/>
        <item x="3"/>
        <item x="4"/>
        <item x="6"/>
        <item x="0"/>
        <item x="1"/>
        <item x="2"/>
        <item x="5"/>
        <item x="7"/>
        <item x="8"/>
        <item m="1" x="15"/>
        <item x="12"/>
        <item x="10"/>
        <item m="1" x="14"/>
        <item x="1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8"/>
  </colFields>
  <colItems count="5">
    <i>
      <x/>
    </i>
    <i>
      <x v="1"/>
    </i>
    <i>
      <x v="2"/>
    </i>
    <i>
      <x v="3"/>
    </i>
    <i t="grand">
      <x/>
    </i>
  </colItems>
  <pageFields count="1">
    <pageField fld="0" hier="0"/>
  </pageFields>
  <dataFields count="3">
    <dataField name=" Nb of sanitation beneficiaries" fld="20" baseField="0" baseItem="3207800"/>
    <dataField name="Nb of water access beneficiaries" fld="21" baseField="0" baseItem="3207800"/>
    <dataField name="Nb of beneficiairies for HE in host" fld="22" baseField="0" baseItem="3207800"/>
  </dataFields>
  <formats count="11">
    <format dxfId="41">
      <pivotArea outline="0" fieldPosition="0"/>
    </format>
    <format dxfId="40">
      <pivotArea field="0" type="button" dataOnly="0" labelOnly="1" outline="0" axis="axisPage" fieldPosition="0"/>
    </format>
    <format dxfId="39">
      <pivotArea field="-2" type="button" dataOnly="0" labelOnly="1" outline="0" axis="axisRow" fieldPosition="0"/>
    </format>
    <format dxfId="38">
      <pivotArea outline="0" fieldPosition="0"/>
    </format>
    <format dxfId="37">
      <pivotArea dataOnly="0" labelOnly="1" outline="0" fieldPosition="0">
        <references count="1">
          <reference field="0" count="0"/>
        </references>
      </pivotArea>
    </format>
    <format dxfId="36">
      <pivotArea outline="0" collapsedLevelsAreSubtotals="1" fieldPosition="0"/>
    </format>
    <format dxfId="35">
      <pivotArea type="all" dataOnly="0" outline="0" fieldPosition="0"/>
    </format>
    <format dxfId="34">
      <pivotArea outline="0" collapsedLevelsAreSubtotals="1" fieldPosition="0"/>
    </format>
    <format dxfId="33">
      <pivotArea dataOnly="0" labelOnly="1" outline="0" fieldPosition="0">
        <references count="1">
          <reference field="4294967294" count="3">
            <x v="0"/>
            <x v="1"/>
            <x v="2"/>
          </reference>
        </references>
      </pivotArea>
    </format>
    <format dxfId="32">
      <pivotArea dataOnly="0" labelOnly="1" outline="0" fieldPosition="0">
        <references count="1">
          <reference field="8" count="0"/>
        </references>
      </pivotArea>
    </format>
    <format dxfId="31">
      <pivotArea dataOnly="0" labelOnly="1" grandCol="1" outline="0" fieldPosition="0"/>
    </format>
  </formats>
  <chartFormats count="5">
    <chartFormat chart="2" format="0" series="1">
      <pivotArea type="data" outline="0" fieldPosition="0">
        <references count="1">
          <reference field="4294967294" count="1" selected="0">
            <x v="0"/>
          </reference>
        </references>
      </pivotArea>
    </chartFormat>
    <chartFormat chart="3" format="1" series="1">
      <pivotArea type="data" outline="0" fieldPosition="0">
        <references count="2">
          <reference field="4294967294" count="1" selected="0">
            <x v="0"/>
          </reference>
          <reference field="8" count="1" selected="0">
            <x v="0"/>
          </reference>
        </references>
      </pivotArea>
    </chartFormat>
    <chartFormat chart="3" format="2" series="1">
      <pivotArea type="data" outline="0" fieldPosition="0">
        <references count="2">
          <reference field="4294967294" count="1" selected="0">
            <x v="0"/>
          </reference>
          <reference field="8" count="1" selected="0">
            <x v="1"/>
          </reference>
        </references>
      </pivotArea>
    </chartFormat>
    <chartFormat chart="3" format="3" series="1">
      <pivotArea type="data" outline="0" fieldPosition="0">
        <references count="2">
          <reference field="4294967294" count="1" selected="0">
            <x v="0"/>
          </reference>
          <reference field="8" count="1" selected="0">
            <x v="2"/>
          </reference>
        </references>
      </pivotArea>
    </chartFormat>
    <chartFormat chart="3" format="4" series="1">
      <pivotArea type="data" outline="0" fieldPosition="0">
        <references count="2">
          <reference field="4294967294" count="1" selected="0">
            <x v="0"/>
          </reference>
          <reference field="8" count="1" selected="0">
            <x v="3"/>
          </reference>
        </references>
      </pivotArea>
    </chartFormat>
  </chartFormats>
  <pivotTableStyleInfo showRowHeaders="1" showColHeaders="1" showRowStripes="0" showColStripes="0" showLastColumn="1"/>
</pivotTableDefinition>
</file>

<file path=xl/pivotTables/pivotTable34.xml><?xml version="1.0" encoding="utf-8"?>
<pivotTableDefinition xmlns="http://schemas.openxmlformats.org/spreadsheetml/2006/main" name="PivotTable2"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0">
  <location ref="B8:C26" firstHeaderRow="2" firstDataRow="2" firstDataCol="1" rowPageCount="1" colPageCount="1"/>
  <pivotFields count="32">
    <pivotField compact="0" outline="0" subtotalTop="0" showAll="0" includeNewItemsInFilter="1"/>
    <pivotField compact="0" outline="0" subtotalTop="0" showAll="0" includeNewItemsInFilter="1"/>
    <pivotField axis="axisRow" compact="0" outline="0" subtotalTop="0" showAll="0" includeNewItemsInFilter="1">
      <items count="21">
        <item x="1"/>
        <item x="2"/>
        <item m="1" x="18"/>
        <item x="10"/>
        <item h="1" x="0"/>
        <item x="16"/>
        <item x="3"/>
        <item h="1" x="4"/>
        <item x="6"/>
        <item x="12"/>
        <item x="14"/>
        <item x="15"/>
        <item x="7"/>
        <item x="17"/>
        <item x="9"/>
        <item x="11"/>
        <item x="5"/>
        <item m="1" x="19"/>
        <item x="8"/>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17">
    <i>
      <x/>
    </i>
    <i>
      <x v="1"/>
    </i>
    <i>
      <x v="3"/>
    </i>
    <i>
      <x v="5"/>
    </i>
    <i>
      <x v="6"/>
    </i>
    <i>
      <x v="8"/>
    </i>
    <i>
      <x v="9"/>
    </i>
    <i>
      <x v="10"/>
    </i>
    <i>
      <x v="11"/>
    </i>
    <i>
      <x v="12"/>
    </i>
    <i>
      <x v="13"/>
    </i>
    <i>
      <x v="14"/>
    </i>
    <i>
      <x v="15"/>
    </i>
    <i>
      <x v="16"/>
    </i>
    <i>
      <x v="18"/>
    </i>
    <i>
      <x v="19"/>
    </i>
    <i t="grand">
      <x/>
    </i>
  </rowItems>
  <colItems count="1">
    <i/>
  </colItems>
  <pageFields count="1">
    <pageField fld="8" hier="-1"/>
  </pageFields>
  <dataFields count="1">
    <dataField name="Sum of Total budget of the project US$. For only WASH related cost (including related support costs)" fld="23" baseField="2" baseItem="5" numFmtId="3"/>
  </dataFields>
  <formats count="12">
    <format dxfId="53">
      <pivotArea outline="0" fieldPosition="0">
        <references count="1">
          <reference field="4294967294" count="1">
            <x v="0"/>
          </reference>
        </references>
      </pivotArea>
    </format>
    <format dxfId="52">
      <pivotArea outline="0" fieldPosition="0"/>
    </format>
    <format dxfId="51">
      <pivotArea type="origin" dataOnly="0" labelOnly="1" outline="0" fieldPosition="0"/>
    </format>
    <format dxfId="50">
      <pivotArea field="2" type="button" dataOnly="0" labelOnly="1" outline="0" axis="axisRow" fieldPosition="0"/>
    </format>
    <format dxfId="49">
      <pivotArea dataOnly="0" labelOnly="1" grandRow="1" outline="0" fieldPosition="0"/>
    </format>
    <format dxfId="48">
      <pivotArea outline="0" fieldPosition="0"/>
    </format>
    <format dxfId="47">
      <pivotArea type="topRight" dataOnly="0" labelOnly="1" outline="0" fieldPosition="0"/>
    </format>
    <format dxfId="46">
      <pivotArea type="all" dataOnly="0" outline="0" fieldPosition="0"/>
    </format>
    <format dxfId="45">
      <pivotArea outline="0" collapsedLevelsAreSubtotals="1" fieldPosition="0"/>
    </format>
    <format dxfId="44">
      <pivotArea type="topRight" dataOnly="0" labelOnly="1" outline="0" fieldPosition="0"/>
    </format>
    <format dxfId="43">
      <pivotArea dataOnly="0" labelOnly="1" outline="0" fieldPosition="0">
        <references count="1">
          <reference field="2" count="0"/>
        </references>
      </pivotArea>
    </format>
    <format dxfId="42">
      <pivotArea dataOnly="0" labelOnly="1" grandRow="1" outline="0" fieldPosition="0"/>
    </format>
  </formats>
  <chartFormats count="23">
    <chartFormat chart="0" format="0"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13" series="1">
      <pivotArea type="data" outline="0" fieldPosition="0">
        <references count="1">
          <reference field="4294967294" count="1" selected="0">
            <x v="0"/>
          </reference>
        </references>
      </pivotArea>
    </chartFormat>
    <chartFormat chart="4" format="12" series="1">
      <pivotArea type="data" outline="0" fieldPosition="0">
        <references count="1">
          <reference field="4294967294" count="1" selected="0">
            <x v="0"/>
          </reference>
        </references>
      </pivotArea>
    </chartFormat>
    <chartFormat chart="0" format="12">
      <pivotArea type="data" outline="0" fieldPosition="0">
        <references count="2">
          <reference field="4294967294" count="1" selected="0">
            <x v="0"/>
          </reference>
          <reference field="2" count="1" selected="0">
            <x v="1"/>
          </reference>
        </references>
      </pivotArea>
    </chartFormat>
    <chartFormat chart="0" format="13">
      <pivotArea type="data" outline="0" fieldPosition="0">
        <references count="2">
          <reference field="4294967294" count="1" selected="0">
            <x v="0"/>
          </reference>
          <reference field="2" count="1" selected="0">
            <x v="12"/>
          </reference>
        </references>
      </pivotArea>
    </chartFormat>
    <chartFormat chart="8" format="14" series="1">
      <pivotArea type="data" outline="0" fieldPosition="0">
        <references count="1">
          <reference field="4294967294" count="1" selected="0">
            <x v="0"/>
          </reference>
        </references>
      </pivotArea>
    </chartFormat>
    <chartFormat chart="8" format="15">
      <pivotArea type="data" outline="0" fieldPosition="0">
        <references count="2">
          <reference field="4294967294" count="1" selected="0">
            <x v="0"/>
          </reference>
          <reference field="2" count="1" selected="0">
            <x v="1"/>
          </reference>
        </references>
      </pivotArea>
    </chartFormat>
    <chartFormat chart="8" format="16">
      <pivotArea type="data" outline="0" fieldPosition="0">
        <references count="2">
          <reference field="4294967294" count="1" selected="0">
            <x v="0"/>
          </reference>
          <reference field="2" count="1" selected="0">
            <x v="12"/>
          </reference>
        </references>
      </pivotArea>
    </chartFormat>
    <chartFormat chart="8" format="17">
      <pivotArea type="data" outline="0" fieldPosition="0">
        <references count="2">
          <reference field="4294967294" count="1" selected="0">
            <x v="0"/>
          </reference>
          <reference field="2" count="1" selected="0">
            <x v="16"/>
          </reference>
        </references>
      </pivotArea>
    </chartFormat>
    <chartFormat chart="8" format="18">
      <pivotArea type="data" outline="0" fieldPosition="0">
        <references count="2">
          <reference field="4294967294" count="1" selected="0">
            <x v="0"/>
          </reference>
          <reference field="2" count="1" selected="0">
            <x v="2"/>
          </reference>
        </references>
      </pivotArea>
    </chartFormat>
    <chartFormat chart="8" format="19">
      <pivotArea type="data" outline="0" fieldPosition="0">
        <references count="2">
          <reference field="4294967294" count="1" selected="0">
            <x v="0"/>
          </reference>
          <reference field="2" count="1" selected="0">
            <x v="6"/>
          </reference>
        </references>
      </pivotArea>
    </chartFormat>
    <chartFormat chart="8" format="20">
      <pivotArea type="data" outline="0" fieldPosition="0">
        <references count="2">
          <reference field="4294967294" count="1" selected="0">
            <x v="0"/>
          </reference>
          <reference field="2" count="1" selected="0">
            <x v="8"/>
          </reference>
        </references>
      </pivotArea>
    </chartFormat>
    <chartFormat chart="8" format="21">
      <pivotArea type="data" outline="0" fieldPosition="0">
        <references count="2">
          <reference field="4294967294" count="1" selected="0">
            <x v="0"/>
          </reference>
          <reference field="2" count="1" selected="0">
            <x v="17"/>
          </reference>
        </references>
      </pivotArea>
    </chartFormat>
    <chartFormat chart="8" format="22">
      <pivotArea type="data" outline="0" fieldPosition="0">
        <references count="2">
          <reference field="4294967294" count="1" selected="0">
            <x v="0"/>
          </reference>
          <reference field="2" count="1" selected="0">
            <x v="13"/>
          </reference>
        </references>
      </pivotArea>
    </chartFormat>
    <chartFormat chart="8" format="23">
      <pivotArea type="data" outline="0" fieldPosition="0">
        <references count="2">
          <reference field="4294967294" count="1" selected="0">
            <x v="0"/>
          </reference>
          <reference field="2" count="1" selected="0">
            <x v="9"/>
          </reference>
        </references>
      </pivotArea>
    </chartFormat>
    <chartFormat chart="8" format="24">
      <pivotArea type="data" outline="0" fieldPosition="0">
        <references count="2">
          <reference field="4294967294" count="1" selected="0">
            <x v="0"/>
          </reference>
          <reference field="2" count="1" selected="0">
            <x v="11"/>
          </reference>
        </references>
      </pivotArea>
    </chartFormat>
    <chartFormat chart="8" format="25">
      <pivotArea type="data" outline="0" fieldPosition="0">
        <references count="2">
          <reference field="4294967294" count="1" selected="0">
            <x v="0"/>
          </reference>
          <reference field="2" count="1" selected="0">
            <x v="15"/>
          </reference>
        </references>
      </pivotArea>
    </chartFormat>
    <chartFormat chart="8" format="26">
      <pivotArea type="data" outline="0" fieldPosition="0">
        <references count="2">
          <reference field="4294967294" count="1" selected="0">
            <x v="0"/>
          </reference>
          <reference field="2" count="1" selected="0">
            <x v="3"/>
          </reference>
        </references>
      </pivotArea>
    </chartFormat>
    <chartFormat chart="8" format="27">
      <pivotArea type="data" outline="0" fieldPosition="0">
        <references count="2">
          <reference field="4294967294" count="1" selected="0">
            <x v="0"/>
          </reference>
          <reference field="2" count="1" selected="0">
            <x v="5"/>
          </reference>
        </references>
      </pivotArea>
    </chartFormat>
    <chartFormat chart="8" format="28">
      <pivotArea type="data" outline="0" fieldPosition="0">
        <references count="2">
          <reference field="4294967294" count="1" selected="0">
            <x v="0"/>
          </reference>
          <reference field="2" count="1" selected="0">
            <x v="14"/>
          </reference>
        </references>
      </pivotArea>
    </chartFormat>
    <chartFormat chart="8" format="29">
      <pivotArea type="data" outline="0" fieldPosition="0">
        <references count="2">
          <reference field="4294967294" count="1" selected="0">
            <x v="0"/>
          </reference>
          <reference field="2" count="1" selected="0">
            <x v="0"/>
          </reference>
        </references>
      </pivotArea>
    </chartFormat>
    <chartFormat chart="8" format="30">
      <pivotArea type="data" outline="0" fieldPosition="0">
        <references count="2">
          <reference field="4294967294" count="1" selected="0">
            <x v="0"/>
          </reference>
          <reference field="2" count="1" selected="0">
            <x v="10"/>
          </reference>
        </references>
      </pivotArea>
    </chartFormat>
  </chartFormats>
  <pivotTableStyleInfo showRowHeaders="1" showColHeaders="1" showRowStripes="0" showColStripes="0" showLastColumn="1"/>
</pivotTableDefinition>
</file>

<file path=xl/pivotTables/pivotTable35.xml><?xml version="1.0" encoding="utf-8"?>
<pivotTableDefinition xmlns="http://schemas.openxmlformats.org/spreadsheetml/2006/main" name="PivotTable5"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7">
  <location ref="B69:S73" firstHeaderRow="1" firstDataRow="2" firstDataCol="1"/>
  <pivotFields count="32">
    <pivotField compact="0" outline="0" subtotalTop="0" showAll="0" includeNewItemsInFilter="1"/>
    <pivotField compact="0" outline="0" subtotalTop="0" showAll="0" includeNewItemsInFilter="1"/>
    <pivotField axis="axisCol" compact="0" outline="0" subtotalTop="0" multipleItemSelectionAllowed="1" showAll="0" includeNewItemsInFilter="1">
      <items count="21">
        <item x="1"/>
        <item x="2"/>
        <item m="1" x="18"/>
        <item x="10"/>
        <item h="1" x="0"/>
        <item x="16"/>
        <item x="3"/>
        <item h="1" x="4"/>
        <item x="6"/>
        <item x="12"/>
        <item x="14"/>
        <item x="15"/>
        <item x="7"/>
        <item x="17"/>
        <item x="9"/>
        <item x="11"/>
        <item x="5"/>
        <item m="1" x="19"/>
        <item x="8"/>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dataField="1" compact="0" numFmtId="3" outline="0" showAll="0" defaultSubtotal="0"/>
    <pivotField dataField="1" compact="0" numFmtId="3" outline="0" showAll="0" defaultSubtotal="0"/>
    <pivotField dataField="1"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2"/>
  </colFields>
  <colItems count="17">
    <i>
      <x/>
    </i>
    <i>
      <x v="1"/>
    </i>
    <i>
      <x v="3"/>
    </i>
    <i>
      <x v="5"/>
    </i>
    <i>
      <x v="6"/>
    </i>
    <i>
      <x v="8"/>
    </i>
    <i>
      <x v="9"/>
    </i>
    <i>
      <x v="10"/>
    </i>
    <i>
      <x v="11"/>
    </i>
    <i>
      <x v="12"/>
    </i>
    <i>
      <x v="13"/>
    </i>
    <i>
      <x v="14"/>
    </i>
    <i>
      <x v="15"/>
    </i>
    <i>
      <x v="16"/>
    </i>
    <i>
      <x v="18"/>
    </i>
    <i>
      <x v="19"/>
    </i>
    <i t="grand">
      <x/>
    </i>
  </colItems>
  <dataFields count="3">
    <dataField name="Before 2014" fld="24" baseField="0" baseItem="0"/>
    <dataField name="2014" fld="25" baseField="0" baseItem="0"/>
    <dataField name="2015" fld="26" baseField="0" baseItem="0"/>
  </dataFields>
  <formats count="10">
    <format dxfId="63">
      <pivotArea outline="0" fieldPosition="0"/>
    </format>
    <format dxfId="62">
      <pivotArea type="origin" dataOnly="0" labelOnly="1" outline="0" fieldPosition="0"/>
    </format>
    <format dxfId="61">
      <pivotArea field="2" type="button" dataOnly="0" labelOnly="1" outline="0" axis="axisCol" fieldPosition="0"/>
    </format>
    <format dxfId="60">
      <pivotArea dataOnly="0" labelOnly="1" grandRow="1" outline="0" fieldPosition="0"/>
    </format>
    <format dxfId="59">
      <pivotArea outline="0" fieldPosition="0"/>
    </format>
    <format dxfId="58">
      <pivotArea type="topRight" dataOnly="0" labelOnly="1" outline="0" fieldPosition="0"/>
    </format>
    <format dxfId="57">
      <pivotArea type="all" dataOnly="0" outline="0" fieldPosition="0"/>
    </format>
    <format dxfId="56">
      <pivotArea outline="0" collapsedLevelsAreSubtotals="1" fieldPosition="0"/>
    </format>
    <format dxfId="55">
      <pivotArea field="-2" type="button" dataOnly="0" labelOnly="1" outline="0" axis="axisRow" fieldPosition="0"/>
    </format>
    <format dxfId="54">
      <pivotArea dataOnly="0" labelOnly="1" outline="0" fieldPosition="0">
        <references count="1">
          <reference field="4294967294" count="2">
            <x v="0"/>
            <x v="1"/>
          </reference>
        </references>
      </pivotArea>
    </format>
  </formats>
  <chartFormats count="35">
    <chartFormat chart="7"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0"/>
          </reference>
        </references>
      </pivotArea>
    </chartFormat>
    <chartFormat chart="15" format="2" series="1">
      <pivotArea type="data" outline="0" fieldPosition="0">
        <references count="2">
          <reference field="4294967294" count="1" selected="0">
            <x v="0"/>
          </reference>
          <reference field="2" count="1" selected="0">
            <x v="0"/>
          </reference>
        </references>
      </pivotArea>
    </chartFormat>
    <chartFormat chart="15" format="3" series="1">
      <pivotArea type="data" outline="0" fieldPosition="0">
        <references count="2">
          <reference field="4294967294" count="1" selected="0">
            <x v="0"/>
          </reference>
          <reference field="2" count="1" selected="0">
            <x v="1"/>
          </reference>
        </references>
      </pivotArea>
    </chartFormat>
    <chartFormat chart="15" format="4" series="1">
      <pivotArea type="data" outline="0" fieldPosition="0">
        <references count="2">
          <reference field="4294967294" count="1" selected="0">
            <x v="0"/>
          </reference>
          <reference field="2" count="1" selected="0">
            <x v="2"/>
          </reference>
        </references>
      </pivotArea>
    </chartFormat>
    <chartFormat chart="15" format="5" series="1">
      <pivotArea type="data" outline="0" fieldPosition="0">
        <references count="2">
          <reference field="4294967294" count="1" selected="0">
            <x v="0"/>
          </reference>
          <reference field="2" count="1" selected="0">
            <x v="3"/>
          </reference>
        </references>
      </pivotArea>
    </chartFormat>
    <chartFormat chart="15" format="6" series="1">
      <pivotArea type="data" outline="0" fieldPosition="0">
        <references count="2">
          <reference field="4294967294" count="1" selected="0">
            <x v="0"/>
          </reference>
          <reference field="2" count="1" selected="0">
            <x v="5"/>
          </reference>
        </references>
      </pivotArea>
    </chartFormat>
    <chartFormat chart="15" format="7" series="1">
      <pivotArea type="data" outline="0" fieldPosition="0">
        <references count="2">
          <reference field="4294967294" count="1" selected="0">
            <x v="0"/>
          </reference>
          <reference field="2" count="1" selected="0">
            <x v="6"/>
          </reference>
        </references>
      </pivotArea>
    </chartFormat>
    <chartFormat chart="15" format="8" series="1">
      <pivotArea type="data" outline="0" fieldPosition="0">
        <references count="2">
          <reference field="4294967294" count="1" selected="0">
            <x v="0"/>
          </reference>
          <reference field="2" count="1" selected="0">
            <x v="8"/>
          </reference>
        </references>
      </pivotArea>
    </chartFormat>
    <chartFormat chart="15" format="9" series="1">
      <pivotArea type="data" outline="0" fieldPosition="0">
        <references count="2">
          <reference field="4294967294" count="1" selected="0">
            <x v="0"/>
          </reference>
          <reference field="2" count="1" selected="0">
            <x v="9"/>
          </reference>
        </references>
      </pivotArea>
    </chartFormat>
    <chartFormat chart="15" format="10" series="1">
      <pivotArea type="data" outline="0" fieldPosition="0">
        <references count="2">
          <reference field="4294967294" count="1" selected="0">
            <x v="0"/>
          </reference>
          <reference field="2" count="1" selected="0">
            <x v="10"/>
          </reference>
        </references>
      </pivotArea>
    </chartFormat>
    <chartFormat chart="15" format="11" series="1">
      <pivotArea type="data" outline="0" fieldPosition="0">
        <references count="2">
          <reference field="4294967294" count="1" selected="0">
            <x v="0"/>
          </reference>
          <reference field="2" count="1" selected="0">
            <x v="11"/>
          </reference>
        </references>
      </pivotArea>
    </chartFormat>
    <chartFormat chart="15" format="12" series="1">
      <pivotArea type="data" outline="0" fieldPosition="0">
        <references count="2">
          <reference field="4294967294" count="1" selected="0">
            <x v="0"/>
          </reference>
          <reference field="2" count="1" selected="0">
            <x v="12"/>
          </reference>
        </references>
      </pivotArea>
    </chartFormat>
    <chartFormat chart="15" format="13" series="1">
      <pivotArea type="data" outline="0" fieldPosition="0">
        <references count="2">
          <reference field="4294967294" count="1" selected="0">
            <x v="0"/>
          </reference>
          <reference field="2" count="1" selected="0">
            <x v="13"/>
          </reference>
        </references>
      </pivotArea>
    </chartFormat>
    <chartFormat chart="15" format="14" series="1">
      <pivotArea type="data" outline="0" fieldPosition="0">
        <references count="2">
          <reference field="4294967294" count="1" selected="0">
            <x v="0"/>
          </reference>
          <reference field="2" count="1" selected="0">
            <x v="14"/>
          </reference>
        </references>
      </pivotArea>
    </chartFormat>
    <chartFormat chart="15" format="15" series="1">
      <pivotArea type="data" outline="0" fieldPosition="0">
        <references count="2">
          <reference field="4294967294" count="1" selected="0">
            <x v="0"/>
          </reference>
          <reference field="2" count="1" selected="0">
            <x v="15"/>
          </reference>
        </references>
      </pivotArea>
    </chartFormat>
    <chartFormat chart="15" format="16" series="1">
      <pivotArea type="data" outline="0" fieldPosition="0">
        <references count="2">
          <reference field="4294967294" count="1" selected="0">
            <x v="0"/>
          </reference>
          <reference field="2" count="1" selected="0">
            <x v="16"/>
          </reference>
        </references>
      </pivotArea>
    </chartFormat>
    <chartFormat chart="15" format="17" series="1">
      <pivotArea type="data" outline="0" fieldPosition="0">
        <references count="2">
          <reference field="4294967294" count="1" selected="0">
            <x v="0"/>
          </reference>
          <reference field="2" count="1" selected="0">
            <x v="18"/>
          </reference>
        </references>
      </pivotArea>
    </chartFormat>
    <chartFormat chart="16" format="18" series="1">
      <pivotArea type="data" outline="0" fieldPosition="0">
        <references count="2">
          <reference field="4294967294" count="1" selected="0">
            <x v="0"/>
          </reference>
          <reference field="2" count="1" selected="0">
            <x v="0"/>
          </reference>
        </references>
      </pivotArea>
    </chartFormat>
    <chartFormat chart="16" format="19" series="1">
      <pivotArea type="data" outline="0" fieldPosition="0">
        <references count="2">
          <reference field="4294967294" count="1" selected="0">
            <x v="0"/>
          </reference>
          <reference field="2" count="1" selected="0">
            <x v="1"/>
          </reference>
        </references>
      </pivotArea>
    </chartFormat>
    <chartFormat chart="16" format="20" series="1">
      <pivotArea type="data" outline="0" fieldPosition="0">
        <references count="2">
          <reference field="4294967294" count="1" selected="0">
            <x v="0"/>
          </reference>
          <reference field="2" count="1" selected="0">
            <x v="2"/>
          </reference>
        </references>
      </pivotArea>
    </chartFormat>
    <chartFormat chart="16" format="21" series="1">
      <pivotArea type="data" outline="0" fieldPosition="0">
        <references count="2">
          <reference field="4294967294" count="1" selected="0">
            <x v="0"/>
          </reference>
          <reference field="2" count="1" selected="0">
            <x v="3"/>
          </reference>
        </references>
      </pivotArea>
    </chartFormat>
    <chartFormat chart="16" format="22" series="1">
      <pivotArea type="data" outline="0" fieldPosition="0">
        <references count="2">
          <reference field="4294967294" count="1" selected="0">
            <x v="0"/>
          </reference>
          <reference field="2" count="1" selected="0">
            <x v="5"/>
          </reference>
        </references>
      </pivotArea>
    </chartFormat>
    <chartFormat chart="16" format="23" series="1">
      <pivotArea type="data" outline="0" fieldPosition="0">
        <references count="2">
          <reference field="4294967294" count="1" selected="0">
            <x v="0"/>
          </reference>
          <reference field="2" count="1" selected="0">
            <x v="6"/>
          </reference>
        </references>
      </pivotArea>
    </chartFormat>
    <chartFormat chart="16" format="24" series="1">
      <pivotArea type="data" outline="0" fieldPosition="0">
        <references count="2">
          <reference field="4294967294" count="1" selected="0">
            <x v="0"/>
          </reference>
          <reference field="2" count="1" selected="0">
            <x v="8"/>
          </reference>
        </references>
      </pivotArea>
    </chartFormat>
    <chartFormat chart="16" format="25" series="1">
      <pivotArea type="data" outline="0" fieldPosition="0">
        <references count="2">
          <reference field="4294967294" count="1" selected="0">
            <x v="0"/>
          </reference>
          <reference field="2" count="1" selected="0">
            <x v="9"/>
          </reference>
        </references>
      </pivotArea>
    </chartFormat>
    <chartFormat chart="16" format="26" series="1">
      <pivotArea type="data" outline="0" fieldPosition="0">
        <references count="2">
          <reference field="4294967294" count="1" selected="0">
            <x v="0"/>
          </reference>
          <reference field="2" count="1" selected="0">
            <x v="10"/>
          </reference>
        </references>
      </pivotArea>
    </chartFormat>
    <chartFormat chart="16" format="27" series="1">
      <pivotArea type="data" outline="0" fieldPosition="0">
        <references count="2">
          <reference field="4294967294" count="1" selected="0">
            <x v="0"/>
          </reference>
          <reference field="2" count="1" selected="0">
            <x v="11"/>
          </reference>
        </references>
      </pivotArea>
    </chartFormat>
    <chartFormat chart="16" format="28" series="1">
      <pivotArea type="data" outline="0" fieldPosition="0">
        <references count="2">
          <reference field="4294967294" count="1" selected="0">
            <x v="0"/>
          </reference>
          <reference field="2" count="1" selected="0">
            <x v="12"/>
          </reference>
        </references>
      </pivotArea>
    </chartFormat>
    <chartFormat chart="16" format="29" series="1">
      <pivotArea type="data" outline="0" fieldPosition="0">
        <references count="2">
          <reference field="4294967294" count="1" selected="0">
            <x v="0"/>
          </reference>
          <reference field="2" count="1" selected="0">
            <x v="13"/>
          </reference>
        </references>
      </pivotArea>
    </chartFormat>
    <chartFormat chart="16" format="30" series="1">
      <pivotArea type="data" outline="0" fieldPosition="0">
        <references count="2">
          <reference field="4294967294" count="1" selected="0">
            <x v="0"/>
          </reference>
          <reference field="2" count="1" selected="0">
            <x v="14"/>
          </reference>
        </references>
      </pivotArea>
    </chartFormat>
    <chartFormat chart="16" format="31" series="1">
      <pivotArea type="data" outline="0" fieldPosition="0">
        <references count="2">
          <reference field="4294967294" count="1" selected="0">
            <x v="0"/>
          </reference>
          <reference field="2" count="1" selected="0">
            <x v="15"/>
          </reference>
        </references>
      </pivotArea>
    </chartFormat>
    <chartFormat chart="16" format="32" series="1">
      <pivotArea type="data" outline="0" fieldPosition="0">
        <references count="2">
          <reference field="4294967294" count="1" selected="0">
            <x v="0"/>
          </reference>
          <reference field="2" count="1" selected="0">
            <x v="16"/>
          </reference>
        </references>
      </pivotArea>
    </chartFormat>
    <chartFormat chart="16" format="33" series="1">
      <pivotArea type="data" outline="0" fieldPosition="0">
        <references count="2">
          <reference field="4294967294" count="1" selected="0">
            <x v="0"/>
          </reference>
          <reference field="2" count="1" selected="0">
            <x v="18"/>
          </reference>
        </references>
      </pivotArea>
    </chartFormat>
    <chartFormat chart="16" format="34" series="1">
      <pivotArea type="data" outline="0" fieldPosition="0">
        <references count="2">
          <reference field="4294967294" count="1" selected="0">
            <x v="0"/>
          </reference>
          <reference field="2" count="1" selected="0">
            <x v="19"/>
          </reference>
        </references>
      </pivotArea>
    </chartFormat>
  </chartFormats>
  <pivotTableStyleInfo showRowHeaders="1" showColHeaders="1" showRowStripes="0" showColStripes="0" showLastColumn="1"/>
</pivotTableDefinition>
</file>

<file path=xl/pivotTables/pivotTable36.xml><?xml version="1.0" encoding="utf-8"?>
<pivotTableDefinition xmlns="http://schemas.openxmlformats.org/spreadsheetml/2006/main" name="PivotTable3"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
  <location ref="B140:C143" firstHeaderRow="1" firstDataRow="1" firstDataCol="1" rowPageCount="1" colPageCount="1"/>
  <pivotFields count="32">
    <pivotField compact="0" outline="0" subtotalTop="0" showAll="0" includeNewItemsInFilter="1">
      <items count="17">
        <item x="9"/>
        <item x="13"/>
        <item x="3"/>
        <item x="4"/>
        <item x="6"/>
        <item x="0"/>
        <item x="1"/>
        <item x="2"/>
        <item x="5"/>
        <item x="7"/>
        <item x="8"/>
        <item m="1" x="15"/>
        <item x="12"/>
        <item x="10"/>
        <item m="1" x="14"/>
        <item x="1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s>
  <rowFields count="1">
    <field x="-2"/>
  </rowFields>
  <rowItems count="3">
    <i>
      <x/>
    </i>
    <i i="1">
      <x v="1"/>
    </i>
    <i i="2">
      <x v="2"/>
    </i>
  </rowItems>
  <colItems count="1">
    <i/>
  </colItems>
  <pageFields count="1">
    <pageField fld="8" hier="-1"/>
  </pageFields>
  <dataFields count="3">
    <dataField name="Average of Approximate % of fund dedicated to sanitation" fld="28" subtotal="average" baseField="0" baseItem="29047"/>
    <dataField name="Average of Approximate % fund dedicated to Water access" fld="29" subtotal="average" baseField="0" baseItem="29047"/>
    <dataField name="Average of Approximate % of fund dedicated to HP" fld="30" subtotal="average" baseField="0" baseItem="29047"/>
  </dataFields>
  <formats count="9">
    <format dxfId="72">
      <pivotArea outline="0" fieldPosition="0"/>
    </format>
    <format dxfId="71">
      <pivotArea field="0" type="button" dataOnly="0" labelOnly="1" outline="0"/>
    </format>
    <format dxfId="70">
      <pivotArea field="-2" type="button" dataOnly="0" labelOnly="1" outline="0" axis="axisRow" fieldPosition="0"/>
    </format>
    <format dxfId="69">
      <pivotArea dataOnly="0" labelOnly="1" outline="0" fieldPosition="0">
        <references count="1">
          <reference field="4294967294" count="3">
            <x v="0"/>
            <x v="1"/>
            <x v="2"/>
          </reference>
        </references>
      </pivotArea>
    </format>
    <format dxfId="68">
      <pivotArea outline="0" fieldPosition="0"/>
    </format>
    <format dxfId="67">
      <pivotArea type="all" dataOnly="0" outline="0" fieldPosition="0"/>
    </format>
    <format dxfId="66">
      <pivotArea outline="0" collapsedLevelsAreSubtotals="1" fieldPosition="0"/>
    </format>
    <format dxfId="65">
      <pivotArea field="-2" type="button" dataOnly="0" labelOnly="1" outline="0" axis="axisRow" fieldPosition="0"/>
    </format>
    <format dxfId="64">
      <pivotArea dataOnly="0" labelOnly="1" outline="0" fieldPosition="0">
        <references count="1">
          <reference field="4294967294" count="3">
            <x v="0"/>
            <x v="1"/>
            <x v="2"/>
          </reference>
        </references>
      </pivotArea>
    </format>
  </formats>
  <chartFormats count="8">
    <chartFormat chart="0" format="2">
      <pivotArea type="data" outline="0" fieldPosition="0">
        <references count="1">
          <reference field="4294967294" count="1" selected="0">
            <x v="0"/>
          </reference>
        </references>
      </pivotArea>
    </chartFormat>
    <chartFormat chart="0" format="3">
      <pivotArea type="data" outline="0" fieldPosition="0">
        <references count="1">
          <reference field="4294967294" count="1" selected="0">
            <x v="1"/>
          </reference>
        </references>
      </pivotArea>
    </chartFormat>
    <chartFormat chart="0" format="4">
      <pivotArea type="data" outline="0" fieldPosition="0">
        <references count="1">
          <reference field="4294967294" count="1" selected="0">
            <x v="2"/>
          </reference>
        </references>
      </pivotArea>
    </chartFormat>
    <chartFormat chart="0"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0"/>
          </reference>
        </references>
      </pivotArea>
    </chartFormat>
    <chartFormat chart="3" format="7">
      <pivotArea type="data" outline="0" fieldPosition="0">
        <references count="1">
          <reference field="4294967294" count="1" selected="0">
            <x v="0"/>
          </reference>
        </references>
      </pivotArea>
    </chartFormat>
    <chartFormat chart="3" format="8">
      <pivotArea type="data" outline="0" fieldPosition="0">
        <references count="1">
          <reference field="4294967294" count="1" selected="0">
            <x v="1"/>
          </reference>
        </references>
      </pivotArea>
    </chartFormat>
    <chartFormat chart="3" format="9">
      <pivotArea type="data" outline="0" fieldPosition="0">
        <references count="1">
          <reference field="4294967294" count="1" selected="0">
            <x v="2"/>
          </reference>
        </references>
      </pivotArea>
    </chartFormat>
  </chartFormats>
  <pivotTableStyleInfo showRowHeaders="1" showColHeaders="1" showRowStripes="0" showColStripes="0" showLastColumn="1"/>
</pivotTableDefinition>
</file>

<file path=xl/pivotTables/pivotTable37.xml><?xml version="1.0" encoding="utf-8"?>
<pivotTableDefinition xmlns="http://schemas.openxmlformats.org/spreadsheetml/2006/main" name="PivotTable8"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6">
  <location ref="B94:C97" firstHeaderRow="1" firstDataRow="1" firstDataCol="1" rowPageCount="1" colPageCount="1"/>
  <pivotFields count="32">
    <pivotField compact="0" outline="0" subtotalTop="0" showAll="0" includeNewItemsInFilter="1">
      <items count="17">
        <item x="9"/>
        <item x="13"/>
        <item x="3"/>
        <item x="4"/>
        <item x="6"/>
        <item x="0"/>
        <item x="1"/>
        <item x="2"/>
        <item x="5"/>
        <item x="7"/>
        <item x="8"/>
        <item m="1" x="15"/>
        <item x="12"/>
        <item x="10"/>
        <item m="1" x="14"/>
        <item x="1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Items count="1">
    <i/>
  </colItems>
  <pageFields count="1">
    <pageField fld="8" hier="-1"/>
  </pageFields>
  <dataFields count="3">
    <dataField name="% fund attributed for Northern Shan" fld="12" subtotal="average" baseField="0" baseItem="3075528"/>
    <dataField name=" % fund attributed for South Kachin" fld="13" subtotal="average" baseField="0" baseItem="3075528"/>
    <dataField name=" % funds attributed for North kachin" fld="14" subtotal="average" baseField="0" baseItem="3075528"/>
  </dataFields>
  <formats count="8">
    <format dxfId="80">
      <pivotArea outline="0" fieldPosition="0"/>
    </format>
    <format dxfId="79">
      <pivotArea field="0" type="button" dataOnly="0" labelOnly="1" outline="0"/>
    </format>
    <format dxfId="78">
      <pivotArea field="-2" type="button" dataOnly="0" labelOnly="1" outline="0" axis="axisRow" fieldPosition="0"/>
    </format>
    <format dxfId="77">
      <pivotArea outline="0" fieldPosition="0"/>
    </format>
    <format dxfId="76">
      <pivotArea type="all" dataOnly="0" outline="0" fieldPosition="0"/>
    </format>
    <format dxfId="75">
      <pivotArea outline="0" collapsedLevelsAreSubtotals="1" fieldPosition="0"/>
    </format>
    <format dxfId="74">
      <pivotArea field="-2" type="button" dataOnly="0" labelOnly="1" outline="0" axis="axisRow" fieldPosition="0"/>
    </format>
    <format dxfId="73">
      <pivotArea dataOnly="0" labelOnly="1" outline="0" fieldPosition="0">
        <references count="1">
          <reference field="4294967294" count="3">
            <x v="0"/>
            <x v="1"/>
            <x v="2"/>
          </reference>
        </references>
      </pivotArea>
    </format>
  </formats>
  <chartFormats count="5">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4" format="7">
      <pivotArea type="data" outline="0" fieldPosition="0">
        <references count="1">
          <reference field="4294967294" count="1" selected="0">
            <x v="1"/>
          </reference>
        </references>
      </pivotArea>
    </chartFormat>
    <chartFormat chart="4" format="8">
      <pivotArea type="data" outline="0" fieldPosition="0">
        <references count="1">
          <reference field="4294967294" count="1" selected="0">
            <x v="2"/>
          </reference>
        </references>
      </pivotArea>
    </chartFormat>
    <chartFormat chart="4" format="9">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38.xml><?xml version="1.0" encoding="utf-8"?>
<pivotTableDefinition xmlns="http://schemas.openxmlformats.org/spreadsheetml/2006/main" name="PivotTable1"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7">
  <location ref="B124:C126" firstHeaderRow="1" firstDataRow="1" firstDataCol="1" rowPageCount="1" colPageCount="1"/>
  <pivotFields count="32">
    <pivotField compact="0" outline="0" subtotalTop="0" showAll="0" includeNewItemsInFilter="1">
      <items count="17">
        <item x="9"/>
        <item x="13"/>
        <item x="3"/>
        <item x="4"/>
        <item x="6"/>
        <item x="0"/>
        <item x="1"/>
        <item x="2"/>
        <item x="5"/>
        <item x="7"/>
        <item x="8"/>
        <item m="1" x="15"/>
        <item x="12"/>
        <item x="10"/>
        <item m="1" x="14"/>
        <item x="1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howAll="0" defaultSubtotal="0">
      <items count="4">
        <item x="0"/>
        <item x="1"/>
        <item x="2"/>
        <item x="3"/>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2">
    <i>
      <x/>
    </i>
    <i i="1">
      <x v="1"/>
    </i>
  </rowItems>
  <colItems count="1">
    <i/>
  </colItems>
  <pageFields count="1">
    <pageField fld="8" hier="-1"/>
  </pageFields>
  <dataFields count="2">
    <dataField name="Average of Approximate % of beneficiaries in host community" fld="16" subtotal="average" baseField="0" baseItem="29047"/>
    <dataField name="Average of Approximate % of beneficiaries in camps" fld="15" subtotal="average" baseField="0" baseItem="29047"/>
  </dataFields>
  <formats count="9">
    <format dxfId="89">
      <pivotArea outline="0" fieldPosition="0"/>
    </format>
    <format dxfId="88">
      <pivotArea field="0" type="button" dataOnly="0" labelOnly="1" outline="0"/>
    </format>
    <format dxfId="87">
      <pivotArea field="-2" type="button" dataOnly="0" labelOnly="1" outline="0" axis="axisRow" fieldPosition="0"/>
    </format>
    <format dxfId="86">
      <pivotArea dataOnly="0" labelOnly="1" outline="0" fieldPosition="0">
        <references count="1">
          <reference field="4294967294" count="2">
            <x v="0"/>
            <x v="1"/>
          </reference>
        </references>
      </pivotArea>
    </format>
    <format dxfId="85">
      <pivotArea outline="0" fieldPosition="0"/>
    </format>
    <format dxfId="84">
      <pivotArea type="all" dataOnly="0" outline="0" fieldPosition="0"/>
    </format>
    <format dxfId="83">
      <pivotArea outline="0" collapsedLevelsAreSubtotals="1" fieldPosition="0"/>
    </format>
    <format dxfId="82">
      <pivotArea field="-2" type="button" dataOnly="0" labelOnly="1" outline="0" axis="axisRow" fieldPosition="0"/>
    </format>
    <format dxfId="81">
      <pivotArea dataOnly="0" labelOnly="1" outline="0" fieldPosition="0">
        <references count="1">
          <reference field="4294967294" count="2">
            <x v="0"/>
            <x v="1"/>
          </reference>
        </references>
      </pivotArea>
    </format>
  </formats>
  <chartFormats count="5">
    <chartFormat chart="2" format="3"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0"/>
          </reference>
        </references>
      </pivotArea>
    </chartFormat>
    <chartFormat chart="5" format="5">
      <pivotArea type="data" outline="0" fieldPosition="0">
        <references count="1">
          <reference field="4294967294" count="1" selected="0">
            <x v="0"/>
          </reference>
        </references>
      </pivotArea>
    </chartFormat>
    <chartFormat chart="6" format="7" series="1">
      <pivotArea type="data" outline="0" fieldPosition="0">
        <references count="1">
          <reference field="4294967294" count="1" selected="0">
            <x v="0"/>
          </reference>
        </references>
      </pivotArea>
    </chartFormat>
    <chartFormat chart="6" format="8">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39.xml><?xml version="1.0" encoding="utf-8"?>
<pivotTableDefinition xmlns="http://schemas.openxmlformats.org/spreadsheetml/2006/main" name="PivotTable9"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0">
  <location ref="B108:C110" firstHeaderRow="1" firstDataRow="1" firstDataCol="1" rowPageCount="1" colPageCount="1"/>
  <pivotFields count="32">
    <pivotField compact="0" outline="0" subtotalTop="0" showAll="0" includeNewItemsInFilter="1">
      <items count="17">
        <item x="9"/>
        <item x="13"/>
        <item x="3"/>
        <item x="4"/>
        <item x="6"/>
        <item x="0"/>
        <item x="1"/>
        <item x="2"/>
        <item x="5"/>
        <item x="7"/>
        <item x="8"/>
        <item m="1" x="15"/>
        <item x="12"/>
        <item x="10"/>
        <item m="1" x="14"/>
        <item x="1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4">
        <item x="0"/>
        <item x="1"/>
        <item x="2"/>
        <item x="3"/>
      </items>
    </pivotField>
    <pivotField compact="0" outline="0" subtotalTop="0" showAll="0" includeNewItemsInFilter="1"/>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2">
    <i>
      <x/>
    </i>
    <i i="1">
      <x v="1"/>
    </i>
  </rowItems>
  <colItems count="1">
    <i/>
  </colItems>
  <pageFields count="1">
    <pageField fld="8" hier="-1"/>
  </pageFields>
  <dataFields count="2">
    <dataField name="Average of Approximative % of NGCA beneficiaries" fld="10" subtotal="average" baseField="0" baseItem="3075528"/>
    <dataField name="Average of Approximative % of GCA beneficiaries" fld="11" subtotal="average" baseField="0" baseItem="3075528"/>
  </dataFields>
  <formats count="8">
    <format dxfId="97">
      <pivotArea outline="0" fieldPosition="0"/>
    </format>
    <format dxfId="96">
      <pivotArea field="0" type="button" dataOnly="0" labelOnly="1" outline="0"/>
    </format>
    <format dxfId="95">
      <pivotArea field="-2" type="button" dataOnly="0" labelOnly="1" outline="0" axis="axisRow" fieldPosition="0"/>
    </format>
    <format dxfId="94">
      <pivotArea outline="0" fieldPosition="0"/>
    </format>
    <format dxfId="93">
      <pivotArea type="all" dataOnly="0" outline="0" fieldPosition="0"/>
    </format>
    <format dxfId="92">
      <pivotArea outline="0" collapsedLevelsAreSubtotals="1" fieldPosition="0"/>
    </format>
    <format dxfId="91">
      <pivotArea field="-2" type="button" dataOnly="0" labelOnly="1" outline="0" axis="axisRow" fieldPosition="0"/>
    </format>
    <format dxfId="90">
      <pivotArea dataOnly="0" labelOnly="1" outline="0" fieldPosition="0">
        <references count="1">
          <reference field="4294967294" count="2">
            <x v="0"/>
            <x v="1"/>
          </reference>
        </references>
      </pivotArea>
    </format>
  </formats>
  <chartFormats count="4">
    <chartFormat chart="15" format="4" series="1">
      <pivotArea type="data" outline="0" fieldPosition="0">
        <references count="1">
          <reference field="4294967294" count="1" selected="0">
            <x v="0"/>
          </reference>
        </references>
      </pivotArea>
    </chartFormat>
    <chartFormat chart="15" format="5">
      <pivotArea type="data" outline="0" fieldPosition="0">
        <references count="1">
          <reference field="4294967294" count="1" selected="0">
            <x v="0"/>
          </reference>
        </references>
      </pivotArea>
    </chartFormat>
    <chartFormat chart="18" format="6" series="1">
      <pivotArea type="data" outline="0" fieldPosition="0">
        <references count="1">
          <reference field="4294967294" count="1" selected="0">
            <x v="0"/>
          </reference>
        </references>
      </pivotArea>
    </chartFormat>
    <chartFormat chart="18" format="7">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20"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0">
  <location ref="B304:D307" firstHeaderRow="0" firstDataRow="1" firstDataCol="1" rowPageCount="2" colPageCount="1"/>
  <pivotFields count="95">
    <pivotField showAll="0"/>
    <pivotField showAll="0"/>
    <pivotField showAll="0"/>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2">
    <i>
      <x/>
    </i>
    <i i="1">
      <x v="1"/>
    </i>
  </colItems>
  <pageFields count="2">
    <pageField fld="6" hier="-1"/>
    <pageField fld="19" hier="-1"/>
  </pageFields>
  <dataFields count="2">
    <dataField name="%Coverage Permanent Latrine" fld="88" baseField="0" baseItem="0" numFmtId="9"/>
    <dataField name="% Coverage Emergency latrine" fld="89" baseField="0" baseItem="0" numFmtId="1"/>
  </dataFields>
  <formats count="5">
    <format dxfId="111">
      <pivotArea outline="0" collapsedLevelsAreSubtotals="1" fieldPosition="0"/>
    </format>
    <format dxfId="110">
      <pivotArea field="7" type="button" dataOnly="0" labelOnly="1" outline="0" axis="axisRow" fieldPosition="0"/>
    </format>
    <format dxfId="109">
      <pivotArea dataOnly="0" labelOnly="1" outline="0" fieldPosition="0">
        <references count="1">
          <reference field="4294967294" count="2">
            <x v="0"/>
            <x v="1"/>
          </reference>
        </references>
      </pivotArea>
    </format>
    <format dxfId="108">
      <pivotArea outline="0" collapsedLevelsAreSubtotals="1" fieldPosition="0"/>
    </format>
    <format dxfId="107">
      <pivotArea dataOnly="0" labelOnly="1" outline="0" fieldPosition="0">
        <references count="1">
          <reference field="4294967294" count="2">
            <x v="0"/>
            <x v="1"/>
          </reference>
        </references>
      </pivotArea>
    </format>
  </formats>
  <chartFormats count="8">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6" format="0" series="1">
      <pivotArea type="data" outline="0" fieldPosition="0">
        <references count="1">
          <reference field="4294967294" count="1" selected="0">
            <x v="0"/>
          </reference>
        </references>
      </pivotArea>
    </chartFormat>
    <chartFormat chart="16" format="1" series="1">
      <pivotArea type="data" outline="0" fieldPosition="0">
        <references count="1">
          <reference field="4294967294" count="1" selected="0">
            <x v="1"/>
          </reference>
        </references>
      </pivotArea>
    </chartFormat>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8"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0">
  <location ref="B681:E685" firstHeaderRow="1" firstDataRow="2" firstDataCol="1" rowPageCount="2" colPageCount="1"/>
  <pivotFields count="95">
    <pivotField showAll="0"/>
    <pivotField showAll="0"/>
    <pivotField axis="axisPage"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Col" dataField="1"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19"/>
  </colFields>
  <colItems count="3">
    <i>
      <x/>
    </i>
    <i>
      <x v="1"/>
    </i>
    <i t="grand">
      <x/>
    </i>
  </colItems>
  <pageFields count="2">
    <pageField fld="6" hier="-1"/>
    <pageField fld="2" hier="-1"/>
  </pageFields>
  <dataFields count="1">
    <dataField name="Count of Documented" fld="19" subtotal="count" baseField="0" baseItem="0"/>
  </dataFields>
  <formats count="3">
    <format dxfId="114">
      <pivotArea outline="0" collapsedLevelsAreSubtotals="1" fieldPosition="0"/>
    </format>
    <format dxfId="113">
      <pivotArea outline="0" collapsedLevelsAreSubtotals="1" fieldPosition="0"/>
    </format>
    <format dxfId="112">
      <pivotArea outline="0" collapsedLevelsAreSubtotals="1" fieldPosition="0"/>
    </format>
  </formats>
  <chartFormats count="2">
    <chartFormat chart="48" format="0" series="1">
      <pivotArea type="data" outline="0" fieldPosition="0">
        <references count="2">
          <reference field="4294967294" count="1" selected="0">
            <x v="0"/>
          </reference>
          <reference field="19" count="1" selected="0">
            <x v="0"/>
          </reference>
        </references>
      </pivotArea>
    </chartFormat>
    <chartFormat chart="48" format="1" series="1">
      <pivotArea type="data" outline="0" fieldPosition="0">
        <references count="2">
          <reference field="4294967294" count="1" selected="0">
            <x v="0"/>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9"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2">
  <location ref="B282:D293" firstHeaderRow="0" firstDataRow="1" firstDataCol="1" rowPageCount="2" colPageCount="1"/>
  <pivotFields count="95">
    <pivotField showAll="0"/>
    <pivotField showAll="0"/>
    <pivotField axis="axisRow" showAll="0">
      <items count="11">
        <item x="1"/>
        <item x="5"/>
        <item x="2"/>
        <item x="6"/>
        <item x="4"/>
        <item x="3"/>
        <item x="7"/>
        <item x="8"/>
        <item x="9"/>
        <item x="0"/>
        <item t="default"/>
      </items>
    </pivotField>
    <pivotField showAll="0"/>
    <pivotField showAll="0"/>
    <pivotField showAll="0"/>
    <pivotField axis="axisPage" multipleItemSelectionAllowed="1" showAll="0">
      <items count="4">
        <item x="0"/>
        <item h="1" x="2"/>
        <item h="1" x="1"/>
        <item t="default"/>
      </items>
    </pivotField>
    <pivotField showAll="0"/>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Fields count="1">
    <field x="-2"/>
  </colFields>
  <colItems count="2">
    <i>
      <x/>
    </i>
    <i i="1">
      <x v="1"/>
    </i>
  </colItems>
  <pageFields count="2">
    <pageField fld="6" hier="-1"/>
    <pageField fld="19" hier="-1"/>
  </pageFields>
  <dataFields count="2">
    <dataField name="% Coverage Permanent Latrine" fld="88" baseField="0" baseItem="0" numFmtId="9"/>
    <dataField name="%  Coverage Emergency latrine" fld="89" baseField="0" baseItem="0" numFmtId="1"/>
  </dataFields>
  <formats count="5">
    <format dxfId="119">
      <pivotArea outline="0" collapsedLevelsAreSubtotals="1" fieldPosition="0"/>
    </format>
    <format dxfId="118">
      <pivotArea field="2" type="button" dataOnly="0" labelOnly="1" outline="0" axis="axisRow" fieldPosition="0"/>
    </format>
    <format dxfId="117">
      <pivotArea dataOnly="0" labelOnly="1" outline="0" fieldPosition="0">
        <references count="1">
          <reference field="4294967294" count="2">
            <x v="0"/>
            <x v="1"/>
          </reference>
        </references>
      </pivotArea>
    </format>
    <format dxfId="116">
      <pivotArea outline="0" collapsedLevelsAreSubtotals="1" fieldPosition="0"/>
    </format>
    <format dxfId="115">
      <pivotArea dataOnly="0" labelOnly="1" outline="0" fieldPosition="0">
        <references count="1">
          <reference field="4294967294" count="2">
            <x v="0"/>
            <x v="1"/>
          </reference>
        </references>
      </pivotArea>
    </format>
  </formats>
  <chartFormats count="8">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6" format="0" series="1">
      <pivotArea type="data" outline="0" fieldPosition="0">
        <references count="1">
          <reference field="4294967294" count="1" selected="0">
            <x v="0"/>
          </reference>
        </references>
      </pivotArea>
    </chartFormat>
    <chartFormat chart="16" format="1" series="1">
      <pivotArea type="data" outline="0" fieldPosition="0">
        <references count="1">
          <reference field="4294967294" count="1" selected="0">
            <x v="1"/>
          </reference>
        </references>
      </pivotArea>
    </chartFormat>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 chart="20" format="0" series="1">
      <pivotArea type="data" outline="0" fieldPosition="0">
        <references count="1">
          <reference field="4294967294" count="1" selected="0">
            <x v="0"/>
          </reference>
        </references>
      </pivotArea>
    </chartFormat>
    <chartFormat chart="2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30"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
  <location ref="Z83:AC238" firstHeaderRow="0" firstDataRow="1" firstDataCol="1" rowPageCount="4" colPageCount="1"/>
  <pivotFields count="95">
    <pivotField axis="axisPage" showAll="0">
      <items count="21">
        <item x="11"/>
        <item x="0"/>
        <item x="1"/>
        <item x="2"/>
        <item x="15"/>
        <item x="3"/>
        <item x="10"/>
        <item x="18"/>
        <item x="4"/>
        <item x="5"/>
        <item x="6"/>
        <item x="13"/>
        <item x="7"/>
        <item x="14"/>
        <item x="17"/>
        <item x="8"/>
        <item x="12"/>
        <item m="1" x="19"/>
        <item x="9"/>
        <item x="16"/>
        <item t="default"/>
      </items>
    </pivotField>
    <pivotField showAll="0"/>
    <pivotField axis="axisPage" showAll="0">
      <items count="11">
        <item x="1"/>
        <item x="0"/>
        <item x="5"/>
        <item x="2"/>
        <item x="6"/>
        <item x="4"/>
        <item x="3"/>
        <item x="7"/>
        <item x="8"/>
        <item x="9"/>
        <item t="default"/>
      </items>
    </pivotField>
    <pivotField axis="axisRow" showAll="0">
      <items count="189">
        <item x="171"/>
        <item x="4"/>
        <item x="5"/>
        <item x="113"/>
        <item x="112"/>
        <item x="6"/>
        <item x="7"/>
        <item x="104"/>
        <item x="97"/>
        <item x="159"/>
        <item x="8"/>
        <item x="9"/>
        <item x="10"/>
        <item x="63"/>
        <item x="88"/>
        <item x="137"/>
        <item x="138"/>
        <item x="11"/>
        <item x="86"/>
        <item x="0"/>
        <item x="149"/>
        <item m="1" x="177"/>
        <item x="12"/>
        <item x="60"/>
        <item x="34"/>
        <item x="35"/>
        <item x="36"/>
        <item x="32"/>
        <item x="87"/>
        <item x="64"/>
        <item x="65"/>
        <item x="13"/>
        <item x="14"/>
        <item m="1" x="183"/>
        <item x="15"/>
        <item x="1"/>
        <item x="33"/>
        <item x="98"/>
        <item m="1" x="176"/>
        <item m="1" x="181"/>
        <item x="37"/>
        <item x="38"/>
        <item x="160"/>
        <item x="117"/>
        <item x="105"/>
        <item x="106"/>
        <item x="131"/>
        <item x="161"/>
        <item x="162"/>
        <item x="163"/>
        <item x="39"/>
        <item x="27"/>
        <item x="25"/>
        <item x="129"/>
        <item m="1" x="185"/>
        <item x="40"/>
        <item x="41"/>
        <item x="42"/>
        <item x="2"/>
        <item x="16"/>
        <item x="17"/>
        <item x="99"/>
        <item x="118"/>
        <item x="119"/>
        <item x="120"/>
        <item x="121"/>
        <item x="122"/>
        <item m="1" x="180"/>
        <item x="124"/>
        <item x="125"/>
        <item x="126"/>
        <item x="26"/>
        <item x="66"/>
        <item x="67"/>
        <item x="132"/>
        <item x="68"/>
        <item x="69"/>
        <item x="70"/>
        <item x="71"/>
        <item x="93"/>
        <item x="94"/>
        <item x="43"/>
        <item x="107"/>
        <item x="127"/>
        <item x="44"/>
        <item x="133"/>
        <item x="153"/>
        <item x="154"/>
        <item x="108"/>
        <item x="173"/>
        <item x="174"/>
        <item x="28"/>
        <item x="103"/>
        <item x="45"/>
        <item x="46"/>
        <item x="18"/>
        <item x="164"/>
        <item x="109"/>
        <item m="1" x="182"/>
        <item x="165"/>
        <item x="166"/>
        <item x="151"/>
        <item x="152"/>
        <item x="100"/>
        <item x="150"/>
        <item m="1" x="186"/>
        <item x="134"/>
        <item m="1" x="178"/>
        <item x="155"/>
        <item x="156"/>
        <item x="157"/>
        <item x="158"/>
        <item x="167"/>
        <item x="19"/>
        <item x="170"/>
        <item x="47"/>
        <item x="101"/>
        <item x="20"/>
        <item x="168"/>
        <item x="29"/>
        <item x="62"/>
        <item x="90"/>
        <item x="30"/>
        <item x="141"/>
        <item x="128"/>
        <item x="48"/>
        <item x="89"/>
        <item x="49"/>
        <item x="144"/>
        <item x="143"/>
        <item x="142"/>
        <item x="147"/>
        <item x="146"/>
        <item x="148"/>
        <item x="145"/>
        <item m="1" x="184"/>
        <item x="72"/>
        <item x="3"/>
        <item m="1" x="175"/>
        <item x="114"/>
        <item m="1" x="179"/>
        <item x="73"/>
        <item x="74"/>
        <item x="75"/>
        <item x="76"/>
        <item x="77"/>
        <item x="21"/>
        <item x="115"/>
        <item x="22"/>
        <item x="50"/>
        <item x="51"/>
        <item x="78"/>
        <item x="110"/>
        <item x="111"/>
        <item x="52"/>
        <item x="31"/>
        <item m="1" x="187"/>
        <item x="116"/>
        <item x="135"/>
        <item x="54"/>
        <item x="53"/>
        <item x="55"/>
        <item x="56"/>
        <item x="57"/>
        <item x="58"/>
        <item x="79"/>
        <item x="80"/>
        <item x="81"/>
        <item x="23"/>
        <item x="84"/>
        <item x="59"/>
        <item x="102"/>
        <item x="24"/>
        <item x="85"/>
        <item x="169"/>
        <item x="82"/>
        <item x="83"/>
        <item x="61"/>
        <item x="139"/>
        <item x="95"/>
        <item x="96"/>
        <item x="91"/>
        <item x="123"/>
        <item x="130"/>
        <item x="136"/>
        <item x="172"/>
        <item x="92"/>
        <item x="140"/>
        <item t="default"/>
      </items>
    </pivotField>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3"/>
  </rowFields>
  <rowItems count="155">
    <i>
      <x v="1"/>
    </i>
    <i>
      <x v="2"/>
    </i>
    <i>
      <x v="3"/>
    </i>
    <i>
      <x v="4"/>
    </i>
    <i>
      <x v="5"/>
    </i>
    <i>
      <x v="6"/>
    </i>
    <i>
      <x v="7"/>
    </i>
    <i>
      <x v="8"/>
    </i>
    <i>
      <x v="9"/>
    </i>
    <i>
      <x v="10"/>
    </i>
    <i>
      <x v="11"/>
    </i>
    <i>
      <x v="12"/>
    </i>
    <i>
      <x v="13"/>
    </i>
    <i>
      <x v="15"/>
    </i>
    <i>
      <x v="16"/>
    </i>
    <i>
      <x v="17"/>
    </i>
    <i>
      <x v="19"/>
    </i>
    <i>
      <x v="20"/>
    </i>
    <i>
      <x v="22"/>
    </i>
    <i>
      <x v="24"/>
    </i>
    <i>
      <x v="25"/>
    </i>
    <i>
      <x v="26"/>
    </i>
    <i>
      <x v="27"/>
    </i>
    <i>
      <x v="29"/>
    </i>
    <i>
      <x v="30"/>
    </i>
    <i>
      <x v="31"/>
    </i>
    <i>
      <x v="32"/>
    </i>
    <i>
      <x v="34"/>
    </i>
    <i>
      <x v="35"/>
    </i>
    <i>
      <x v="36"/>
    </i>
    <i>
      <x v="37"/>
    </i>
    <i>
      <x v="40"/>
    </i>
    <i>
      <x v="41"/>
    </i>
    <i>
      <x v="42"/>
    </i>
    <i>
      <x v="43"/>
    </i>
    <i>
      <x v="44"/>
    </i>
    <i>
      <x v="45"/>
    </i>
    <i>
      <x v="47"/>
    </i>
    <i>
      <x v="48"/>
    </i>
    <i>
      <x v="49"/>
    </i>
    <i>
      <x v="50"/>
    </i>
    <i>
      <x v="51"/>
    </i>
    <i>
      <x v="52"/>
    </i>
    <i>
      <x v="53"/>
    </i>
    <i>
      <x v="55"/>
    </i>
    <i>
      <x v="56"/>
    </i>
    <i>
      <x v="57"/>
    </i>
    <i>
      <x v="58"/>
    </i>
    <i>
      <x v="59"/>
    </i>
    <i>
      <x v="60"/>
    </i>
    <i>
      <x v="61"/>
    </i>
    <i>
      <x v="62"/>
    </i>
    <i>
      <x v="63"/>
    </i>
    <i>
      <x v="64"/>
    </i>
    <i>
      <x v="65"/>
    </i>
    <i>
      <x v="66"/>
    </i>
    <i>
      <x v="68"/>
    </i>
    <i>
      <x v="70"/>
    </i>
    <i>
      <x v="71"/>
    </i>
    <i>
      <x v="72"/>
    </i>
    <i>
      <x v="73"/>
    </i>
    <i>
      <x v="75"/>
    </i>
    <i>
      <x v="76"/>
    </i>
    <i>
      <x v="77"/>
    </i>
    <i>
      <x v="78"/>
    </i>
    <i>
      <x v="79"/>
    </i>
    <i>
      <x v="80"/>
    </i>
    <i>
      <x v="81"/>
    </i>
    <i>
      <x v="82"/>
    </i>
    <i>
      <x v="83"/>
    </i>
    <i>
      <x v="84"/>
    </i>
    <i>
      <x v="86"/>
    </i>
    <i>
      <x v="87"/>
    </i>
    <i>
      <x v="88"/>
    </i>
    <i>
      <x v="89"/>
    </i>
    <i>
      <x v="90"/>
    </i>
    <i>
      <x v="91"/>
    </i>
    <i>
      <x v="92"/>
    </i>
    <i>
      <x v="93"/>
    </i>
    <i>
      <x v="94"/>
    </i>
    <i>
      <x v="95"/>
    </i>
    <i>
      <x v="96"/>
    </i>
    <i>
      <x v="97"/>
    </i>
    <i>
      <x v="99"/>
    </i>
    <i>
      <x v="100"/>
    </i>
    <i>
      <x v="101"/>
    </i>
    <i>
      <x v="102"/>
    </i>
    <i>
      <x v="103"/>
    </i>
    <i>
      <x v="104"/>
    </i>
    <i>
      <x v="108"/>
    </i>
    <i>
      <x v="109"/>
    </i>
    <i>
      <x v="110"/>
    </i>
    <i>
      <x v="111"/>
    </i>
    <i>
      <x v="112"/>
    </i>
    <i>
      <x v="113"/>
    </i>
    <i>
      <x v="114"/>
    </i>
    <i>
      <x v="115"/>
    </i>
    <i>
      <x v="116"/>
    </i>
    <i>
      <x v="117"/>
    </i>
    <i>
      <x v="118"/>
    </i>
    <i>
      <x v="119"/>
    </i>
    <i>
      <x v="120"/>
    </i>
    <i>
      <x v="121"/>
    </i>
    <i>
      <x v="122"/>
    </i>
    <i>
      <x v="123"/>
    </i>
    <i>
      <x v="124"/>
    </i>
    <i>
      <x v="125"/>
    </i>
    <i>
      <x v="127"/>
    </i>
    <i>
      <x v="128"/>
    </i>
    <i>
      <x v="129"/>
    </i>
    <i>
      <x v="130"/>
    </i>
    <i>
      <x v="136"/>
    </i>
    <i>
      <x v="137"/>
    </i>
    <i>
      <x v="139"/>
    </i>
    <i>
      <x v="141"/>
    </i>
    <i>
      <x v="142"/>
    </i>
    <i>
      <x v="143"/>
    </i>
    <i>
      <x v="144"/>
    </i>
    <i>
      <x v="145"/>
    </i>
    <i>
      <x v="146"/>
    </i>
    <i>
      <x v="147"/>
    </i>
    <i>
      <x v="148"/>
    </i>
    <i>
      <x v="149"/>
    </i>
    <i>
      <x v="150"/>
    </i>
    <i>
      <x v="151"/>
    </i>
    <i>
      <x v="152"/>
    </i>
    <i>
      <x v="153"/>
    </i>
    <i>
      <x v="154"/>
    </i>
    <i>
      <x v="155"/>
    </i>
    <i>
      <x v="157"/>
    </i>
    <i>
      <x v="159"/>
    </i>
    <i>
      <x v="160"/>
    </i>
    <i>
      <x v="161"/>
    </i>
    <i>
      <x v="162"/>
    </i>
    <i>
      <x v="163"/>
    </i>
    <i>
      <x v="164"/>
    </i>
    <i>
      <x v="165"/>
    </i>
    <i>
      <x v="166"/>
    </i>
    <i>
      <x v="167"/>
    </i>
    <i>
      <x v="168"/>
    </i>
    <i>
      <x v="169"/>
    </i>
    <i>
      <x v="170"/>
    </i>
    <i>
      <x v="171"/>
    </i>
    <i>
      <x v="172"/>
    </i>
    <i>
      <x v="173"/>
    </i>
    <i>
      <x v="174"/>
    </i>
    <i>
      <x v="175"/>
    </i>
    <i>
      <x v="177"/>
    </i>
    <i>
      <x v="178"/>
    </i>
    <i>
      <x v="181"/>
    </i>
    <i>
      <x v="182"/>
    </i>
    <i>
      <x v="185"/>
    </i>
    <i>
      <x v="186"/>
    </i>
    <i>
      <x v="187"/>
    </i>
    <i t="grand">
      <x/>
    </i>
  </rowItems>
  <colFields count="1">
    <field x="-2"/>
  </colFields>
  <colItems count="3">
    <i>
      <x/>
    </i>
    <i i="1">
      <x v="1"/>
    </i>
    <i i="2">
      <x v="2"/>
    </i>
  </colItems>
  <pageFields count="4">
    <pageField fld="0" hier="-1"/>
    <pageField fld="2" hier="-1"/>
    <pageField fld="7" hier="-1"/>
    <pageField fld="6" hier="-1"/>
  </pageFields>
  <dataFields count="3">
    <dataField name="% Water Need coverage" fld="85" baseField="0" baseItem="0" numFmtId="9"/>
    <dataField name="% Latrine need coverage" fld="86" baseField="0" baseItem="0" numFmtId="1"/>
    <dataField name="% Bathroom need coverage" fld="87" baseField="0" baseItem="0" numFmtId="1"/>
  </dataFields>
  <formats count="1">
    <format dxfId="120">
      <pivotArea outline="0" collapsedLevelsAreSubtotals="1" fieldPosition="0"/>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8"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0">
  <location ref="B252:D272" firstHeaderRow="0" firstDataRow="1" firstDataCol="1" rowPageCount="2" colPageCount="1"/>
  <pivotFields count="95">
    <pivotField axis="axisRow" showAll="0">
      <items count="21">
        <item x="11"/>
        <item x="0"/>
        <item x="1"/>
        <item x="2"/>
        <item x="15"/>
        <item x="3"/>
        <item x="10"/>
        <item x="18"/>
        <item x="4"/>
        <item x="5"/>
        <item x="6"/>
        <item x="13"/>
        <item x="7"/>
        <item x="14"/>
        <item x="17"/>
        <item x="8"/>
        <item x="12"/>
        <item m="1" x="19"/>
        <item x="9"/>
        <item x="16"/>
        <item t="default"/>
      </items>
    </pivotField>
    <pivotField showAll="0"/>
    <pivotField showAll="0"/>
    <pivotField showAll="0"/>
    <pivotField showAll="0"/>
    <pivotField showAll="0"/>
    <pivotField axis="axisPage" multipleItemSelectionAllowed="1" showAll="0">
      <items count="4">
        <item x="0"/>
        <item h="1" x="2"/>
        <item h="1" x="1"/>
        <item t="default"/>
      </items>
    </pivotField>
    <pivotField showAll="0"/>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0">
    <i>
      <x/>
    </i>
    <i>
      <x v="1"/>
    </i>
    <i>
      <x v="2"/>
    </i>
    <i>
      <x v="3"/>
    </i>
    <i>
      <x v="4"/>
    </i>
    <i>
      <x v="5"/>
    </i>
    <i>
      <x v="6"/>
    </i>
    <i>
      <x v="7"/>
    </i>
    <i>
      <x v="8"/>
    </i>
    <i>
      <x v="9"/>
    </i>
    <i>
      <x v="10"/>
    </i>
    <i>
      <x v="11"/>
    </i>
    <i>
      <x v="12"/>
    </i>
    <i>
      <x v="13"/>
    </i>
    <i>
      <x v="14"/>
    </i>
    <i>
      <x v="15"/>
    </i>
    <i>
      <x v="16"/>
    </i>
    <i>
      <x v="18"/>
    </i>
    <i>
      <x v="19"/>
    </i>
    <i t="grand">
      <x/>
    </i>
  </rowItems>
  <colFields count="1">
    <field x="-2"/>
  </colFields>
  <colItems count="2">
    <i>
      <x/>
    </i>
    <i i="1">
      <x v="1"/>
    </i>
  </colItems>
  <pageFields count="2">
    <pageField fld="6" hier="-1"/>
    <pageField fld="19" hier="-1"/>
  </pageFields>
  <dataFields count="2">
    <dataField name="% Coverage Permanent Latrine" fld="88" baseField="0" baseItem="0" numFmtId="9"/>
    <dataField name="% Coverage Emergency latrine" fld="89" baseField="0" baseItem="0" numFmtId="1"/>
  </dataFields>
  <formats count="5">
    <format dxfId="125">
      <pivotArea outline="0" collapsedLevelsAreSubtotals="1" fieldPosition="0"/>
    </format>
    <format dxfId="124">
      <pivotArea field="0" type="button" dataOnly="0" labelOnly="1" outline="0" axis="axisRow" fieldPosition="0"/>
    </format>
    <format dxfId="123">
      <pivotArea dataOnly="0" labelOnly="1" outline="0" fieldPosition="0">
        <references count="1">
          <reference field="4294967294" count="2">
            <x v="0"/>
            <x v="1"/>
          </reference>
        </references>
      </pivotArea>
    </format>
    <format dxfId="122">
      <pivotArea outline="0" collapsedLevelsAreSubtotals="1" fieldPosition="0"/>
    </format>
    <format dxfId="121">
      <pivotArea dataOnly="0" labelOnly="1" outline="0" fieldPosition="0">
        <references count="1">
          <reference field="4294967294" count="2">
            <x v="0"/>
            <x v="1"/>
          </reference>
        </references>
      </pivotArea>
    </format>
  </formats>
  <chartFormats count="8">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0"/>
          </reference>
        </references>
      </pivotArea>
    </chartFormat>
    <chartFormat chart="14" format="3" series="1">
      <pivotArea type="data" outline="0" fieldPosition="0">
        <references count="1">
          <reference field="4294967294" count="1" selected="0">
            <x v="1"/>
          </reference>
        </references>
      </pivotArea>
    </chartFormat>
    <chartFormat chart="15" format="6" series="1">
      <pivotArea type="data" outline="0" fieldPosition="0">
        <references count="1">
          <reference field="4294967294" count="1" selected="0">
            <x v="0"/>
          </reference>
        </references>
      </pivotArea>
    </chartFormat>
    <chartFormat chart="15" format="7" series="1">
      <pivotArea type="data" outline="0" fieldPosition="0">
        <references count="1">
          <reference field="4294967294" count="1" selected="0">
            <x v="1"/>
          </reference>
        </references>
      </pivotArea>
    </chartFormat>
    <chartFormat chart="19" format="4" series="1">
      <pivotArea type="data" outline="0" fieldPosition="0">
        <references count="1">
          <reference field="4294967294" count="1" selected="0">
            <x v="0"/>
          </reference>
        </references>
      </pivotArea>
    </chartFormat>
    <chartFormat chart="19"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4">
  <location ref="B482:C489" firstHeaderRow="1" firstDataRow="1" firstDataCol="1" rowPageCount="3" colPageCount="1"/>
  <pivotFields count="95">
    <pivotField showAll="0"/>
    <pivotField showAll="0"/>
    <pivotField showAll="0"/>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axis="axisRow" dataField="1" showAll="0">
      <items count="10">
        <item x="3"/>
        <item m="1" x="6"/>
        <item x="1"/>
        <item x="2"/>
        <item x="0"/>
        <item m="1" x="7"/>
        <item x="4"/>
        <item m="1" x="8"/>
        <item x="5"/>
        <item t="default"/>
      </items>
    </pivotField>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8"/>
  </rowFields>
  <rowItems count="7">
    <i>
      <x/>
    </i>
    <i>
      <x v="2"/>
    </i>
    <i>
      <x v="3"/>
    </i>
    <i>
      <x v="4"/>
    </i>
    <i>
      <x v="6"/>
    </i>
    <i>
      <x v="8"/>
    </i>
    <i t="grand">
      <x/>
    </i>
  </rowItems>
  <colItems count="1">
    <i/>
  </colItems>
  <pageFields count="3">
    <pageField fld="6" hier="-1"/>
    <pageField fld="7" hier="-1"/>
    <pageField fld="19" hier="-1"/>
  </pageFields>
  <dataFields count="1">
    <dataField name="Count of Bathing space gender sperated" fld="58" subtotal="count" baseField="0" baseItem="0" numFmtId="1"/>
  </dataFields>
  <formats count="6">
    <format dxfId="131">
      <pivotArea outline="0" collapsedLevelsAreSubtotals="1" fieldPosition="0"/>
    </format>
    <format dxfId="130">
      <pivotArea outline="0" fieldPosition="0">
        <references count="1">
          <reference field="4294967294" count="1">
            <x v="0"/>
          </reference>
        </references>
      </pivotArea>
    </format>
    <format dxfId="129">
      <pivotArea field="58" type="button" dataOnly="0" labelOnly="1" outline="0" axis="axisRow" fieldPosition="0"/>
    </format>
    <format dxfId="128">
      <pivotArea dataOnly="0" labelOnly="1" outline="0" axis="axisValues" fieldPosition="0"/>
    </format>
    <format dxfId="127">
      <pivotArea outline="0" collapsedLevelsAreSubtotals="1" fieldPosition="0"/>
    </format>
    <format dxfId="126">
      <pivotArea dataOnly="0" labelOnly="1" outline="0" axis="axisValues" fieldPosition="0"/>
    </format>
  </formats>
  <chartFormats count="7">
    <chartFormat chart="32" format="15" series="1">
      <pivotArea type="data" outline="0" fieldPosition="0">
        <references count="1">
          <reference field="4294967294" count="1" selected="0">
            <x v="0"/>
          </reference>
        </references>
      </pivotArea>
    </chartFormat>
    <chartFormat chart="32" format="16">
      <pivotArea type="data" outline="0" fieldPosition="0">
        <references count="2">
          <reference field="4294967294" count="1" selected="0">
            <x v="0"/>
          </reference>
          <reference field="58" count="1" selected="0">
            <x v="0"/>
          </reference>
        </references>
      </pivotArea>
    </chartFormat>
    <chartFormat chart="32" format="17">
      <pivotArea type="data" outline="0" fieldPosition="0">
        <references count="2">
          <reference field="4294967294" count="1" selected="0">
            <x v="0"/>
          </reference>
          <reference field="58" count="1" selected="0">
            <x v="2"/>
          </reference>
        </references>
      </pivotArea>
    </chartFormat>
    <chartFormat chart="32" format="18">
      <pivotArea type="data" outline="0" fieldPosition="0">
        <references count="2">
          <reference field="4294967294" count="1" selected="0">
            <x v="0"/>
          </reference>
          <reference field="58" count="1" selected="0">
            <x v="3"/>
          </reference>
        </references>
      </pivotArea>
    </chartFormat>
    <chartFormat chart="32" format="19">
      <pivotArea type="data" outline="0" fieldPosition="0">
        <references count="2">
          <reference field="4294967294" count="1" selected="0">
            <x v="0"/>
          </reference>
          <reference field="58" count="1" selected="0">
            <x v="4"/>
          </reference>
        </references>
      </pivotArea>
    </chartFormat>
    <chartFormat chart="32" format="20">
      <pivotArea type="data" outline="0" fieldPosition="0">
        <references count="2">
          <reference field="4294967294" count="1" selected="0">
            <x v="0"/>
          </reference>
          <reference field="58" count="1" selected="0">
            <x v="8"/>
          </reference>
        </references>
      </pivotArea>
    </chartFormat>
    <chartFormat chart="32" format="21">
      <pivotArea type="data" outline="0" fieldPosition="0">
        <references count="2">
          <reference field="4294967294" count="1" selected="0">
            <x v="0"/>
          </reference>
          <reference field="58"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ivotTable" Target="../pivotTables/pivotTable26.xml"/><Relationship Id="rId3" Type="http://schemas.openxmlformats.org/officeDocument/2006/relationships/pivotTable" Target="../pivotTables/pivotTable3.xml"/><Relationship Id="rId21" Type="http://schemas.openxmlformats.org/officeDocument/2006/relationships/pivotTable" Target="../pivotTables/pivotTable21.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29" Type="http://schemas.openxmlformats.org/officeDocument/2006/relationships/pivotTable" Target="../pivotTables/pivotTable29.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24" Type="http://schemas.openxmlformats.org/officeDocument/2006/relationships/pivotTable" Target="../pivotTables/pivotTable24.xml"/><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10" Type="http://schemas.openxmlformats.org/officeDocument/2006/relationships/pivotTable" Target="../pivotTables/pivotTable10.xml"/><Relationship Id="rId19" Type="http://schemas.openxmlformats.org/officeDocument/2006/relationships/pivotTable" Target="../pivotTables/pivotTable19.xml"/><Relationship Id="rId31" Type="http://schemas.openxmlformats.org/officeDocument/2006/relationships/drawing" Target="../drawings/drawing3.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37.xml"/><Relationship Id="rId3" Type="http://schemas.openxmlformats.org/officeDocument/2006/relationships/pivotTable" Target="../pivotTables/pivotTable32.xml"/><Relationship Id="rId7" Type="http://schemas.openxmlformats.org/officeDocument/2006/relationships/pivotTable" Target="../pivotTables/pivotTable36.xml"/><Relationship Id="rId12" Type="http://schemas.openxmlformats.org/officeDocument/2006/relationships/drawing" Target="../drawings/drawing4.xml"/><Relationship Id="rId2" Type="http://schemas.openxmlformats.org/officeDocument/2006/relationships/pivotTable" Target="../pivotTables/pivotTable31.xml"/><Relationship Id="rId1" Type="http://schemas.openxmlformats.org/officeDocument/2006/relationships/pivotTable" Target="../pivotTables/pivotTable30.xml"/><Relationship Id="rId6" Type="http://schemas.openxmlformats.org/officeDocument/2006/relationships/pivotTable" Target="../pivotTables/pivotTable35.xml"/><Relationship Id="rId11" Type="http://schemas.openxmlformats.org/officeDocument/2006/relationships/printerSettings" Target="../printerSettings/printerSettings3.bin"/><Relationship Id="rId5" Type="http://schemas.openxmlformats.org/officeDocument/2006/relationships/pivotTable" Target="../pivotTables/pivotTable34.xml"/><Relationship Id="rId10" Type="http://schemas.openxmlformats.org/officeDocument/2006/relationships/pivotTable" Target="../pivotTables/pivotTable39.xml"/><Relationship Id="rId4" Type="http://schemas.openxmlformats.org/officeDocument/2006/relationships/pivotTable" Target="../pivotTables/pivotTable33.xml"/><Relationship Id="rId9" Type="http://schemas.openxmlformats.org/officeDocument/2006/relationships/pivotTable" Target="../pivotTables/pivotTable3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3"/>
  <sheetViews>
    <sheetView zoomScale="75" zoomScaleNormal="75" workbookViewId="0">
      <selection activeCell="A97" sqref="A97"/>
    </sheetView>
  </sheetViews>
  <sheetFormatPr defaultColWidth="8.85546875" defaultRowHeight="15" x14ac:dyDescent="0.25"/>
  <cols>
    <col min="1" max="1" width="8.140625" style="1" customWidth="1"/>
    <col min="2" max="2" width="2.5703125" style="1" customWidth="1"/>
    <col min="3" max="16384" width="8.85546875" style="1"/>
  </cols>
  <sheetData>
    <row r="1" spans="2:20" ht="28.15" customHeight="1" thickBot="1" x14ac:dyDescent="0.3"/>
    <row r="2" spans="2:20" s="9" customFormat="1" ht="35.450000000000003" customHeight="1" thickTop="1" thickBot="1" x14ac:dyDescent="0.3">
      <c r="B2" s="738" t="s">
        <v>72</v>
      </c>
      <c r="C2" s="739"/>
      <c r="D2" s="739"/>
      <c r="E2" s="739"/>
      <c r="F2" s="739"/>
      <c r="G2" s="739"/>
      <c r="H2" s="739"/>
      <c r="I2" s="739"/>
      <c r="J2" s="739"/>
      <c r="K2" s="739"/>
      <c r="L2" s="739"/>
      <c r="M2" s="739"/>
      <c r="N2" s="739"/>
      <c r="O2" s="739"/>
      <c r="P2" s="739"/>
      <c r="Q2" s="739"/>
      <c r="R2" s="739"/>
      <c r="S2" s="739"/>
      <c r="T2" s="740"/>
    </row>
    <row r="3" spans="2:20" ht="15.75" thickTop="1" x14ac:dyDescent="0.25">
      <c r="B3" s="2"/>
      <c r="C3" s="3"/>
      <c r="D3" s="3"/>
      <c r="E3" s="3"/>
      <c r="F3" s="3"/>
      <c r="G3" s="3"/>
      <c r="H3" s="3"/>
      <c r="I3" s="3"/>
      <c r="J3" s="3"/>
      <c r="K3" s="3"/>
      <c r="L3" s="3"/>
      <c r="M3" s="3"/>
      <c r="N3" s="3"/>
      <c r="O3" s="3"/>
      <c r="P3" s="3"/>
      <c r="Q3" s="3"/>
      <c r="R3" s="3"/>
      <c r="S3" s="3"/>
      <c r="T3" s="4"/>
    </row>
    <row r="4" spans="2:20" x14ac:dyDescent="0.25">
      <c r="B4" s="2"/>
      <c r="C4" s="5" t="s">
        <v>34</v>
      </c>
      <c r="D4" s="3"/>
      <c r="E4" s="3"/>
      <c r="F4" s="3"/>
      <c r="G4" s="3"/>
      <c r="H4" s="3"/>
      <c r="I4" s="3"/>
      <c r="J4" s="3"/>
      <c r="K4" s="3"/>
      <c r="L4" s="3"/>
      <c r="M4" s="3"/>
      <c r="N4" s="3"/>
      <c r="O4" s="3"/>
      <c r="P4" s="3"/>
      <c r="Q4" s="3"/>
      <c r="R4" s="3"/>
      <c r="S4" s="3"/>
      <c r="T4" s="4"/>
    </row>
    <row r="5" spans="2:20" x14ac:dyDescent="0.25">
      <c r="B5" s="2"/>
      <c r="C5" s="3"/>
      <c r="D5" s="3" t="s">
        <v>35</v>
      </c>
      <c r="E5" s="3"/>
      <c r="F5" s="3"/>
      <c r="G5" s="3"/>
      <c r="H5" s="3"/>
      <c r="I5" s="3"/>
      <c r="J5" s="3"/>
      <c r="K5" s="3"/>
      <c r="L5" s="3"/>
      <c r="M5" s="3"/>
      <c r="N5" s="3"/>
      <c r="O5" s="3"/>
      <c r="P5" s="3"/>
      <c r="Q5" s="3"/>
      <c r="R5" s="3"/>
      <c r="S5" s="3"/>
      <c r="T5" s="4"/>
    </row>
    <row r="6" spans="2:20" x14ac:dyDescent="0.25">
      <c r="B6" s="2"/>
      <c r="C6" s="3"/>
      <c r="D6" s="3" t="s">
        <v>36</v>
      </c>
      <c r="E6" s="3"/>
      <c r="F6" s="3"/>
      <c r="G6" s="3"/>
      <c r="H6" s="3"/>
      <c r="I6" s="3"/>
      <c r="J6" s="3"/>
      <c r="K6" s="3"/>
      <c r="L6" s="3"/>
      <c r="M6" s="3"/>
      <c r="N6" s="3"/>
      <c r="O6" s="3"/>
      <c r="P6" s="3"/>
      <c r="Q6" s="3"/>
      <c r="R6" s="3"/>
      <c r="S6" s="3"/>
      <c r="T6" s="4"/>
    </row>
    <row r="7" spans="2:20" x14ac:dyDescent="0.25">
      <c r="B7" s="2"/>
      <c r="C7" s="3"/>
      <c r="D7" s="3" t="s">
        <v>37</v>
      </c>
      <c r="E7" s="3"/>
      <c r="F7" s="3"/>
      <c r="G7" s="3"/>
      <c r="H7" s="3"/>
      <c r="I7" s="3"/>
      <c r="J7" s="3"/>
      <c r="K7" s="3"/>
      <c r="L7" s="3"/>
      <c r="M7" s="3"/>
      <c r="N7" s="3"/>
      <c r="O7" s="3"/>
      <c r="P7" s="3"/>
      <c r="Q7" s="3"/>
      <c r="R7" s="3"/>
      <c r="S7" s="3"/>
      <c r="T7" s="4"/>
    </row>
    <row r="8" spans="2:20" x14ac:dyDescent="0.25">
      <c r="B8" s="2"/>
      <c r="C8" s="3"/>
      <c r="D8" s="3" t="s">
        <v>55</v>
      </c>
      <c r="E8" s="3"/>
      <c r="F8" s="3"/>
      <c r="G8" s="3"/>
      <c r="H8" s="3"/>
      <c r="I8" s="3"/>
      <c r="J8" s="3"/>
      <c r="K8" s="3"/>
      <c r="L8" s="3"/>
      <c r="M8" s="3"/>
      <c r="N8" s="3"/>
      <c r="O8" s="3"/>
      <c r="P8" s="3"/>
      <c r="Q8" s="3"/>
      <c r="R8" s="3"/>
      <c r="S8" s="3"/>
      <c r="T8" s="4"/>
    </row>
    <row r="9" spans="2:20" x14ac:dyDescent="0.25">
      <c r="B9" s="2"/>
      <c r="C9" s="3"/>
      <c r="D9" s="3" t="s">
        <v>38</v>
      </c>
      <c r="E9" s="3"/>
      <c r="F9" s="3"/>
      <c r="G9" s="3"/>
      <c r="H9" s="3"/>
      <c r="I9" s="3"/>
      <c r="J9" s="3"/>
      <c r="K9" s="3"/>
      <c r="L9" s="3"/>
      <c r="M9" s="3"/>
      <c r="N9" s="3"/>
      <c r="O9" s="3"/>
      <c r="P9" s="3"/>
      <c r="Q9" s="3"/>
      <c r="R9" s="3"/>
      <c r="S9" s="3"/>
      <c r="T9" s="4"/>
    </row>
    <row r="10" spans="2:20" x14ac:dyDescent="0.25">
      <c r="B10" s="2"/>
      <c r="C10" s="3"/>
      <c r="D10" s="3" t="s">
        <v>39</v>
      </c>
      <c r="E10" s="3"/>
      <c r="F10" s="3"/>
      <c r="G10" s="3"/>
      <c r="H10" s="3"/>
      <c r="I10" s="3"/>
      <c r="J10" s="3"/>
      <c r="K10" s="3"/>
      <c r="L10" s="3"/>
      <c r="M10" s="3"/>
      <c r="N10" s="3"/>
      <c r="O10" s="3"/>
      <c r="P10" s="3"/>
      <c r="Q10" s="3"/>
      <c r="R10" s="3"/>
      <c r="S10" s="3"/>
      <c r="T10" s="4"/>
    </row>
    <row r="11" spans="2:20" x14ac:dyDescent="0.25">
      <c r="B11" s="2"/>
      <c r="C11" s="3"/>
      <c r="D11" s="3" t="s">
        <v>40</v>
      </c>
      <c r="E11" s="3"/>
      <c r="F11" s="3"/>
      <c r="G11" s="3"/>
      <c r="H11" s="3"/>
      <c r="I11" s="3"/>
      <c r="J11" s="3"/>
      <c r="K11" s="3"/>
      <c r="L11" s="3"/>
      <c r="M11" s="3"/>
      <c r="N11" s="3"/>
      <c r="O11" s="3"/>
      <c r="P11" s="3"/>
      <c r="Q11" s="3"/>
      <c r="R11" s="3"/>
      <c r="S11" s="3"/>
      <c r="T11" s="4"/>
    </row>
    <row r="12" spans="2:20" x14ac:dyDescent="0.25">
      <c r="B12" s="2"/>
      <c r="C12" s="3"/>
      <c r="D12" s="3" t="s">
        <v>42</v>
      </c>
      <c r="E12" s="3"/>
      <c r="F12" s="3"/>
      <c r="G12" s="3"/>
      <c r="H12" s="3"/>
      <c r="I12" s="3"/>
      <c r="J12" s="3"/>
      <c r="K12" s="3"/>
      <c r="L12" s="3"/>
      <c r="M12" s="3"/>
      <c r="N12" s="3"/>
      <c r="O12" s="3"/>
      <c r="P12" s="3"/>
      <c r="Q12" s="3"/>
      <c r="R12" s="3"/>
      <c r="S12" s="3"/>
      <c r="T12" s="4"/>
    </row>
    <row r="13" spans="2:20" x14ac:dyDescent="0.25">
      <c r="B13" s="2"/>
      <c r="C13" s="3"/>
      <c r="D13" s="3" t="s">
        <v>43</v>
      </c>
      <c r="E13" s="3"/>
      <c r="F13" s="3"/>
      <c r="G13" s="3"/>
      <c r="H13" s="3"/>
      <c r="I13" s="3"/>
      <c r="J13" s="3"/>
      <c r="K13" s="3"/>
      <c r="L13" s="3"/>
      <c r="M13" s="3"/>
      <c r="N13" s="3"/>
      <c r="O13" s="3"/>
      <c r="P13" s="3"/>
      <c r="Q13" s="3"/>
      <c r="R13" s="3"/>
      <c r="S13" s="3"/>
      <c r="T13" s="4"/>
    </row>
    <row r="14" spans="2:20" x14ac:dyDescent="0.25">
      <c r="B14" s="2"/>
      <c r="C14" s="3"/>
      <c r="D14" s="3"/>
      <c r="E14" s="3"/>
      <c r="F14" s="3"/>
      <c r="G14" s="3"/>
      <c r="H14" s="3"/>
      <c r="I14" s="3"/>
      <c r="J14" s="3"/>
      <c r="K14" s="3"/>
      <c r="L14" s="3"/>
      <c r="M14" s="3"/>
      <c r="N14" s="3"/>
      <c r="O14" s="3"/>
      <c r="P14" s="3"/>
      <c r="Q14" s="3"/>
      <c r="R14" s="3"/>
      <c r="S14" s="3"/>
      <c r="T14" s="4"/>
    </row>
    <row r="15" spans="2:20" x14ac:dyDescent="0.25">
      <c r="B15" s="2"/>
      <c r="C15" s="5" t="s">
        <v>50</v>
      </c>
      <c r="D15" s="3"/>
      <c r="E15" s="3"/>
      <c r="F15" s="3"/>
      <c r="G15" s="3"/>
      <c r="H15" s="3"/>
      <c r="I15" s="3"/>
      <c r="J15" s="3"/>
      <c r="K15" s="3"/>
      <c r="L15" s="3"/>
      <c r="M15" s="3"/>
      <c r="N15" s="3"/>
      <c r="O15" s="3"/>
      <c r="P15" s="3"/>
      <c r="Q15" s="3"/>
      <c r="R15" s="3"/>
      <c r="S15" s="3"/>
      <c r="T15" s="4"/>
    </row>
    <row r="16" spans="2:20" x14ac:dyDescent="0.25">
      <c r="B16" s="2"/>
      <c r="C16" s="3"/>
      <c r="D16" s="3" t="s">
        <v>51</v>
      </c>
      <c r="E16" s="3"/>
      <c r="F16" s="3"/>
      <c r="G16" s="3"/>
      <c r="H16" s="3"/>
      <c r="I16" s="3"/>
      <c r="J16" s="3"/>
      <c r="K16" s="3"/>
      <c r="L16" s="3"/>
      <c r="M16" s="3"/>
      <c r="N16" s="3"/>
      <c r="O16" s="3"/>
      <c r="P16" s="3"/>
      <c r="Q16" s="3"/>
      <c r="R16" s="3"/>
      <c r="S16" s="3"/>
      <c r="T16" s="4"/>
    </row>
    <row r="17" spans="2:20" x14ac:dyDescent="0.25">
      <c r="B17" s="2"/>
      <c r="C17" s="3"/>
      <c r="D17" s="3" t="s">
        <v>52</v>
      </c>
      <c r="E17" s="3"/>
      <c r="F17" s="3"/>
      <c r="G17" s="3"/>
      <c r="H17" s="3"/>
      <c r="I17" s="3"/>
      <c r="J17" s="3"/>
      <c r="K17" s="3"/>
      <c r="L17" s="3"/>
      <c r="M17" s="3"/>
      <c r="N17" s="3"/>
      <c r="O17" s="3"/>
      <c r="P17" s="3"/>
      <c r="Q17" s="3"/>
      <c r="R17" s="3"/>
      <c r="S17" s="3"/>
      <c r="T17" s="4"/>
    </row>
    <row r="18" spans="2:20" x14ac:dyDescent="0.25">
      <c r="B18" s="2"/>
      <c r="C18" s="3"/>
      <c r="D18" s="3" t="s">
        <v>53</v>
      </c>
      <c r="E18" s="3"/>
      <c r="F18" s="3"/>
      <c r="G18" s="3"/>
      <c r="H18" s="3"/>
      <c r="I18" s="3"/>
      <c r="J18" s="3"/>
      <c r="K18" s="3"/>
      <c r="L18" s="3"/>
      <c r="M18" s="3"/>
      <c r="N18" s="3"/>
      <c r="O18" s="3"/>
      <c r="P18" s="3"/>
      <c r="Q18" s="3"/>
      <c r="R18" s="3"/>
      <c r="S18" s="3"/>
      <c r="T18" s="4"/>
    </row>
    <row r="19" spans="2:20" x14ac:dyDescent="0.25">
      <c r="B19" s="2"/>
      <c r="C19" s="3"/>
      <c r="D19" s="3" t="s">
        <v>54</v>
      </c>
      <c r="E19" s="3"/>
      <c r="F19" s="3"/>
      <c r="G19" s="3"/>
      <c r="H19" s="3"/>
      <c r="I19" s="3"/>
      <c r="J19" s="3"/>
      <c r="K19" s="3"/>
      <c r="L19" s="3"/>
      <c r="M19" s="3"/>
      <c r="N19" s="3"/>
      <c r="O19" s="3"/>
      <c r="P19" s="3"/>
      <c r="Q19" s="3"/>
      <c r="R19" s="3"/>
      <c r="S19" s="3"/>
      <c r="T19" s="4"/>
    </row>
    <row r="20" spans="2:20" x14ac:dyDescent="0.25">
      <c r="B20" s="2"/>
      <c r="C20" s="3"/>
      <c r="D20" s="3" t="s">
        <v>57</v>
      </c>
      <c r="E20" s="3"/>
      <c r="F20" s="3"/>
      <c r="G20" s="3"/>
      <c r="H20" s="3"/>
      <c r="I20" s="3"/>
      <c r="J20" s="3"/>
      <c r="K20" s="3"/>
      <c r="L20" s="3"/>
      <c r="M20" s="3"/>
      <c r="N20" s="3"/>
      <c r="O20" s="3"/>
      <c r="P20" s="3"/>
      <c r="Q20" s="3"/>
      <c r="R20" s="3"/>
      <c r="S20" s="3"/>
      <c r="T20" s="4"/>
    </row>
    <row r="21" spans="2:20" x14ac:dyDescent="0.25">
      <c r="B21" s="2"/>
      <c r="C21" s="3"/>
      <c r="D21" s="3" t="s">
        <v>58</v>
      </c>
      <c r="E21" s="3"/>
      <c r="F21" s="3"/>
      <c r="G21" s="3"/>
      <c r="H21" s="3"/>
      <c r="I21" s="3"/>
      <c r="J21" s="3"/>
      <c r="K21" s="3"/>
      <c r="L21" s="3"/>
      <c r="M21" s="3"/>
      <c r="N21" s="3"/>
      <c r="O21" s="3"/>
      <c r="P21" s="3"/>
      <c r="Q21" s="3"/>
      <c r="R21" s="3"/>
      <c r="S21" s="3"/>
      <c r="T21" s="4"/>
    </row>
    <row r="22" spans="2:20" x14ac:dyDescent="0.25">
      <c r="B22" s="2"/>
      <c r="C22" s="3"/>
      <c r="D22" s="3" t="s">
        <v>59</v>
      </c>
      <c r="E22" s="3"/>
      <c r="F22" s="3"/>
      <c r="G22" s="3"/>
      <c r="H22" s="3"/>
      <c r="I22" s="3"/>
      <c r="J22" s="3"/>
      <c r="K22" s="3"/>
      <c r="L22" s="3"/>
      <c r="M22" s="3"/>
      <c r="N22" s="3"/>
      <c r="O22" s="3"/>
      <c r="P22" s="3"/>
      <c r="Q22" s="3"/>
      <c r="R22" s="3"/>
      <c r="S22" s="3"/>
      <c r="T22" s="4"/>
    </row>
    <row r="23" spans="2:20" x14ac:dyDescent="0.25">
      <c r="B23" s="2"/>
      <c r="C23" s="3"/>
      <c r="D23" s="3"/>
      <c r="E23" s="3"/>
      <c r="F23" s="3"/>
      <c r="G23" s="3"/>
      <c r="H23" s="3"/>
      <c r="I23" s="3"/>
      <c r="J23" s="3"/>
      <c r="K23" s="3"/>
      <c r="L23" s="3"/>
      <c r="M23" s="3"/>
      <c r="N23" s="3"/>
      <c r="O23" s="3"/>
      <c r="P23" s="3"/>
      <c r="Q23" s="3"/>
      <c r="R23" s="3"/>
      <c r="S23" s="3"/>
      <c r="T23" s="4"/>
    </row>
    <row r="24" spans="2:20" x14ac:dyDescent="0.25">
      <c r="B24" s="2"/>
      <c r="C24" s="5" t="s">
        <v>27</v>
      </c>
      <c r="D24" s="3"/>
      <c r="E24" s="3"/>
      <c r="F24" s="3"/>
      <c r="G24" s="3"/>
      <c r="H24" s="3"/>
      <c r="I24" s="3"/>
      <c r="J24" s="3"/>
      <c r="K24" s="3"/>
      <c r="L24" s="3"/>
      <c r="M24" s="3"/>
      <c r="N24" s="3"/>
      <c r="O24" s="3"/>
      <c r="P24" s="3"/>
      <c r="Q24" s="3"/>
      <c r="R24" s="3"/>
      <c r="S24" s="3"/>
      <c r="T24" s="4"/>
    </row>
    <row r="25" spans="2:20" x14ac:dyDescent="0.25">
      <c r="B25" s="2"/>
      <c r="C25" s="3"/>
      <c r="D25" s="3" t="s">
        <v>28</v>
      </c>
      <c r="E25" s="3"/>
      <c r="F25" s="3"/>
      <c r="G25" s="3"/>
      <c r="H25" s="3"/>
      <c r="I25" s="3"/>
      <c r="J25" s="3"/>
      <c r="K25" s="3"/>
      <c r="L25" s="3"/>
      <c r="M25" s="3"/>
      <c r="N25" s="3"/>
      <c r="O25" s="3"/>
      <c r="P25" s="3"/>
      <c r="Q25" s="3"/>
      <c r="R25" s="3"/>
      <c r="S25" s="3"/>
      <c r="T25" s="4"/>
    </row>
    <row r="26" spans="2:20" x14ac:dyDescent="0.25">
      <c r="B26" s="2"/>
      <c r="C26" s="3"/>
      <c r="D26" s="3" t="s">
        <v>29</v>
      </c>
      <c r="E26" s="3"/>
      <c r="F26" s="3"/>
      <c r="G26" s="3"/>
      <c r="H26" s="3"/>
      <c r="I26" s="3"/>
      <c r="J26" s="3"/>
      <c r="K26" s="3"/>
      <c r="L26" s="3"/>
      <c r="M26" s="3"/>
      <c r="N26" s="3"/>
      <c r="O26" s="3"/>
      <c r="P26" s="3"/>
      <c r="Q26" s="3"/>
      <c r="R26" s="3"/>
      <c r="S26" s="3"/>
      <c r="T26" s="4"/>
    </row>
    <row r="27" spans="2:20" x14ac:dyDescent="0.25">
      <c r="B27" s="2"/>
      <c r="C27" s="3"/>
      <c r="D27" s="3" t="s">
        <v>30</v>
      </c>
      <c r="E27" s="3"/>
      <c r="F27" s="3"/>
      <c r="G27" s="3"/>
      <c r="H27" s="3"/>
      <c r="I27" s="3"/>
      <c r="J27" s="3"/>
      <c r="K27" s="3"/>
      <c r="L27" s="3"/>
      <c r="M27" s="3"/>
      <c r="N27" s="3"/>
      <c r="O27" s="3"/>
      <c r="P27" s="3"/>
      <c r="Q27" s="3"/>
      <c r="R27" s="3"/>
      <c r="S27" s="3"/>
      <c r="T27" s="4"/>
    </row>
    <row r="28" spans="2:20" x14ac:dyDescent="0.25">
      <c r="B28" s="2"/>
      <c r="C28" s="3"/>
      <c r="D28" s="3" t="s">
        <v>31</v>
      </c>
      <c r="E28" s="3"/>
      <c r="F28" s="3"/>
      <c r="G28" s="3"/>
      <c r="H28" s="3"/>
      <c r="I28" s="3"/>
      <c r="J28" s="3"/>
      <c r="K28" s="3"/>
      <c r="L28" s="3"/>
      <c r="M28" s="3"/>
      <c r="N28" s="3"/>
      <c r="O28" s="3"/>
      <c r="P28" s="3"/>
      <c r="Q28" s="3"/>
      <c r="R28" s="3"/>
      <c r="S28" s="3"/>
      <c r="T28" s="4"/>
    </row>
    <row r="29" spans="2:20" x14ac:dyDescent="0.25">
      <c r="B29" s="2"/>
      <c r="C29" s="3"/>
      <c r="D29" s="3"/>
      <c r="E29" s="3"/>
      <c r="F29" s="3"/>
      <c r="G29" s="3"/>
      <c r="H29" s="3"/>
      <c r="I29" s="3"/>
      <c r="J29" s="3"/>
      <c r="K29" s="3"/>
      <c r="L29" s="3"/>
      <c r="M29" s="3"/>
      <c r="N29" s="3"/>
      <c r="O29" s="3"/>
      <c r="P29" s="3"/>
      <c r="Q29" s="3"/>
      <c r="R29" s="3"/>
      <c r="S29" s="3"/>
      <c r="T29" s="4"/>
    </row>
    <row r="30" spans="2:20" x14ac:dyDescent="0.25">
      <c r="B30" s="2"/>
      <c r="C30" s="5" t="s">
        <v>32</v>
      </c>
      <c r="D30" s="3"/>
      <c r="E30" s="3"/>
      <c r="F30" s="3"/>
      <c r="G30" s="3"/>
      <c r="H30" s="3"/>
      <c r="I30" s="3"/>
      <c r="J30" s="3"/>
      <c r="K30" s="3"/>
      <c r="L30" s="3"/>
      <c r="M30" s="3"/>
      <c r="N30" s="3"/>
      <c r="O30" s="3"/>
      <c r="P30" s="3"/>
      <c r="Q30" s="3"/>
      <c r="R30" s="3"/>
      <c r="S30" s="3"/>
      <c r="T30" s="4"/>
    </row>
    <row r="31" spans="2:20" x14ac:dyDescent="0.25">
      <c r="B31" s="2"/>
      <c r="C31" s="3"/>
      <c r="D31" s="3" t="s">
        <v>33</v>
      </c>
      <c r="E31" s="3"/>
      <c r="F31" s="3"/>
      <c r="G31" s="3"/>
      <c r="H31" s="3"/>
      <c r="I31" s="3"/>
      <c r="J31" s="3"/>
      <c r="K31" s="3"/>
      <c r="L31" s="3"/>
      <c r="M31" s="3"/>
      <c r="N31" s="3"/>
      <c r="O31" s="3"/>
      <c r="P31" s="3"/>
      <c r="Q31" s="3"/>
      <c r="R31" s="3"/>
      <c r="S31" s="3"/>
      <c r="T31" s="4"/>
    </row>
    <row r="32" spans="2:20" x14ac:dyDescent="0.25">
      <c r="B32" s="2"/>
      <c r="C32" s="3"/>
      <c r="D32" s="3" t="s">
        <v>44</v>
      </c>
      <c r="E32" s="3"/>
      <c r="F32" s="3"/>
      <c r="G32" s="3"/>
      <c r="H32" s="3"/>
      <c r="I32" s="3"/>
      <c r="J32" s="3"/>
      <c r="K32" s="3"/>
      <c r="L32" s="3"/>
      <c r="M32" s="3"/>
      <c r="N32" s="3"/>
      <c r="O32" s="3"/>
      <c r="P32" s="3"/>
      <c r="Q32" s="3"/>
      <c r="R32" s="3"/>
      <c r="S32" s="3"/>
      <c r="T32" s="4"/>
    </row>
    <row r="33" spans="2:20" x14ac:dyDescent="0.25">
      <c r="B33" s="2"/>
      <c r="C33" s="3"/>
      <c r="D33" s="3" t="s">
        <v>45</v>
      </c>
      <c r="E33" s="3"/>
      <c r="F33" s="3"/>
      <c r="G33" s="3"/>
      <c r="H33" s="3"/>
      <c r="I33" s="3"/>
      <c r="J33" s="3"/>
      <c r="K33" s="3"/>
      <c r="L33" s="3"/>
      <c r="M33" s="3"/>
      <c r="N33" s="3"/>
      <c r="O33" s="3"/>
      <c r="P33" s="3"/>
      <c r="Q33" s="3"/>
      <c r="R33" s="3"/>
      <c r="S33" s="3"/>
      <c r="T33" s="4"/>
    </row>
    <row r="34" spans="2:20" x14ac:dyDescent="0.25">
      <c r="B34" s="2"/>
      <c r="C34" s="3"/>
      <c r="D34" s="3" t="s">
        <v>46</v>
      </c>
      <c r="E34" s="3"/>
      <c r="F34" s="3"/>
      <c r="G34" s="3"/>
      <c r="H34" s="3"/>
      <c r="I34" s="3"/>
      <c r="J34" s="3"/>
      <c r="K34" s="3"/>
      <c r="L34" s="3"/>
      <c r="M34" s="3"/>
      <c r="N34" s="3"/>
      <c r="O34" s="3"/>
      <c r="P34" s="3"/>
      <c r="Q34" s="3"/>
      <c r="R34" s="3"/>
      <c r="S34" s="3"/>
      <c r="T34" s="4"/>
    </row>
    <row r="35" spans="2:20" x14ac:dyDescent="0.25">
      <c r="B35" s="2"/>
      <c r="C35" s="3"/>
      <c r="D35" s="3"/>
      <c r="E35" s="3"/>
      <c r="F35" s="3"/>
      <c r="G35" s="3"/>
      <c r="H35" s="3"/>
      <c r="I35" s="3"/>
      <c r="J35" s="3"/>
      <c r="K35" s="3"/>
      <c r="L35" s="3"/>
      <c r="M35" s="3"/>
      <c r="N35" s="3"/>
      <c r="O35" s="3"/>
      <c r="P35" s="3"/>
      <c r="Q35" s="3"/>
      <c r="R35" s="3"/>
      <c r="S35" s="3"/>
      <c r="T35" s="4"/>
    </row>
    <row r="36" spans="2:20" x14ac:dyDescent="0.25">
      <c r="B36" s="2"/>
      <c r="C36" s="5" t="s">
        <v>41</v>
      </c>
      <c r="D36" s="3"/>
      <c r="E36" s="3"/>
      <c r="F36" s="3"/>
      <c r="G36" s="3"/>
      <c r="H36" s="3"/>
      <c r="I36" s="3"/>
      <c r="J36" s="3"/>
      <c r="K36" s="3"/>
      <c r="L36" s="3"/>
      <c r="M36" s="3"/>
      <c r="N36" s="3"/>
      <c r="O36" s="3"/>
      <c r="P36" s="3"/>
      <c r="Q36" s="3"/>
      <c r="R36" s="3"/>
      <c r="S36" s="3"/>
      <c r="T36" s="4"/>
    </row>
    <row r="37" spans="2:20" x14ac:dyDescent="0.25">
      <c r="B37" s="2"/>
      <c r="C37" s="3"/>
      <c r="D37" s="3" t="s">
        <v>47</v>
      </c>
      <c r="E37" s="3"/>
      <c r="F37" s="3"/>
      <c r="G37" s="3"/>
      <c r="H37" s="3"/>
      <c r="I37" s="3"/>
      <c r="J37" s="3"/>
      <c r="K37" s="3"/>
      <c r="L37" s="3"/>
      <c r="M37" s="3"/>
      <c r="N37" s="3"/>
      <c r="O37" s="3"/>
      <c r="P37" s="3"/>
      <c r="Q37" s="3"/>
      <c r="R37" s="3"/>
      <c r="S37" s="3"/>
      <c r="T37" s="4"/>
    </row>
    <row r="38" spans="2:20" x14ac:dyDescent="0.25">
      <c r="B38" s="2"/>
      <c r="C38" s="3"/>
      <c r="D38" s="3" t="s">
        <v>48</v>
      </c>
      <c r="E38" s="3"/>
      <c r="F38" s="3"/>
      <c r="G38" s="3"/>
      <c r="H38" s="3"/>
      <c r="I38" s="3"/>
      <c r="J38" s="3"/>
      <c r="K38" s="3"/>
      <c r="L38" s="3"/>
      <c r="M38" s="3"/>
      <c r="N38" s="3"/>
      <c r="O38" s="3"/>
      <c r="P38" s="3"/>
      <c r="Q38" s="3"/>
      <c r="R38" s="3"/>
      <c r="S38" s="3"/>
      <c r="T38" s="4"/>
    </row>
    <row r="39" spans="2:20" x14ac:dyDescent="0.25">
      <c r="B39" s="2"/>
      <c r="C39" s="3"/>
      <c r="D39" s="3" t="s">
        <v>49</v>
      </c>
      <c r="E39" s="3"/>
      <c r="F39" s="3"/>
      <c r="G39" s="3"/>
      <c r="H39" s="3"/>
      <c r="I39" s="3"/>
      <c r="J39" s="3"/>
      <c r="K39" s="3"/>
      <c r="L39" s="3"/>
      <c r="M39" s="3"/>
      <c r="N39" s="3"/>
      <c r="O39" s="3"/>
      <c r="P39" s="3"/>
      <c r="Q39" s="3"/>
      <c r="R39" s="3"/>
      <c r="S39" s="3"/>
      <c r="T39" s="4"/>
    </row>
    <row r="40" spans="2:20" x14ac:dyDescent="0.25">
      <c r="B40" s="2"/>
      <c r="C40" s="3"/>
      <c r="D40" s="3" t="s">
        <v>56</v>
      </c>
      <c r="E40" s="3"/>
      <c r="F40" s="3"/>
      <c r="G40" s="3"/>
      <c r="H40" s="3"/>
      <c r="I40" s="3"/>
      <c r="J40" s="3"/>
      <c r="K40" s="3"/>
      <c r="L40" s="3"/>
      <c r="M40" s="3"/>
      <c r="N40" s="3"/>
      <c r="O40" s="3"/>
      <c r="P40" s="3"/>
      <c r="Q40" s="3"/>
      <c r="R40" s="3"/>
      <c r="S40" s="3"/>
      <c r="T40" s="4"/>
    </row>
    <row r="41" spans="2:20" x14ac:dyDescent="0.25">
      <c r="B41" s="2"/>
      <c r="C41" s="3"/>
      <c r="D41" s="3"/>
      <c r="E41" s="3"/>
      <c r="F41" s="3"/>
      <c r="G41" s="3"/>
      <c r="H41" s="3"/>
      <c r="I41" s="3"/>
      <c r="J41" s="3"/>
      <c r="K41" s="3"/>
      <c r="L41" s="3"/>
      <c r="M41" s="3"/>
      <c r="N41" s="3"/>
      <c r="O41" s="3"/>
      <c r="P41" s="3"/>
      <c r="Q41" s="3"/>
      <c r="R41" s="3"/>
      <c r="S41" s="3"/>
      <c r="T41" s="4"/>
    </row>
    <row r="42" spans="2:20" x14ac:dyDescent="0.25">
      <c r="B42" s="2"/>
      <c r="C42" s="5" t="s">
        <v>60</v>
      </c>
      <c r="D42" s="3"/>
      <c r="E42" s="3"/>
      <c r="F42" s="3"/>
      <c r="G42" s="3"/>
      <c r="H42" s="3"/>
      <c r="I42" s="3"/>
      <c r="J42" s="3"/>
      <c r="K42" s="3"/>
      <c r="L42" s="3"/>
      <c r="M42" s="3"/>
      <c r="N42" s="3"/>
      <c r="O42" s="3"/>
      <c r="P42" s="3"/>
      <c r="Q42" s="3"/>
      <c r="R42" s="3"/>
      <c r="S42" s="3"/>
      <c r="T42" s="4"/>
    </row>
    <row r="43" spans="2:20" x14ac:dyDescent="0.25">
      <c r="B43" s="2"/>
      <c r="C43" s="3"/>
      <c r="D43" s="3" t="s">
        <v>61</v>
      </c>
      <c r="E43" s="3"/>
      <c r="F43" s="3"/>
      <c r="G43" s="3"/>
      <c r="H43" s="3"/>
      <c r="I43" s="3"/>
      <c r="J43" s="3"/>
      <c r="K43" s="3"/>
      <c r="L43" s="3"/>
      <c r="M43" s="3"/>
      <c r="N43" s="3"/>
      <c r="O43" s="3"/>
      <c r="P43" s="3"/>
      <c r="Q43" s="3"/>
      <c r="R43" s="3"/>
      <c r="S43" s="3"/>
      <c r="T43" s="4"/>
    </row>
    <row r="44" spans="2:20" x14ac:dyDescent="0.25">
      <c r="B44" s="2"/>
      <c r="C44" s="3"/>
      <c r="D44" s="3" t="s">
        <v>62</v>
      </c>
      <c r="E44" s="3"/>
      <c r="F44" s="3"/>
      <c r="G44" s="3"/>
      <c r="H44" s="3"/>
      <c r="I44" s="3"/>
      <c r="J44" s="3"/>
      <c r="K44" s="3"/>
      <c r="L44" s="3"/>
      <c r="M44" s="3"/>
      <c r="N44" s="3"/>
      <c r="O44" s="3"/>
      <c r="P44" s="3"/>
      <c r="Q44" s="3"/>
      <c r="R44" s="3"/>
      <c r="S44" s="3"/>
      <c r="T44" s="4"/>
    </row>
    <row r="45" spans="2:20" x14ac:dyDescent="0.25">
      <c r="B45" s="2"/>
      <c r="C45" s="3"/>
      <c r="D45" s="3" t="s">
        <v>63</v>
      </c>
      <c r="E45" s="3"/>
      <c r="F45" s="3"/>
      <c r="G45" s="3"/>
      <c r="H45" s="3"/>
      <c r="I45" s="3"/>
      <c r="J45" s="3"/>
      <c r="K45" s="3"/>
      <c r="L45" s="3"/>
      <c r="M45" s="3"/>
      <c r="N45" s="3"/>
      <c r="O45" s="3"/>
      <c r="P45" s="3"/>
      <c r="Q45" s="3"/>
      <c r="R45" s="3"/>
      <c r="S45" s="3"/>
      <c r="T45" s="4"/>
    </row>
    <row r="46" spans="2:20" x14ac:dyDescent="0.25">
      <c r="B46" s="2"/>
      <c r="C46" s="3"/>
      <c r="D46" s="3" t="s">
        <v>68</v>
      </c>
      <c r="E46" s="3"/>
      <c r="F46" s="3"/>
      <c r="G46" s="3"/>
      <c r="H46" s="3"/>
      <c r="I46" s="3"/>
      <c r="J46" s="3"/>
      <c r="K46" s="3"/>
      <c r="L46" s="3"/>
      <c r="M46" s="3"/>
      <c r="N46" s="3"/>
      <c r="O46" s="3"/>
      <c r="P46" s="3"/>
      <c r="Q46" s="3"/>
      <c r="R46" s="3"/>
      <c r="S46" s="3"/>
      <c r="T46" s="4"/>
    </row>
    <row r="47" spans="2:20" x14ac:dyDescent="0.25">
      <c r="B47" s="2"/>
      <c r="C47" s="3"/>
      <c r="D47" s="3" t="s">
        <v>69</v>
      </c>
      <c r="E47" s="3"/>
      <c r="F47" s="3"/>
      <c r="G47" s="3"/>
      <c r="H47" s="3"/>
      <c r="I47" s="3"/>
      <c r="J47" s="3"/>
      <c r="K47" s="3"/>
      <c r="L47" s="3"/>
      <c r="M47" s="3"/>
      <c r="N47" s="3"/>
      <c r="O47" s="3"/>
      <c r="P47" s="3"/>
      <c r="Q47" s="3"/>
      <c r="R47" s="3"/>
      <c r="S47" s="3"/>
      <c r="T47" s="4"/>
    </row>
    <row r="48" spans="2:20" x14ac:dyDescent="0.25">
      <c r="B48" s="2"/>
      <c r="C48" s="3"/>
      <c r="D48" s="3" t="s">
        <v>64</v>
      </c>
      <c r="E48" s="3"/>
      <c r="F48" s="3"/>
      <c r="G48" s="3"/>
      <c r="H48" s="3"/>
      <c r="I48" s="3"/>
      <c r="J48" s="3"/>
      <c r="K48" s="3"/>
      <c r="L48" s="3"/>
      <c r="M48" s="3"/>
      <c r="N48" s="3"/>
      <c r="O48" s="3"/>
      <c r="P48" s="3"/>
      <c r="Q48" s="3"/>
      <c r="R48" s="3"/>
      <c r="S48" s="3"/>
      <c r="T48" s="4"/>
    </row>
    <row r="49" spans="2:20" x14ac:dyDescent="0.25">
      <c r="B49" s="2"/>
      <c r="C49" s="3"/>
      <c r="D49" s="3" t="s">
        <v>67</v>
      </c>
      <c r="E49" s="3"/>
      <c r="F49" s="3"/>
      <c r="G49" s="3"/>
      <c r="H49" s="3"/>
      <c r="I49" s="3"/>
      <c r="J49" s="3"/>
      <c r="K49" s="3"/>
      <c r="L49" s="3"/>
      <c r="M49" s="3"/>
      <c r="N49" s="3"/>
      <c r="O49" s="3"/>
      <c r="P49" s="3"/>
      <c r="Q49" s="3"/>
      <c r="R49" s="3"/>
      <c r="S49" s="3"/>
      <c r="T49" s="4"/>
    </row>
    <row r="50" spans="2:20" x14ac:dyDescent="0.25">
      <c r="B50" s="2"/>
      <c r="C50" s="3"/>
      <c r="D50" s="3" t="s">
        <v>70</v>
      </c>
      <c r="E50" s="3"/>
      <c r="F50" s="3"/>
      <c r="G50" s="3"/>
      <c r="H50" s="3"/>
      <c r="I50" s="3"/>
      <c r="J50" s="3"/>
      <c r="K50" s="3"/>
      <c r="L50" s="3"/>
      <c r="M50" s="3"/>
      <c r="N50" s="3"/>
      <c r="O50" s="3"/>
      <c r="P50" s="3"/>
      <c r="Q50" s="3"/>
      <c r="R50" s="3"/>
      <c r="S50" s="3"/>
      <c r="T50" s="4"/>
    </row>
    <row r="51" spans="2:20" x14ac:dyDescent="0.25">
      <c r="B51" s="2"/>
      <c r="C51" s="3"/>
      <c r="D51" s="3" t="s">
        <v>71</v>
      </c>
      <c r="E51" s="3"/>
      <c r="F51" s="3"/>
      <c r="G51" s="3"/>
      <c r="H51" s="3"/>
      <c r="I51" s="3"/>
      <c r="J51" s="3"/>
      <c r="K51" s="3"/>
      <c r="L51" s="3"/>
      <c r="M51" s="3"/>
      <c r="N51" s="3"/>
      <c r="O51" s="3"/>
      <c r="P51" s="3"/>
      <c r="Q51" s="3"/>
      <c r="R51" s="3"/>
      <c r="S51" s="3"/>
      <c r="T51" s="4"/>
    </row>
    <row r="52" spans="2:20" ht="15.75" thickBot="1" x14ac:dyDescent="0.3">
      <c r="B52" s="6"/>
      <c r="C52" s="7"/>
      <c r="D52" s="7"/>
      <c r="E52" s="7"/>
      <c r="F52" s="7"/>
      <c r="G52" s="7"/>
      <c r="H52" s="7"/>
      <c r="I52" s="7"/>
      <c r="J52" s="7"/>
      <c r="K52" s="7"/>
      <c r="L52" s="7"/>
      <c r="M52" s="7"/>
      <c r="N52" s="7"/>
      <c r="O52" s="7"/>
      <c r="P52" s="7"/>
      <c r="Q52" s="7"/>
      <c r="R52" s="7"/>
      <c r="S52" s="7"/>
      <c r="T52" s="8"/>
    </row>
    <row r="53" spans="2:20" ht="15.75" thickTop="1" x14ac:dyDescent="0.25"/>
  </sheetData>
  <sheetProtection algorithmName="SHA-512" hashValue="uiHbwOb1mybg5WuN5niPTtZMYVqYanwqltgN7buCi6JR2mTgslJL+nVR0owdHltpCNL2tjem4GqQ0uJC1VWgdA==" saltValue="xUbBA3r8e7JfHYdQXnBZ4g==" spinCount="100000" sheet="1" objects="1" scenarios="1"/>
  <mergeCells count="1">
    <mergeCell ref="B2:T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
  <sheetViews>
    <sheetView tabSelected="1" view="pageBreakPreview" zoomScale="140" zoomScaleNormal="100" zoomScaleSheetLayoutView="140" workbookViewId="0">
      <selection activeCell="H32" sqref="H32"/>
    </sheetView>
  </sheetViews>
  <sheetFormatPr defaultRowHeight="15" x14ac:dyDescent="0.25"/>
  <cols>
    <col min="1" max="14" width="9.140625" style="1"/>
    <col min="15" max="15" width="16.5703125" style="1" customWidth="1"/>
    <col min="16" max="16384" width="9.140625" style="1"/>
  </cols>
  <sheetData>
    <row r="39" ht="18.75" customHeight="1" x14ac:dyDescent="0.25"/>
  </sheetData>
  <printOptions horizontalCentered="1" verticalCentered="1"/>
  <pageMargins left="0" right="0" top="0" bottom="0" header="0" footer="0"/>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889"/>
  <sheetViews>
    <sheetView showGridLines="0" zoomScale="80" zoomScaleNormal="80" workbookViewId="0">
      <selection activeCell="C51" sqref="C51"/>
    </sheetView>
  </sheetViews>
  <sheetFormatPr defaultColWidth="8.85546875" defaultRowHeight="15" x14ac:dyDescent="0.25"/>
  <cols>
    <col min="1" max="1" width="9.140625" style="11" customWidth="1"/>
    <col min="2" max="2" width="14.28515625" style="11" customWidth="1"/>
    <col min="3" max="3" width="23.140625" style="14" customWidth="1"/>
    <col min="4" max="4" width="23.42578125" style="14" customWidth="1"/>
    <col min="5" max="5" width="14.28515625" style="14" customWidth="1"/>
    <col min="6" max="12" width="8.85546875" style="11" customWidth="1"/>
    <col min="13" max="13" width="11.5703125" style="11" customWidth="1"/>
    <col min="14" max="14" width="29.85546875" style="11" customWidth="1"/>
    <col min="15" max="15" width="26.28515625" style="11" customWidth="1"/>
    <col min="16" max="16" width="21" style="11" customWidth="1"/>
    <col min="17" max="17" width="34.5703125" style="11" customWidth="1"/>
    <col min="18" max="18" width="34.85546875" style="11" customWidth="1"/>
    <col min="19" max="24" width="15.28515625" style="11" customWidth="1"/>
    <col min="25" max="25" width="47.28515625" style="11" customWidth="1"/>
    <col min="26" max="26" width="52.28515625" style="11" customWidth="1"/>
    <col min="27" max="27" width="23.140625" style="11" customWidth="1"/>
    <col min="28" max="28" width="23.42578125" style="11" customWidth="1"/>
    <col min="29" max="29" width="26" style="11" customWidth="1"/>
    <col min="30" max="157" width="47.28515625" style="11" bestFit="1" customWidth="1"/>
    <col min="158" max="158" width="11.28515625" style="11" customWidth="1"/>
    <col min="159" max="159" width="45.28515625" style="11" bestFit="1" customWidth="1"/>
    <col min="160" max="160" width="10.7109375" style="11" bestFit="1" customWidth="1"/>
    <col min="161" max="16384" width="8.85546875" style="11"/>
  </cols>
  <sheetData>
    <row r="1" spans="2:14" ht="34.9" customHeight="1" thickBot="1" x14ac:dyDescent="0.3"/>
    <row r="2" spans="2:14" ht="70.150000000000006" customHeight="1" thickBot="1" x14ac:dyDescent="0.3">
      <c r="B2" s="741" t="s">
        <v>474</v>
      </c>
      <c r="C2" s="742"/>
      <c r="D2" s="742"/>
      <c r="E2" s="742"/>
      <c r="F2" s="742"/>
      <c r="G2" s="742"/>
      <c r="H2" s="742"/>
      <c r="I2" s="742"/>
      <c r="J2" s="742"/>
      <c r="K2" s="742"/>
      <c r="L2" s="742"/>
      <c r="M2" s="742"/>
      <c r="N2" s="743"/>
    </row>
    <row r="4" spans="2:14" ht="23.45" customHeight="1" x14ac:dyDescent="0.25">
      <c r="B4" s="38"/>
      <c r="C4" s="39"/>
      <c r="D4" s="15"/>
      <c r="E4" s="15"/>
      <c r="F4" s="12"/>
      <c r="G4" s="12"/>
      <c r="H4" s="12"/>
      <c r="I4" s="12"/>
      <c r="J4" s="12"/>
    </row>
    <row r="5" spans="2:14" ht="36.75" customHeight="1" x14ac:dyDescent="0.25">
      <c r="B5" s="744" t="s">
        <v>95</v>
      </c>
      <c r="C5" s="745"/>
      <c r="D5" s="745"/>
      <c r="E5" s="745"/>
      <c r="F5" s="745"/>
      <c r="G5" s="745"/>
      <c r="H5" s="745"/>
      <c r="I5" s="745"/>
      <c r="J5" s="745"/>
      <c r="K5" s="745"/>
      <c r="L5" s="745"/>
      <c r="M5" s="745"/>
      <c r="N5" s="746"/>
    </row>
    <row r="9" spans="2:14" x14ac:dyDescent="0.25">
      <c r="B9" s="309" t="s">
        <v>3</v>
      </c>
      <c r="C9" s="310" t="s">
        <v>467</v>
      </c>
    </row>
    <row r="10" spans="2:14" x14ac:dyDescent="0.25">
      <c r="B10" s="309" t="s">
        <v>263</v>
      </c>
      <c r="C10" s="310" t="s">
        <v>74</v>
      </c>
    </row>
    <row r="11" spans="2:14" x14ac:dyDescent="0.25">
      <c r="B11" s="309" t="s">
        <v>294</v>
      </c>
      <c r="C11" s="310" t="s">
        <v>74</v>
      </c>
    </row>
    <row r="13" spans="2:14" ht="30" x14ac:dyDescent="0.25">
      <c r="B13" s="312" t="s">
        <v>242</v>
      </c>
      <c r="C13" s="313" t="s">
        <v>713</v>
      </c>
      <c r="D13" s="313" t="s">
        <v>714</v>
      </c>
      <c r="E13" s="313" t="s">
        <v>715</v>
      </c>
    </row>
    <row r="14" spans="2:14" x14ac:dyDescent="0.25">
      <c r="B14" s="311" t="s">
        <v>218</v>
      </c>
      <c r="C14" s="314">
        <v>0.98990845966813767</v>
      </c>
      <c r="D14" s="314">
        <v>0.85278851210756179</v>
      </c>
      <c r="E14" s="314">
        <v>0.55443257951661218</v>
      </c>
    </row>
    <row r="15" spans="2:14" x14ac:dyDescent="0.25">
      <c r="B15" s="311" t="s">
        <v>226</v>
      </c>
      <c r="C15" s="314">
        <v>0.90223539994003399</v>
      </c>
      <c r="D15" s="314">
        <v>0.96568611120365122</v>
      </c>
      <c r="E15" s="314">
        <v>0.54145983942432618</v>
      </c>
    </row>
    <row r="16" spans="2:14" x14ac:dyDescent="0.25">
      <c r="B16" s="311" t="s">
        <v>73</v>
      </c>
      <c r="C16" s="314">
        <v>0.95422463276836156</v>
      </c>
      <c r="D16" s="314">
        <v>0.89873898305084743</v>
      </c>
      <c r="E16" s="314">
        <v>0.54915254237288136</v>
      </c>
    </row>
    <row r="17" spans="2:5" x14ac:dyDescent="0.25">
      <c r="B17"/>
      <c r="C17"/>
      <c r="D17"/>
    </row>
    <row r="18" spans="2:5" x14ac:dyDescent="0.25">
      <c r="B18"/>
      <c r="C18"/>
      <c r="D18"/>
    </row>
    <row r="19" spans="2:5" x14ac:dyDescent="0.25">
      <c r="B19"/>
      <c r="C19"/>
      <c r="D19"/>
    </row>
    <row r="20" spans="2:5" x14ac:dyDescent="0.25">
      <c r="B20"/>
      <c r="C20"/>
      <c r="D20"/>
    </row>
    <row r="21" spans="2:5" x14ac:dyDescent="0.25">
      <c r="B21"/>
      <c r="C21"/>
      <c r="D21"/>
    </row>
    <row r="22" spans="2:5" x14ac:dyDescent="0.25">
      <c r="B22"/>
      <c r="C22"/>
      <c r="D22"/>
    </row>
    <row r="25" spans="2:5" x14ac:dyDescent="0.25">
      <c r="B25" s="12"/>
      <c r="C25" s="30"/>
      <c r="D25" s="30"/>
      <c r="E25" s="30"/>
    </row>
    <row r="28" spans="2:5" x14ac:dyDescent="0.25">
      <c r="B28" s="29" t="s">
        <v>3</v>
      </c>
      <c r="C28" t="s">
        <v>467</v>
      </c>
    </row>
    <row r="29" spans="2:5" x14ac:dyDescent="0.25">
      <c r="B29" s="29" t="s">
        <v>263</v>
      </c>
      <c r="C29" t="s">
        <v>74</v>
      </c>
    </row>
    <row r="30" spans="2:5" x14ac:dyDescent="0.25">
      <c r="B30" s="29" t="s">
        <v>294</v>
      </c>
      <c r="C30" t="s">
        <v>74</v>
      </c>
    </row>
    <row r="32" spans="2:5" ht="30" x14ac:dyDescent="0.25">
      <c r="B32" s="308" t="s">
        <v>242</v>
      </c>
      <c r="C32" s="315" t="s">
        <v>688</v>
      </c>
      <c r="D32" s="315" t="s">
        <v>691</v>
      </c>
      <c r="E32" s="315" t="s">
        <v>690</v>
      </c>
    </row>
    <row r="33" spans="2:5" x14ac:dyDescent="0.25">
      <c r="B33" s="366" t="s">
        <v>180</v>
      </c>
      <c r="C33" s="303">
        <v>1</v>
      </c>
      <c r="D33" s="303">
        <v>0.76613014169762006</v>
      </c>
      <c r="E33" s="303">
        <v>0.42192873847847023</v>
      </c>
    </row>
    <row r="34" spans="2:5" x14ac:dyDescent="0.25">
      <c r="B34" s="366" t="s">
        <v>107</v>
      </c>
      <c r="C34" s="303">
        <v>1</v>
      </c>
      <c r="D34" s="303">
        <v>0.8477742448330684</v>
      </c>
      <c r="E34" s="303">
        <v>0.64825119236883944</v>
      </c>
    </row>
    <row r="35" spans="2:5" x14ac:dyDescent="0.25">
      <c r="B35" s="366" t="s">
        <v>110</v>
      </c>
      <c r="C35" s="303">
        <v>1</v>
      </c>
      <c r="D35" s="303">
        <v>0.79617486338797816</v>
      </c>
      <c r="E35" s="303">
        <v>0.72923497267759563</v>
      </c>
    </row>
    <row r="36" spans="2:5" x14ac:dyDescent="0.25">
      <c r="B36" s="366" t="s">
        <v>128</v>
      </c>
      <c r="C36" s="303">
        <v>0</v>
      </c>
      <c r="D36" s="303">
        <v>0</v>
      </c>
      <c r="E36" s="303">
        <v>0</v>
      </c>
    </row>
    <row r="37" spans="2:5" x14ac:dyDescent="0.25">
      <c r="B37" s="366" t="s">
        <v>205</v>
      </c>
      <c r="C37" s="303">
        <v>1</v>
      </c>
      <c r="D37" s="303">
        <v>0.93780918727915197</v>
      </c>
      <c r="E37" s="303">
        <v>0.30035335689045939</v>
      </c>
    </row>
    <row r="38" spans="2:5" x14ac:dyDescent="0.25">
      <c r="B38" s="366" t="s">
        <v>325</v>
      </c>
      <c r="C38" s="303">
        <v>1</v>
      </c>
      <c r="D38" s="303">
        <v>0.5714285714285714</v>
      </c>
      <c r="E38" s="303">
        <v>0</v>
      </c>
    </row>
    <row r="39" spans="2:5" x14ac:dyDescent="0.25">
      <c r="B39" s="366" t="s">
        <v>186</v>
      </c>
      <c r="C39" s="303">
        <v>0.99250834091598417</v>
      </c>
      <c r="D39" s="303">
        <v>0.87270245677888991</v>
      </c>
      <c r="E39" s="303">
        <v>0.38225659690627845</v>
      </c>
    </row>
    <row r="40" spans="2:5" x14ac:dyDescent="0.25">
      <c r="B40" s="366" t="s">
        <v>187</v>
      </c>
      <c r="C40" s="303">
        <v>1</v>
      </c>
      <c r="D40" s="303">
        <v>1</v>
      </c>
      <c r="E40" s="303">
        <v>0.52601156069364163</v>
      </c>
    </row>
    <row r="41" spans="2:5" x14ac:dyDescent="0.25">
      <c r="B41" s="366" t="s">
        <v>225</v>
      </c>
      <c r="C41" s="303">
        <v>1</v>
      </c>
      <c r="D41" s="303">
        <v>1</v>
      </c>
      <c r="E41" s="303">
        <v>1</v>
      </c>
    </row>
    <row r="42" spans="2:5" x14ac:dyDescent="0.25">
      <c r="B42" s="366" t="s">
        <v>133</v>
      </c>
      <c r="C42" s="303">
        <v>1</v>
      </c>
      <c r="D42" s="303">
        <v>1</v>
      </c>
      <c r="E42" s="303">
        <v>1</v>
      </c>
    </row>
    <row r="43" spans="2:5" x14ac:dyDescent="0.25">
      <c r="B43" s="366" t="s">
        <v>188</v>
      </c>
      <c r="C43" s="303">
        <v>0.84023301393728222</v>
      </c>
      <c r="D43" s="303">
        <v>0.95263501742160284</v>
      </c>
      <c r="E43" s="303">
        <v>0.57540287456445993</v>
      </c>
    </row>
    <row r="44" spans="2:5" x14ac:dyDescent="0.25">
      <c r="B44" s="366" t="s">
        <v>214</v>
      </c>
      <c r="C44" s="303">
        <v>0.90513833992094861</v>
      </c>
      <c r="D44" s="303">
        <v>1</v>
      </c>
      <c r="E44" s="303">
        <v>1</v>
      </c>
    </row>
    <row r="45" spans="2:5" x14ac:dyDescent="0.25">
      <c r="B45" s="366" t="s">
        <v>135</v>
      </c>
      <c r="C45" s="303">
        <v>1</v>
      </c>
      <c r="D45" s="303">
        <v>0.88870650032829945</v>
      </c>
      <c r="E45" s="303">
        <v>0.58782009192383455</v>
      </c>
    </row>
    <row r="46" spans="2:5" x14ac:dyDescent="0.25">
      <c r="B46" s="366" t="s">
        <v>486</v>
      </c>
      <c r="C46" s="303">
        <v>1</v>
      </c>
      <c r="D46" s="303">
        <v>0.88266199649737298</v>
      </c>
      <c r="E46" s="303">
        <v>0.81611208406304725</v>
      </c>
    </row>
    <row r="47" spans="2:5" x14ac:dyDescent="0.25">
      <c r="B47" s="366" t="s">
        <v>232</v>
      </c>
      <c r="C47" s="303">
        <v>1</v>
      </c>
      <c r="D47" s="303">
        <v>1</v>
      </c>
      <c r="E47" s="303">
        <v>1</v>
      </c>
    </row>
    <row r="48" spans="2:5" x14ac:dyDescent="0.25">
      <c r="B48" s="366" t="s">
        <v>224</v>
      </c>
      <c r="C48" s="303">
        <v>0.57396449704142016</v>
      </c>
      <c r="D48" s="303">
        <v>0.72189349112426038</v>
      </c>
      <c r="E48" s="303">
        <v>0</v>
      </c>
    </row>
    <row r="49" spans="2:5" x14ac:dyDescent="0.25">
      <c r="B49" s="366" t="s">
        <v>223</v>
      </c>
      <c r="C49" s="303">
        <v>1</v>
      </c>
      <c r="D49" s="303">
        <v>1</v>
      </c>
      <c r="E49" s="303">
        <v>1</v>
      </c>
    </row>
    <row r="50" spans="2:5" x14ac:dyDescent="0.25">
      <c r="B50" s="366" t="s">
        <v>158</v>
      </c>
      <c r="C50" s="303">
        <v>1</v>
      </c>
      <c r="D50" s="303">
        <v>0.95613149332435765</v>
      </c>
      <c r="E50" s="303">
        <v>0.61971277908672728</v>
      </c>
    </row>
    <row r="51" spans="2:5" x14ac:dyDescent="0.25">
      <c r="B51" s="366" t="s">
        <v>808</v>
      </c>
      <c r="C51" s="303">
        <v>0.6384364820846905</v>
      </c>
      <c r="D51" s="303">
        <v>0.26058631921824105</v>
      </c>
      <c r="E51" s="303">
        <v>0</v>
      </c>
    </row>
    <row r="52" spans="2:5" x14ac:dyDescent="0.25">
      <c r="B52" s="26" t="s">
        <v>73</v>
      </c>
      <c r="C52" s="303">
        <v>0.95422463276836178</v>
      </c>
      <c r="D52" s="303">
        <v>0.89873898305084743</v>
      </c>
      <c r="E52" s="303">
        <v>0.54915254237288136</v>
      </c>
    </row>
    <row r="53" spans="2:5" x14ac:dyDescent="0.25">
      <c r="B53"/>
      <c r="C53"/>
      <c r="D53"/>
      <c r="E53"/>
    </row>
    <row r="54" spans="2:5" x14ac:dyDescent="0.25">
      <c r="B54"/>
      <c r="C54"/>
      <c r="D54"/>
      <c r="E54"/>
    </row>
    <row r="55" spans="2:5" x14ac:dyDescent="0.25">
      <c r="B55"/>
      <c r="C55"/>
      <c r="D55"/>
      <c r="E55"/>
    </row>
    <row r="56" spans="2:5" x14ac:dyDescent="0.25">
      <c r="B56" s="12"/>
      <c r="C56" s="15"/>
      <c r="D56" s="15"/>
      <c r="E56" s="15"/>
    </row>
    <row r="57" spans="2:5" x14ac:dyDescent="0.25">
      <c r="B57" s="12"/>
      <c r="C57" s="15"/>
      <c r="D57" s="15"/>
      <c r="E57" s="15"/>
    </row>
    <row r="58" spans="2:5" x14ac:dyDescent="0.25">
      <c r="B58" s="12"/>
      <c r="C58" s="15"/>
      <c r="D58" s="15"/>
      <c r="E58" s="15"/>
    </row>
    <row r="59" spans="2:5" x14ac:dyDescent="0.25">
      <c r="B59" s="29" t="s">
        <v>3</v>
      </c>
      <c r="C59" t="s">
        <v>467</v>
      </c>
      <c r="D59" s="15"/>
      <c r="E59" s="15"/>
    </row>
    <row r="60" spans="2:5" x14ac:dyDescent="0.25">
      <c r="B60" s="29" t="s">
        <v>4</v>
      </c>
      <c r="C60" t="s">
        <v>74</v>
      </c>
    </row>
    <row r="61" spans="2:5" x14ac:dyDescent="0.25">
      <c r="B61" s="29" t="s">
        <v>294</v>
      </c>
      <c r="C61" t="s">
        <v>74</v>
      </c>
    </row>
    <row r="63" spans="2:5" ht="30" x14ac:dyDescent="0.25">
      <c r="B63" s="308" t="s">
        <v>242</v>
      </c>
      <c r="C63" s="315" t="s">
        <v>688</v>
      </c>
      <c r="D63" s="315" t="s">
        <v>689</v>
      </c>
      <c r="E63" s="315" t="s">
        <v>690</v>
      </c>
    </row>
    <row r="64" spans="2:5" x14ac:dyDescent="0.25">
      <c r="B64" s="26" t="s">
        <v>264</v>
      </c>
      <c r="C64" s="303">
        <v>1</v>
      </c>
      <c r="D64" s="303">
        <v>0.79617486338797816</v>
      </c>
      <c r="E64" s="303">
        <v>0.72923497267759563</v>
      </c>
    </row>
    <row r="65" spans="2:27" x14ac:dyDescent="0.25">
      <c r="B65" s="26" t="s">
        <v>322</v>
      </c>
      <c r="C65" s="303">
        <v>0.96748264523200589</v>
      </c>
      <c r="D65" s="303">
        <v>0.83120204603580561</v>
      </c>
      <c r="E65" s="303">
        <v>0.59590792838874684</v>
      </c>
    </row>
    <row r="66" spans="2:27" x14ac:dyDescent="0.25">
      <c r="B66" s="26" t="s">
        <v>265</v>
      </c>
      <c r="C66" s="303">
        <v>1</v>
      </c>
      <c r="D66" s="303">
        <v>0.90662262326780529</v>
      </c>
      <c r="E66" s="303">
        <v>0.57009345794392519</v>
      </c>
    </row>
    <row r="67" spans="2:27" x14ac:dyDescent="0.25">
      <c r="B67" s="26" t="s">
        <v>266</v>
      </c>
      <c r="C67" s="303">
        <v>1</v>
      </c>
      <c r="D67" s="303">
        <v>1</v>
      </c>
      <c r="E67" s="303">
        <v>1</v>
      </c>
    </row>
    <row r="68" spans="2:27" x14ac:dyDescent="0.25">
      <c r="B68" s="26" t="s">
        <v>267</v>
      </c>
      <c r="C68" s="303">
        <v>1</v>
      </c>
      <c r="D68" s="303">
        <v>0.80418612696765268</v>
      </c>
      <c r="E68" s="303">
        <v>0.52551461684829615</v>
      </c>
    </row>
    <row r="69" spans="2:27" x14ac:dyDescent="0.25">
      <c r="B69" s="26" t="s">
        <v>268</v>
      </c>
      <c r="C69" s="303">
        <v>0.85550960118168395</v>
      </c>
      <c r="D69" s="303">
        <v>0.98517971442639096</v>
      </c>
      <c r="E69" s="303">
        <v>0.64263909404234365</v>
      </c>
    </row>
    <row r="70" spans="2:27" x14ac:dyDescent="0.25">
      <c r="B70" s="26" t="s">
        <v>273</v>
      </c>
      <c r="C70" s="303">
        <v>1</v>
      </c>
      <c r="D70" s="303">
        <v>0.89868995633187776</v>
      </c>
      <c r="E70" s="303">
        <v>0.3980944819372767</v>
      </c>
    </row>
    <row r="71" spans="2:27" x14ac:dyDescent="0.25">
      <c r="B71" s="26" t="s">
        <v>274</v>
      </c>
      <c r="C71" s="303">
        <v>0.97943620490165151</v>
      </c>
      <c r="D71" s="303">
        <v>0.90059955822025872</v>
      </c>
      <c r="E71" s="303">
        <v>0.56863363837172609</v>
      </c>
    </row>
    <row r="72" spans="2:27" x14ac:dyDescent="0.25">
      <c r="B72" s="26" t="s">
        <v>275</v>
      </c>
      <c r="C72" s="303">
        <v>0.93554006968641112</v>
      </c>
      <c r="D72" s="303">
        <v>0.81707317073170727</v>
      </c>
      <c r="E72" s="303">
        <v>0.24680603948896632</v>
      </c>
    </row>
    <row r="73" spans="2:27" x14ac:dyDescent="0.25">
      <c r="B73" s="26" t="s">
        <v>276</v>
      </c>
      <c r="C73" s="303">
        <v>1</v>
      </c>
      <c r="D73" s="303">
        <v>1</v>
      </c>
      <c r="E73" s="303">
        <v>0.58269720101781175</v>
      </c>
    </row>
    <row r="74" spans="2:27" x14ac:dyDescent="0.25">
      <c r="B74" s="26" t="s">
        <v>73</v>
      </c>
      <c r="C74" s="303">
        <v>0.95422463276836156</v>
      </c>
      <c r="D74" s="303">
        <v>0.89873898305084743</v>
      </c>
      <c r="E74" s="303">
        <v>0.54915254237288136</v>
      </c>
    </row>
    <row r="75" spans="2:27" x14ac:dyDescent="0.25">
      <c r="B75" s="12"/>
      <c r="C75" s="15"/>
      <c r="D75" s="15"/>
      <c r="E75" s="15"/>
    </row>
    <row r="76" spans="2:27" x14ac:dyDescent="0.25">
      <c r="B76"/>
      <c r="C76"/>
      <c r="D76" s="15"/>
      <c r="E76" s="15"/>
    </row>
    <row r="77" spans="2:27" x14ac:dyDescent="0.25">
      <c r="B77"/>
      <c r="C77"/>
      <c r="D77" s="15"/>
      <c r="E77" s="15"/>
    </row>
    <row r="78" spans="2:27" x14ac:dyDescent="0.25">
      <c r="B78" s="319"/>
      <c r="C78" s="319"/>
      <c r="D78" s="15"/>
      <c r="E78" s="15"/>
      <c r="Z78" s="29" t="s">
        <v>0</v>
      </c>
      <c r="AA78" t="s">
        <v>74</v>
      </c>
    </row>
    <row r="79" spans="2:27" x14ac:dyDescent="0.25">
      <c r="B79" s="319"/>
      <c r="C79" s="319"/>
      <c r="D79" s="319"/>
      <c r="E79" s="15"/>
      <c r="Z79" s="29" t="s">
        <v>263</v>
      </c>
      <c r="AA79" t="s">
        <v>74</v>
      </c>
    </row>
    <row r="80" spans="2:27" x14ac:dyDescent="0.25">
      <c r="E80" s="15"/>
      <c r="Z80" s="29" t="s">
        <v>4</v>
      </c>
      <c r="AA80" t="s">
        <v>74</v>
      </c>
    </row>
    <row r="81" spans="5:29" x14ac:dyDescent="0.25">
      <c r="E81" s="15"/>
      <c r="Z81" s="29" t="s">
        <v>3</v>
      </c>
      <c r="AA81" t="s">
        <v>467</v>
      </c>
    </row>
    <row r="82" spans="5:29" x14ac:dyDescent="0.25">
      <c r="E82" s="15"/>
    </row>
    <row r="83" spans="5:29" x14ac:dyDescent="0.25">
      <c r="E83" s="15"/>
      <c r="Z83" s="29" t="s">
        <v>242</v>
      </c>
      <c r="AA83" t="s">
        <v>688</v>
      </c>
      <c r="AB83" t="s">
        <v>689</v>
      </c>
      <c r="AC83" t="s">
        <v>690</v>
      </c>
    </row>
    <row r="84" spans="5:29" x14ac:dyDescent="0.25">
      <c r="E84" s="15"/>
      <c r="Z84" s="26" t="s">
        <v>111</v>
      </c>
      <c r="AA84" s="27">
        <v>1</v>
      </c>
      <c r="AB84" s="27">
        <v>0.27777777777777779</v>
      </c>
      <c r="AC84" s="27">
        <v>0.55555555555555558</v>
      </c>
    </row>
    <row r="85" spans="5:29" x14ac:dyDescent="0.25">
      <c r="E85" s="15"/>
      <c r="Z85" s="26" t="s">
        <v>112</v>
      </c>
      <c r="AA85" s="27">
        <v>1</v>
      </c>
      <c r="AB85" s="27">
        <v>0.89411764705882357</v>
      </c>
      <c r="AC85" s="27">
        <v>0.47058823529411764</v>
      </c>
    </row>
    <row r="86" spans="5:29" x14ac:dyDescent="0.25">
      <c r="E86" s="15"/>
      <c r="Z86" s="26" t="s">
        <v>665</v>
      </c>
      <c r="AA86" s="27">
        <v>1</v>
      </c>
      <c r="AB86" s="27">
        <v>0.5977011494252874</v>
      </c>
      <c r="AC86" s="27">
        <v>0.22988505747126436</v>
      </c>
    </row>
    <row r="87" spans="5:29" x14ac:dyDescent="0.25">
      <c r="E87" s="15"/>
      <c r="Z87" s="26" t="s">
        <v>281</v>
      </c>
      <c r="AA87" s="27">
        <v>1</v>
      </c>
      <c r="AB87" s="27">
        <v>0.53191489361702127</v>
      </c>
      <c r="AC87" s="27">
        <v>0.21276595744680851</v>
      </c>
    </row>
    <row r="88" spans="5:29" x14ac:dyDescent="0.25">
      <c r="E88" s="15"/>
      <c r="Z88" s="26" t="s">
        <v>113</v>
      </c>
      <c r="AA88" s="27">
        <v>1</v>
      </c>
      <c r="AB88" s="27">
        <v>0.8875739644970414</v>
      </c>
      <c r="AC88" s="27">
        <v>0.59171597633136097</v>
      </c>
    </row>
    <row r="89" spans="5:29" x14ac:dyDescent="0.25">
      <c r="E89" s="15"/>
      <c r="Z89" s="26" t="s">
        <v>114</v>
      </c>
      <c r="AA89" s="27">
        <v>1</v>
      </c>
      <c r="AB89" s="27">
        <v>1</v>
      </c>
      <c r="AC89" s="27">
        <v>1</v>
      </c>
    </row>
    <row r="90" spans="5:29" x14ac:dyDescent="0.25">
      <c r="E90" s="15"/>
      <c r="Z90" s="26" t="s">
        <v>480</v>
      </c>
      <c r="AA90" s="27">
        <v>1</v>
      </c>
      <c r="AB90" s="27">
        <v>0.98684210526315785</v>
      </c>
      <c r="AC90" s="27">
        <v>0.49342105263157893</v>
      </c>
    </row>
    <row r="91" spans="5:29" x14ac:dyDescent="0.25">
      <c r="E91" s="15"/>
      <c r="Z91" s="26" t="s">
        <v>181</v>
      </c>
      <c r="AA91" s="27">
        <v>1</v>
      </c>
      <c r="AB91" s="27">
        <v>1</v>
      </c>
      <c r="AC91" s="27">
        <v>0</v>
      </c>
    </row>
    <row r="92" spans="5:29" x14ac:dyDescent="0.25">
      <c r="E92" s="15"/>
      <c r="Z92" s="26" t="s">
        <v>487</v>
      </c>
      <c r="AA92" s="27">
        <v>1</v>
      </c>
      <c r="AB92" s="27">
        <v>1</v>
      </c>
      <c r="AC92" s="27">
        <v>1</v>
      </c>
    </row>
    <row r="93" spans="5:29" x14ac:dyDescent="0.25">
      <c r="E93" s="15"/>
      <c r="Z93" s="26" t="s">
        <v>115</v>
      </c>
      <c r="AA93" s="27">
        <v>1</v>
      </c>
      <c r="AB93" s="27">
        <v>0.91743119266055051</v>
      </c>
      <c r="AC93" s="27">
        <v>0.91743119266055051</v>
      </c>
    </row>
    <row r="94" spans="5:29" x14ac:dyDescent="0.25">
      <c r="E94" s="15"/>
      <c r="Z94" s="26" t="s">
        <v>116</v>
      </c>
      <c r="AA94" s="27">
        <v>1</v>
      </c>
      <c r="AB94" s="27">
        <v>1</v>
      </c>
      <c r="AC94" s="27">
        <v>1</v>
      </c>
    </row>
    <row r="95" spans="5:29" x14ac:dyDescent="0.25">
      <c r="E95" s="15"/>
      <c r="Z95" s="26" t="s">
        <v>705</v>
      </c>
      <c r="AA95" s="27">
        <v>1</v>
      </c>
      <c r="AB95" s="27">
        <v>1</v>
      </c>
      <c r="AC95" s="27">
        <v>1</v>
      </c>
    </row>
    <row r="96" spans="5:29" x14ac:dyDescent="0.25">
      <c r="E96" s="15"/>
      <c r="Z96" s="26" t="s">
        <v>227</v>
      </c>
      <c r="AA96" s="27">
        <v>1</v>
      </c>
      <c r="AB96" s="27">
        <v>1</v>
      </c>
      <c r="AC96" s="27">
        <v>0.15503875968992248</v>
      </c>
    </row>
    <row r="97" spans="2:29" x14ac:dyDescent="0.25">
      <c r="E97" s="15"/>
      <c r="Z97" s="26" t="s">
        <v>643</v>
      </c>
      <c r="AA97" s="27">
        <v>1</v>
      </c>
      <c r="AB97" s="27">
        <v>1</v>
      </c>
      <c r="AC97" s="27">
        <v>0.53908355795148244</v>
      </c>
    </row>
    <row r="98" spans="2:29" x14ac:dyDescent="0.25">
      <c r="B98"/>
      <c r="C98"/>
      <c r="D98"/>
      <c r="E98" s="15"/>
      <c r="Z98" s="26" t="s">
        <v>644</v>
      </c>
      <c r="AA98" s="27">
        <v>1</v>
      </c>
      <c r="AB98" s="27">
        <v>1</v>
      </c>
      <c r="AC98" s="27">
        <v>0.34168564920273348</v>
      </c>
    </row>
    <row r="99" spans="2:29" x14ac:dyDescent="0.25">
      <c r="B99"/>
      <c r="C99"/>
      <c r="D99"/>
      <c r="Z99" s="26" t="s">
        <v>117</v>
      </c>
      <c r="AA99" s="27">
        <v>1</v>
      </c>
      <c r="AB99" s="27">
        <v>1</v>
      </c>
      <c r="AC99" s="27">
        <v>1</v>
      </c>
    </row>
    <row r="100" spans="2:29" x14ac:dyDescent="0.25">
      <c r="B100"/>
      <c r="C100"/>
      <c r="D100"/>
      <c r="Z100" s="26" t="s">
        <v>108</v>
      </c>
      <c r="AA100" s="27">
        <v>1</v>
      </c>
      <c r="AB100" s="27">
        <v>0.5725190839694656</v>
      </c>
      <c r="AC100" s="27">
        <v>0.76335877862595425</v>
      </c>
    </row>
    <row r="101" spans="2:29" x14ac:dyDescent="0.25">
      <c r="B101"/>
      <c r="C101"/>
      <c r="D101"/>
      <c r="Z101" s="26" t="s">
        <v>709</v>
      </c>
      <c r="AA101" s="27">
        <v>1</v>
      </c>
      <c r="AB101" s="27">
        <v>1</v>
      </c>
      <c r="AC101" s="27">
        <v>0.96899224806201545</v>
      </c>
    </row>
    <row r="102" spans="2:29" x14ac:dyDescent="0.25">
      <c r="B102"/>
      <c r="C102"/>
      <c r="D102"/>
      <c r="Z102" s="26" t="s">
        <v>118</v>
      </c>
      <c r="AA102" s="27">
        <v>1</v>
      </c>
      <c r="AB102" s="27">
        <v>1</v>
      </c>
      <c r="AC102" s="27">
        <v>0.89552238805970152</v>
      </c>
    </row>
    <row r="103" spans="2:29" x14ac:dyDescent="0.25">
      <c r="B103"/>
      <c r="C103"/>
      <c r="D103"/>
      <c r="Z103" s="26" t="s">
        <v>136</v>
      </c>
      <c r="AA103" s="27">
        <v>1</v>
      </c>
      <c r="AB103" s="27">
        <v>0.7407407407407407</v>
      </c>
      <c r="AC103" s="27">
        <v>1</v>
      </c>
    </row>
    <row r="104" spans="2:29" x14ac:dyDescent="0.25">
      <c r="B104"/>
      <c r="C104"/>
      <c r="D104"/>
      <c r="Z104" s="26" t="s">
        <v>137</v>
      </c>
      <c r="AA104" s="27">
        <v>1</v>
      </c>
      <c r="AB104" s="27">
        <v>1</v>
      </c>
      <c r="AC104" s="27">
        <v>1</v>
      </c>
    </row>
    <row r="105" spans="2:29" x14ac:dyDescent="0.25">
      <c r="B105"/>
      <c r="C105"/>
      <c r="D105"/>
      <c r="Z105" s="26" t="s">
        <v>138</v>
      </c>
      <c r="AA105" s="27">
        <v>1</v>
      </c>
      <c r="AB105" s="27">
        <v>0.76923076923076927</v>
      </c>
      <c r="AC105" s="27">
        <v>1</v>
      </c>
    </row>
    <row r="106" spans="2:29" x14ac:dyDescent="0.25">
      <c r="B106"/>
      <c r="C106"/>
      <c r="D106"/>
      <c r="Z106" s="26" t="s">
        <v>189</v>
      </c>
      <c r="AA106" s="27">
        <v>1</v>
      </c>
      <c r="AB106" s="27">
        <v>1</v>
      </c>
      <c r="AC106" s="27">
        <v>0.64516129032258063</v>
      </c>
    </row>
    <row r="107" spans="2:29" x14ac:dyDescent="0.25">
      <c r="Z107" s="26" t="s">
        <v>159</v>
      </c>
      <c r="AA107" s="27">
        <v>1</v>
      </c>
      <c r="AB107" s="27">
        <v>1</v>
      </c>
      <c r="AC107" s="27">
        <v>0.79207920792079212</v>
      </c>
    </row>
    <row r="108" spans="2:29" s="12" customFormat="1" x14ac:dyDescent="0.25">
      <c r="C108" s="15"/>
      <c r="D108" s="15"/>
      <c r="E108" s="15"/>
      <c r="Z108" s="26" t="s">
        <v>160</v>
      </c>
      <c r="AA108" s="27">
        <v>1</v>
      </c>
      <c r="AB108" s="27">
        <v>1</v>
      </c>
      <c r="AC108" s="27">
        <v>0.25951557093425603</v>
      </c>
    </row>
    <row r="109" spans="2:29" s="12" customFormat="1" x14ac:dyDescent="0.25">
      <c r="C109" s="15"/>
      <c r="D109" s="15"/>
      <c r="E109" s="15"/>
      <c r="Z109" s="26" t="s">
        <v>228</v>
      </c>
      <c r="AA109" s="27">
        <v>1</v>
      </c>
      <c r="AB109" s="27">
        <v>1</v>
      </c>
      <c r="AC109" s="27">
        <v>1</v>
      </c>
    </row>
    <row r="110" spans="2:29" s="12" customFormat="1" x14ac:dyDescent="0.25">
      <c r="C110" s="15"/>
      <c r="D110" s="15"/>
      <c r="E110" s="15"/>
      <c r="Z110" s="26" t="s">
        <v>119</v>
      </c>
      <c r="AA110" s="27">
        <v>1</v>
      </c>
      <c r="AB110" s="27">
        <v>1</v>
      </c>
      <c r="AC110" s="27">
        <v>1</v>
      </c>
    </row>
    <row r="111" spans="2:29" s="12" customFormat="1" x14ac:dyDescent="0.25">
      <c r="C111" s="15"/>
      <c r="D111" s="15"/>
      <c r="E111" s="15"/>
      <c r="Z111" s="26" t="s">
        <v>257</v>
      </c>
      <c r="AA111" s="27">
        <v>1</v>
      </c>
      <c r="AB111" s="27">
        <v>0.61657032755298646</v>
      </c>
      <c r="AC111" s="27">
        <v>0.5780346820809249</v>
      </c>
    </row>
    <row r="112" spans="2:29" s="12" customFormat="1" x14ac:dyDescent="0.25">
      <c r="B112" s="11"/>
      <c r="C112" s="14"/>
      <c r="D112" s="14"/>
      <c r="E112" s="14"/>
      <c r="F112" s="11"/>
      <c r="G112" s="11"/>
      <c r="H112" s="11"/>
      <c r="Z112" s="26" t="s">
        <v>221</v>
      </c>
      <c r="AA112" s="27">
        <v>1</v>
      </c>
      <c r="AB112" s="27">
        <v>1</v>
      </c>
      <c r="AC112" s="27">
        <v>0.45819014891179838</v>
      </c>
    </row>
    <row r="113" spans="2:29" s="12" customFormat="1" x14ac:dyDescent="0.25">
      <c r="B113" s="11"/>
      <c r="C113" s="14"/>
      <c r="D113" s="14"/>
      <c r="E113" s="14"/>
      <c r="F113" s="11"/>
      <c r="G113" s="11"/>
      <c r="H113" s="11"/>
      <c r="Z113" s="26" t="s">
        <v>190</v>
      </c>
      <c r="AA113" s="27">
        <v>1</v>
      </c>
      <c r="AB113" s="27">
        <v>1</v>
      </c>
      <c r="AC113" s="27">
        <v>0.26223776223776224</v>
      </c>
    </row>
    <row r="114" spans="2:29" s="12" customFormat="1" x14ac:dyDescent="0.25">
      <c r="B114" s="29" t="s">
        <v>3</v>
      </c>
      <c r="C114" t="s">
        <v>467</v>
      </c>
      <c r="D114" s="14"/>
      <c r="E114" s="14"/>
      <c r="F114" s="11"/>
      <c r="G114" s="11"/>
      <c r="H114" s="11"/>
      <c r="Z114" s="26" t="s">
        <v>282</v>
      </c>
      <c r="AA114" s="27">
        <v>1</v>
      </c>
      <c r="AB114" s="27">
        <v>0.76271186440677963</v>
      </c>
      <c r="AC114" s="27">
        <v>0.84745762711864403</v>
      </c>
    </row>
    <row r="115" spans="2:29" s="12" customFormat="1" x14ac:dyDescent="0.25">
      <c r="B115" s="29" t="s">
        <v>4</v>
      </c>
      <c r="C115" t="s">
        <v>74</v>
      </c>
      <c r="D115" s="14"/>
      <c r="E115" s="14"/>
      <c r="F115" s="11"/>
      <c r="G115" s="11"/>
      <c r="H115" s="11"/>
      <c r="Z115" s="26" t="s">
        <v>139</v>
      </c>
      <c r="AA115" s="27">
        <v>1</v>
      </c>
      <c r="AB115" s="27">
        <v>1</v>
      </c>
      <c r="AC115" s="27">
        <v>0.41067761806981518</v>
      </c>
    </row>
    <row r="116" spans="2:29" s="12" customFormat="1" x14ac:dyDescent="0.25">
      <c r="B116" s="29" t="s">
        <v>294</v>
      </c>
      <c r="C116" t="s">
        <v>74</v>
      </c>
      <c r="D116" s="14"/>
      <c r="E116" s="14"/>
      <c r="F116" s="11"/>
      <c r="G116" s="11"/>
      <c r="H116" s="11"/>
      <c r="Z116" s="26" t="s">
        <v>140</v>
      </c>
      <c r="AA116" s="27">
        <v>1</v>
      </c>
      <c r="AB116" s="27">
        <v>0.85470085470085466</v>
      </c>
      <c r="AC116" s="27">
        <v>0.21367521367521367</v>
      </c>
    </row>
    <row r="117" spans="2:29" s="12" customFormat="1" x14ac:dyDescent="0.25">
      <c r="B117" s="11"/>
      <c r="C117" s="14"/>
      <c r="D117" s="14"/>
      <c r="E117" s="14"/>
      <c r="F117" s="11"/>
      <c r="G117" s="11"/>
      <c r="H117" s="11"/>
      <c r="Z117" s="26" t="s">
        <v>488</v>
      </c>
      <c r="AA117" s="27">
        <v>1</v>
      </c>
      <c r="AB117" s="27">
        <v>0.91743119266055051</v>
      </c>
      <c r="AC117" s="27">
        <v>1</v>
      </c>
    </row>
    <row r="118" spans="2:29" s="12" customFormat="1" ht="30" x14ac:dyDescent="0.25">
      <c r="B118" s="308" t="s">
        <v>242</v>
      </c>
      <c r="C118" s="313" t="s">
        <v>688</v>
      </c>
      <c r="D118" s="313" t="s">
        <v>689</v>
      </c>
      <c r="E118" s="313" t="s">
        <v>690</v>
      </c>
      <c r="F118" s="11"/>
      <c r="G118" s="11"/>
      <c r="H118" s="11"/>
      <c r="Z118" s="26" t="s">
        <v>203</v>
      </c>
      <c r="AA118" s="27">
        <v>0.5496316758747698</v>
      </c>
      <c r="AB118" s="27">
        <v>1</v>
      </c>
      <c r="AC118" s="27">
        <v>0.75199508901166356</v>
      </c>
    </row>
    <row r="119" spans="2:29" s="12" customFormat="1" x14ac:dyDescent="0.25">
      <c r="B119" s="26" t="s">
        <v>79</v>
      </c>
      <c r="C119" s="314">
        <v>0.98232714138286892</v>
      </c>
      <c r="D119" s="314">
        <v>0.94401444788441691</v>
      </c>
      <c r="E119" s="314">
        <v>0.84739422084623328</v>
      </c>
      <c r="F119" s="11"/>
      <c r="G119" s="11"/>
      <c r="H119" s="11"/>
      <c r="Z119" s="26" t="s">
        <v>481</v>
      </c>
      <c r="AA119" s="27">
        <v>1</v>
      </c>
      <c r="AB119" s="27">
        <v>1</v>
      </c>
      <c r="AC119" s="27">
        <v>1</v>
      </c>
    </row>
    <row r="120" spans="2:29" s="12" customFormat="1" x14ac:dyDescent="0.25">
      <c r="B120" s="26" t="s">
        <v>78</v>
      </c>
      <c r="C120" s="314">
        <v>0.99092706873764036</v>
      </c>
      <c r="D120" s="314">
        <v>0.8538592254717825</v>
      </c>
      <c r="E120" s="314">
        <v>0.53653519363205437</v>
      </c>
      <c r="F120" s="11"/>
      <c r="G120" s="11"/>
      <c r="H120" s="11"/>
      <c r="Z120" s="26" t="s">
        <v>482</v>
      </c>
      <c r="AA120" s="27">
        <v>1</v>
      </c>
      <c r="AB120" s="27">
        <v>1</v>
      </c>
      <c r="AC120" s="27">
        <v>1</v>
      </c>
    </row>
    <row r="121" spans="2:29" s="12" customFormat="1" x14ac:dyDescent="0.25">
      <c r="B121" s="26" t="s">
        <v>80</v>
      </c>
      <c r="C121" s="314">
        <v>1</v>
      </c>
      <c r="D121" s="314">
        <v>0.98001598721023186</v>
      </c>
      <c r="E121" s="314">
        <v>0.438227196020961</v>
      </c>
      <c r="F121" s="11"/>
      <c r="G121" s="11"/>
      <c r="H121" s="11"/>
      <c r="Z121" s="26" t="s">
        <v>206</v>
      </c>
      <c r="AA121" s="27">
        <v>1</v>
      </c>
      <c r="AB121" s="27">
        <v>1</v>
      </c>
      <c r="AC121" s="27">
        <v>0.30769230769230771</v>
      </c>
    </row>
    <row r="122" spans="2:29" s="12" customFormat="1" x14ac:dyDescent="0.25">
      <c r="B122" s="26" t="s">
        <v>81</v>
      </c>
      <c r="C122" s="314">
        <v>1</v>
      </c>
      <c r="D122" s="314">
        <v>0.86767052945666501</v>
      </c>
      <c r="E122" s="314">
        <v>0.40940947887030743</v>
      </c>
      <c r="F122" s="11"/>
      <c r="G122" s="11"/>
      <c r="H122" s="11"/>
      <c r="Z122" s="26" t="s">
        <v>207</v>
      </c>
      <c r="AA122" s="27">
        <v>1</v>
      </c>
      <c r="AB122" s="27">
        <v>0.40540540540540543</v>
      </c>
      <c r="AC122" s="27">
        <v>0.67567567567567566</v>
      </c>
    </row>
    <row r="123" spans="2:29" s="12" customFormat="1" x14ac:dyDescent="0.25">
      <c r="B123" s="26" t="s">
        <v>82</v>
      </c>
      <c r="C123" s="314">
        <v>0.5496316758747698</v>
      </c>
      <c r="D123" s="314">
        <v>1</v>
      </c>
      <c r="E123" s="314">
        <v>0.75199508901166356</v>
      </c>
      <c r="F123" s="11"/>
      <c r="G123" s="11"/>
      <c r="H123" s="11"/>
      <c r="Z123" s="26" t="s">
        <v>208</v>
      </c>
      <c r="AA123" s="27">
        <v>1</v>
      </c>
      <c r="AB123" s="27">
        <v>1</v>
      </c>
      <c r="AC123" s="27">
        <v>1</v>
      </c>
    </row>
    <row r="124" spans="2:29" s="12" customFormat="1" x14ac:dyDescent="0.25">
      <c r="B124" s="26" t="s">
        <v>681</v>
      </c>
      <c r="C124" s="314">
        <v>1</v>
      </c>
      <c r="D124" s="314">
        <v>1</v>
      </c>
      <c r="E124" s="314">
        <v>0.74349442379182151</v>
      </c>
      <c r="F124" s="11"/>
      <c r="G124" s="11"/>
      <c r="H124" s="11"/>
      <c r="Z124" s="26" t="s">
        <v>141</v>
      </c>
      <c r="AA124" s="27">
        <v>1</v>
      </c>
      <c r="AB124" s="27">
        <v>0.88888888888888884</v>
      </c>
      <c r="AC124" s="27">
        <v>1</v>
      </c>
    </row>
    <row r="125" spans="2:29" s="12" customFormat="1" x14ac:dyDescent="0.25">
      <c r="B125" s="26" t="s">
        <v>73</v>
      </c>
      <c r="C125" s="314">
        <v>0.95422463276836134</v>
      </c>
      <c r="D125" s="314">
        <v>0.89873898305084743</v>
      </c>
      <c r="E125" s="314">
        <v>0.54915254237288136</v>
      </c>
      <c r="F125" s="11"/>
      <c r="G125" s="11"/>
      <c r="H125" s="11"/>
      <c r="Z125" s="26" t="s">
        <v>130</v>
      </c>
      <c r="AA125" s="27">
        <v>1</v>
      </c>
      <c r="AB125" s="27">
        <v>1</v>
      </c>
      <c r="AC125" s="27">
        <v>1</v>
      </c>
    </row>
    <row r="126" spans="2:29" s="12" customFormat="1" x14ac:dyDescent="0.25">
      <c r="B126"/>
      <c r="C126"/>
      <c r="D126"/>
      <c r="E126"/>
      <c r="F126" s="11"/>
      <c r="G126" s="11"/>
      <c r="H126" s="11"/>
      <c r="Z126" s="26" t="s">
        <v>129</v>
      </c>
      <c r="AA126" s="27">
        <v>0</v>
      </c>
      <c r="AB126" s="27">
        <v>0</v>
      </c>
      <c r="AC126" s="27">
        <v>0</v>
      </c>
    </row>
    <row r="127" spans="2:29" s="12" customFormat="1" x14ac:dyDescent="0.25">
      <c r="B127"/>
      <c r="C127"/>
      <c r="D127"/>
      <c r="E127"/>
      <c r="F127" s="11"/>
      <c r="G127" s="11"/>
      <c r="H127" s="11"/>
      <c r="Z127" s="26" t="s">
        <v>161</v>
      </c>
      <c r="AA127" s="27">
        <v>1</v>
      </c>
      <c r="AB127" s="27">
        <v>0.28503562945368172</v>
      </c>
      <c r="AC127" s="27">
        <v>0.47505938242280282</v>
      </c>
    </row>
    <row r="128" spans="2:29" s="12" customFormat="1" x14ac:dyDescent="0.25">
      <c r="B128" s="11"/>
      <c r="C128" s="14"/>
      <c r="D128" s="14"/>
      <c r="E128" s="14"/>
      <c r="F128" s="11"/>
      <c r="G128" s="11"/>
      <c r="H128" s="11"/>
      <c r="Z128" s="26" t="s">
        <v>200</v>
      </c>
      <c r="AA128" s="27">
        <v>1</v>
      </c>
      <c r="AB128" s="27">
        <v>0.88235294117647056</v>
      </c>
      <c r="AC128" s="27">
        <v>0</v>
      </c>
    </row>
    <row r="129" spans="2:29" s="12" customFormat="1" x14ac:dyDescent="0.25">
      <c r="B129" s="11"/>
      <c r="C129" s="14"/>
      <c r="D129" s="14"/>
      <c r="E129" s="14"/>
      <c r="F129" s="11"/>
      <c r="G129" s="11"/>
      <c r="H129" s="11"/>
      <c r="Z129" s="26" t="s">
        <v>142</v>
      </c>
      <c r="AA129" s="27">
        <v>1</v>
      </c>
      <c r="AB129" s="27">
        <v>0.6097560975609756</v>
      </c>
      <c r="AC129" s="27">
        <v>0.3048780487804878</v>
      </c>
    </row>
    <row r="130" spans="2:29" s="12" customFormat="1" x14ac:dyDescent="0.25">
      <c r="B130" s="11"/>
      <c r="C130" s="14"/>
      <c r="D130" s="14"/>
      <c r="E130" s="14"/>
      <c r="F130" s="11"/>
      <c r="G130" s="11"/>
      <c r="H130" s="11"/>
      <c r="Z130" s="26" t="s">
        <v>143</v>
      </c>
      <c r="AA130" s="27">
        <v>1</v>
      </c>
      <c r="AB130" s="27">
        <v>1</v>
      </c>
      <c r="AC130" s="27">
        <v>0.64935064935064934</v>
      </c>
    </row>
    <row r="131" spans="2:29" s="12" customFormat="1" x14ac:dyDescent="0.25">
      <c r="B131" s="11"/>
      <c r="C131" s="14"/>
      <c r="D131" s="14"/>
      <c r="E131" s="14"/>
      <c r="F131" s="11"/>
      <c r="G131" s="11"/>
      <c r="H131" s="11"/>
      <c r="Z131" s="26" t="s">
        <v>109</v>
      </c>
      <c r="AA131" s="27">
        <v>1</v>
      </c>
      <c r="AB131" s="27">
        <v>0.88748019017432644</v>
      </c>
      <c r="AC131" s="27">
        <v>1</v>
      </c>
    </row>
    <row r="132" spans="2:29" s="12" customFormat="1" x14ac:dyDescent="0.25">
      <c r="B132" s="11"/>
      <c r="C132" s="14"/>
      <c r="D132" s="14"/>
      <c r="E132" s="14"/>
      <c r="F132" s="11"/>
      <c r="G132" s="11"/>
      <c r="H132" s="11"/>
      <c r="Z132" s="26" t="s">
        <v>120</v>
      </c>
      <c r="AA132" s="27">
        <v>1</v>
      </c>
      <c r="AB132" s="27">
        <v>1</v>
      </c>
      <c r="AC132" s="27">
        <v>1</v>
      </c>
    </row>
    <row r="133" spans="2:29" s="12" customFormat="1" x14ac:dyDescent="0.25">
      <c r="B133" s="29" t="s">
        <v>4</v>
      </c>
      <c r="C133" t="s">
        <v>74</v>
      </c>
      <c r="D133" s="14"/>
      <c r="E133" s="14"/>
      <c r="F133" s="11"/>
      <c r="G133" s="11"/>
      <c r="H133" s="11"/>
      <c r="Z133" s="26" t="s">
        <v>121</v>
      </c>
      <c r="AA133" s="27">
        <v>1</v>
      </c>
      <c r="AB133" s="27">
        <v>1</v>
      </c>
      <c r="AC133" s="27">
        <v>1</v>
      </c>
    </row>
    <row r="134" spans="2:29" s="12" customFormat="1" x14ac:dyDescent="0.25">
      <c r="B134" s="29" t="s">
        <v>0</v>
      </c>
      <c r="C134" t="s">
        <v>74</v>
      </c>
      <c r="D134" s="14"/>
      <c r="E134" s="14"/>
      <c r="F134" s="11"/>
      <c r="G134" s="11"/>
      <c r="H134" s="11"/>
      <c r="Z134" s="26" t="s">
        <v>182</v>
      </c>
      <c r="AA134" s="27">
        <v>1</v>
      </c>
      <c r="AB134" s="27">
        <v>0.86105675146771032</v>
      </c>
      <c r="AC134" s="27">
        <v>0.78277886497064575</v>
      </c>
    </row>
    <row r="135" spans="2:29" s="12" customFormat="1" x14ac:dyDescent="0.25">
      <c r="B135" s="29" t="s">
        <v>294</v>
      </c>
      <c r="C135" t="s">
        <v>74</v>
      </c>
      <c r="D135" s="14"/>
      <c r="E135" s="14"/>
      <c r="F135" s="11"/>
      <c r="G135" s="11"/>
      <c r="H135" s="11"/>
      <c r="Z135" s="26" t="s">
        <v>192</v>
      </c>
      <c r="AA135" s="27">
        <v>1</v>
      </c>
      <c r="AB135" s="27">
        <v>1</v>
      </c>
      <c r="AC135" s="27">
        <v>0.57471264367816088</v>
      </c>
    </row>
    <row r="136" spans="2:29" s="12" customFormat="1" x14ac:dyDescent="0.25">
      <c r="B136" s="11"/>
      <c r="C136" s="14"/>
      <c r="D136" s="14"/>
      <c r="E136" s="14"/>
      <c r="F136" s="11"/>
      <c r="G136" s="11"/>
      <c r="H136" s="11"/>
      <c r="Z136" s="26" t="s">
        <v>193</v>
      </c>
      <c r="AA136" s="27">
        <v>1</v>
      </c>
      <c r="AB136" s="27">
        <v>0.59782608695652173</v>
      </c>
      <c r="AC136" s="27">
        <v>0.54347826086956519</v>
      </c>
    </row>
    <row r="137" spans="2:29" s="12" customFormat="1" ht="30" x14ac:dyDescent="0.25">
      <c r="B137" s="308" t="s">
        <v>242</v>
      </c>
      <c r="C137" s="313" t="s">
        <v>688</v>
      </c>
      <c r="D137" s="313" t="s">
        <v>689</v>
      </c>
      <c r="E137" s="313" t="s">
        <v>690</v>
      </c>
      <c r="F137" s="11"/>
      <c r="G137" s="11"/>
      <c r="H137" s="11"/>
      <c r="Z137" s="26" t="s">
        <v>666</v>
      </c>
      <c r="AA137" s="27">
        <v>1</v>
      </c>
      <c r="AB137" s="27">
        <v>0.54919908466819223</v>
      </c>
      <c r="AC137" s="27">
        <v>0.2288329519450801</v>
      </c>
    </row>
    <row r="138" spans="2:29" s="12" customFormat="1" x14ac:dyDescent="0.25">
      <c r="B138" s="26" t="s">
        <v>467</v>
      </c>
      <c r="C138" s="314">
        <v>0.95422463276836156</v>
      </c>
      <c r="D138" s="314">
        <v>0.89873898305084743</v>
      </c>
      <c r="E138" s="314">
        <v>0.54915254237288136</v>
      </c>
      <c r="F138" s="11"/>
      <c r="G138" s="11"/>
      <c r="H138" s="11"/>
      <c r="Z138" s="26" t="s">
        <v>667</v>
      </c>
      <c r="AA138" s="27">
        <v>1</v>
      </c>
      <c r="AB138" s="27">
        <v>1</v>
      </c>
      <c r="AC138" s="27">
        <v>0.49504950495049505</v>
      </c>
    </row>
    <row r="139" spans="2:29" s="12" customFormat="1" x14ac:dyDescent="0.25">
      <c r="B139" s="26" t="s">
        <v>468</v>
      </c>
      <c r="C139" s="314">
        <v>1</v>
      </c>
      <c r="D139" s="314">
        <v>0.88604651162790693</v>
      </c>
      <c r="E139" s="314">
        <v>0.72976744186046516</v>
      </c>
      <c r="F139" s="11"/>
      <c r="G139" s="11"/>
      <c r="H139" s="11"/>
      <c r="Z139" s="26" t="s">
        <v>668</v>
      </c>
      <c r="AA139" s="27">
        <v>1</v>
      </c>
      <c r="AB139" s="27">
        <v>1</v>
      </c>
      <c r="AC139" s="27">
        <v>1</v>
      </c>
    </row>
    <row r="140" spans="2:29" s="12" customFormat="1" x14ac:dyDescent="0.25">
      <c r="B140" s="26" t="s">
        <v>478</v>
      </c>
      <c r="C140" s="314">
        <v>0.8372062663185379</v>
      </c>
      <c r="D140" s="314">
        <v>0.8372062663185379</v>
      </c>
      <c r="E140" s="314">
        <v>0.31723237597911225</v>
      </c>
      <c r="F140" s="11"/>
      <c r="G140" s="11"/>
      <c r="H140" s="11"/>
      <c r="Z140" s="26" t="s">
        <v>327</v>
      </c>
      <c r="AA140" s="27">
        <v>1</v>
      </c>
      <c r="AB140" s="27">
        <v>0.94915254237288138</v>
      </c>
      <c r="AC140" s="27">
        <v>1</v>
      </c>
    </row>
    <row r="141" spans="2:29" s="12" customFormat="1" x14ac:dyDescent="0.25">
      <c r="B141" s="26" t="s">
        <v>73</v>
      </c>
      <c r="C141" s="314">
        <v>0.94467528322961547</v>
      </c>
      <c r="D141" s="314">
        <v>0.89277166108185735</v>
      </c>
      <c r="E141" s="314">
        <v>0.53253949258018185</v>
      </c>
      <c r="F141" s="11"/>
      <c r="G141" s="11"/>
      <c r="H141" s="11"/>
      <c r="Z141" s="26" t="s">
        <v>328</v>
      </c>
      <c r="AA141" s="27">
        <v>1</v>
      </c>
      <c r="AB141" s="27">
        <v>1</v>
      </c>
      <c r="AC141" s="27">
        <v>1</v>
      </c>
    </row>
    <row r="142" spans="2:29" s="12" customFormat="1" x14ac:dyDescent="0.25">
      <c r="B142"/>
      <c r="C142"/>
      <c r="D142"/>
      <c r="E142"/>
      <c r="F142" s="11"/>
      <c r="G142" s="11"/>
      <c r="H142" s="11"/>
      <c r="Z142" s="26" t="s">
        <v>326</v>
      </c>
      <c r="AA142" s="27">
        <v>1</v>
      </c>
      <c r="AB142" s="27">
        <v>0.5714285714285714</v>
      </c>
      <c r="AC142" s="27">
        <v>0</v>
      </c>
    </row>
    <row r="143" spans="2:29" s="12" customFormat="1" x14ac:dyDescent="0.25">
      <c r="B143"/>
      <c r="C143"/>
      <c r="D143"/>
      <c r="E143"/>
      <c r="F143" s="11"/>
      <c r="G143" s="11"/>
      <c r="H143" s="11"/>
      <c r="Z143" s="26" t="s">
        <v>162</v>
      </c>
      <c r="AA143" s="27">
        <v>1</v>
      </c>
      <c r="AB143" s="27">
        <v>1</v>
      </c>
      <c r="AC143" s="27">
        <v>0.91743119266055051</v>
      </c>
    </row>
    <row r="144" spans="2:29" s="12" customFormat="1" x14ac:dyDescent="0.25">
      <c r="B144" s="11"/>
      <c r="C144" s="14"/>
      <c r="D144" s="14"/>
      <c r="E144" s="14"/>
      <c r="F144" s="11"/>
      <c r="G144" s="11"/>
      <c r="H144" s="11"/>
      <c r="Z144" s="26" t="s">
        <v>163</v>
      </c>
      <c r="AA144" s="27">
        <v>1</v>
      </c>
      <c r="AB144" s="27">
        <v>1</v>
      </c>
      <c r="AC144" s="27">
        <v>0.92526690391459077</v>
      </c>
    </row>
    <row r="145" spans="1:29" s="12" customFormat="1" x14ac:dyDescent="0.25">
      <c r="B145" s="11"/>
      <c r="C145" s="14"/>
      <c r="D145" s="14"/>
      <c r="E145" s="14"/>
      <c r="F145" s="11"/>
      <c r="G145" s="11"/>
      <c r="H145" s="11"/>
      <c r="Z145" s="26" t="s">
        <v>164</v>
      </c>
      <c r="AA145" s="27">
        <v>1</v>
      </c>
      <c r="AB145" s="27">
        <v>0.97560975609756095</v>
      </c>
      <c r="AC145" s="27">
        <v>1</v>
      </c>
    </row>
    <row r="146" spans="1:29" s="12" customFormat="1" x14ac:dyDescent="0.25">
      <c r="B146" s="11"/>
      <c r="C146" s="14"/>
      <c r="D146" s="14"/>
      <c r="E146" s="14"/>
      <c r="F146" s="11"/>
      <c r="G146" s="11"/>
      <c r="H146" s="11"/>
      <c r="Z146" s="26" t="s">
        <v>165</v>
      </c>
      <c r="AA146" s="27">
        <v>1</v>
      </c>
      <c r="AB146" s="27">
        <v>0.77795786061588335</v>
      </c>
      <c r="AC146" s="27">
        <v>0</v>
      </c>
    </row>
    <row r="147" spans="1:29" s="12" customFormat="1" x14ac:dyDescent="0.25">
      <c r="B147" s="11"/>
      <c r="C147" s="14"/>
      <c r="D147" s="14"/>
      <c r="E147" s="14"/>
      <c r="F147" s="11"/>
      <c r="G147" s="11"/>
      <c r="H147" s="11"/>
      <c r="Z147" s="26" t="s">
        <v>166</v>
      </c>
      <c r="AA147" s="27">
        <v>1</v>
      </c>
      <c r="AB147" s="27">
        <v>1</v>
      </c>
      <c r="AC147" s="27">
        <v>0.28887818969667789</v>
      </c>
    </row>
    <row r="148" spans="1:29" s="12" customFormat="1" x14ac:dyDescent="0.25">
      <c r="C148" s="16"/>
      <c r="D148" s="28"/>
      <c r="E148" s="28"/>
      <c r="F148" s="11"/>
      <c r="G148" s="11"/>
      <c r="H148" s="11"/>
      <c r="Z148" s="26" t="s">
        <v>167</v>
      </c>
      <c r="AA148" s="27">
        <v>1</v>
      </c>
      <c r="AB148" s="27">
        <v>1</v>
      </c>
      <c r="AC148" s="27">
        <v>1</v>
      </c>
    </row>
    <row r="149" spans="1:29" s="12" customFormat="1" x14ac:dyDescent="0.25">
      <c r="C149" s="15"/>
      <c r="D149" s="14"/>
      <c r="E149" s="14"/>
      <c r="F149" s="11"/>
      <c r="G149" s="11"/>
      <c r="H149" s="11"/>
      <c r="Z149" s="26" t="s">
        <v>320</v>
      </c>
      <c r="AA149" s="27">
        <v>1</v>
      </c>
      <c r="AB149" s="27">
        <v>0.94763092269326688</v>
      </c>
      <c r="AC149" s="27">
        <v>0.49875311720698257</v>
      </c>
    </row>
    <row r="150" spans="1:29" s="12" customFormat="1" x14ac:dyDescent="0.25">
      <c r="B150" s="11"/>
      <c r="C150" s="14"/>
      <c r="D150" s="14"/>
      <c r="E150" s="14"/>
      <c r="F150" s="11"/>
      <c r="G150" s="11"/>
      <c r="H150" s="11"/>
      <c r="Z150" s="26" t="s">
        <v>321</v>
      </c>
      <c r="AA150" s="27">
        <v>1</v>
      </c>
      <c r="AB150" s="27">
        <v>0.84033613445378152</v>
      </c>
      <c r="AC150" s="27">
        <v>0.50420168067226889</v>
      </c>
    </row>
    <row r="151" spans="1:29" s="12" customFormat="1" ht="31.5" customHeight="1" x14ac:dyDescent="0.25">
      <c r="B151" s="302" t="s">
        <v>96</v>
      </c>
      <c r="C151" s="36"/>
      <c r="D151" s="36"/>
      <c r="E151" s="36"/>
      <c r="F151" s="36"/>
      <c r="G151" s="36"/>
      <c r="H151" s="36"/>
      <c r="I151" s="36"/>
      <c r="J151" s="36"/>
      <c r="K151" s="36"/>
      <c r="L151" s="36"/>
      <c r="M151" s="36"/>
      <c r="N151" s="37"/>
      <c r="Z151" s="26" t="s">
        <v>144</v>
      </c>
      <c r="AA151" s="27">
        <v>1</v>
      </c>
      <c r="AB151" s="27">
        <v>0.75235109717868343</v>
      </c>
      <c r="AC151" s="27">
        <v>0.62695924764890287</v>
      </c>
    </row>
    <row r="152" spans="1:29" s="12" customFormat="1" x14ac:dyDescent="0.25">
      <c r="B152" s="11"/>
      <c r="C152" s="14"/>
      <c r="D152" s="14"/>
      <c r="E152" s="14"/>
      <c r="F152" s="11"/>
      <c r="G152" s="11"/>
      <c r="H152" s="11"/>
      <c r="Z152" s="26" t="s">
        <v>222</v>
      </c>
      <c r="AA152" s="27">
        <v>1</v>
      </c>
      <c r="AB152" s="27">
        <v>0.86294416243654826</v>
      </c>
      <c r="AC152" s="27">
        <v>0.59221658206429784</v>
      </c>
    </row>
    <row r="153" spans="1:29" s="12" customFormat="1" x14ac:dyDescent="0.25">
      <c r="B153" s="11"/>
      <c r="C153" s="14"/>
      <c r="D153" s="14"/>
      <c r="E153" s="14"/>
      <c r="F153" s="11"/>
      <c r="G153" s="11"/>
      <c r="H153" s="11"/>
      <c r="Z153" s="26" t="s">
        <v>483</v>
      </c>
      <c r="AA153" s="27">
        <v>1</v>
      </c>
      <c r="AB153" s="27">
        <v>0.80428954423592491</v>
      </c>
      <c r="AC153" s="27">
        <v>0.80428954423592491</v>
      </c>
    </row>
    <row r="154" spans="1:29" s="12" customFormat="1" x14ac:dyDescent="0.25">
      <c r="B154" s="11"/>
      <c r="C154" s="14"/>
      <c r="D154" s="14"/>
      <c r="E154" s="14"/>
      <c r="F154" s="11"/>
      <c r="G154" s="11"/>
      <c r="H154" s="11"/>
      <c r="Z154" s="26" t="s">
        <v>145</v>
      </c>
      <c r="AA154" s="27">
        <v>1</v>
      </c>
      <c r="AB154" s="27">
        <v>1</v>
      </c>
      <c r="AC154" s="27">
        <v>0.22123893805309736</v>
      </c>
    </row>
    <row r="155" spans="1:29" s="12" customFormat="1" x14ac:dyDescent="0.25">
      <c r="B155" s="11"/>
      <c r="C155" s="14"/>
      <c r="D155" s="14"/>
      <c r="E155" s="14"/>
      <c r="F155" s="11"/>
      <c r="G155" s="11"/>
      <c r="H155" s="11"/>
      <c r="Z155" s="26" t="s">
        <v>287</v>
      </c>
      <c r="AA155" s="27">
        <v>1</v>
      </c>
      <c r="AB155" s="27">
        <v>0.47058823529411764</v>
      </c>
      <c r="AC155" s="27">
        <v>0.29411764705882354</v>
      </c>
    </row>
    <row r="156" spans="1:29" s="12" customFormat="1" x14ac:dyDescent="0.25">
      <c r="A156" s="11"/>
      <c r="B156" s="29" t="s">
        <v>4</v>
      </c>
      <c r="C156" t="s">
        <v>74</v>
      </c>
      <c r="D156" s="14"/>
      <c r="E156" s="14"/>
      <c r="F156" s="11"/>
      <c r="G156" s="11"/>
      <c r="H156" s="11"/>
      <c r="I156" s="11"/>
      <c r="J156" s="11"/>
      <c r="K156" s="11"/>
      <c r="L156" s="11"/>
      <c r="M156" s="11"/>
      <c r="N156" s="11"/>
      <c r="O156" s="11"/>
      <c r="Z156" s="26" t="s">
        <v>288</v>
      </c>
      <c r="AA156" s="27">
        <v>1</v>
      </c>
      <c r="AB156" s="27">
        <v>1</v>
      </c>
      <c r="AC156" s="27">
        <v>0.33698399326032014</v>
      </c>
    </row>
    <row r="157" spans="1:29" x14ac:dyDescent="0.25">
      <c r="B157" s="29" t="s">
        <v>0</v>
      </c>
      <c r="C157" t="s">
        <v>74</v>
      </c>
      <c r="Z157" s="26" t="s">
        <v>196</v>
      </c>
      <c r="AA157" s="27">
        <v>1</v>
      </c>
      <c r="AB157" s="27">
        <v>1</v>
      </c>
      <c r="AC157" s="27">
        <v>1</v>
      </c>
    </row>
    <row r="158" spans="1:29" x14ac:dyDescent="0.25">
      <c r="B158" s="308" t="s">
        <v>3</v>
      </c>
      <c r="C158" t="s">
        <v>74</v>
      </c>
      <c r="Z158" s="26" t="s">
        <v>653</v>
      </c>
      <c r="AA158" s="27">
        <v>1</v>
      </c>
      <c r="AB158" s="27">
        <v>1</v>
      </c>
      <c r="AC158" s="27">
        <v>0</v>
      </c>
    </row>
    <row r="159" spans="1:29" x14ac:dyDescent="0.25">
      <c r="B159" s="29" t="s">
        <v>294</v>
      </c>
      <c r="C159" t="s">
        <v>74</v>
      </c>
      <c r="Z159" s="26" t="s">
        <v>654</v>
      </c>
      <c r="AA159" s="27">
        <v>1</v>
      </c>
      <c r="AB159" s="27">
        <v>1</v>
      </c>
      <c r="AC159" s="27">
        <v>1</v>
      </c>
    </row>
    <row r="160" spans="1:29" x14ac:dyDescent="0.25">
      <c r="Z160" s="26" t="s">
        <v>131</v>
      </c>
      <c r="AA160" s="27">
        <v>1</v>
      </c>
      <c r="AB160" s="27">
        <v>1</v>
      </c>
      <c r="AC160" s="27">
        <v>1</v>
      </c>
    </row>
    <row r="161" spans="1:29" x14ac:dyDescent="0.25">
      <c r="B161" s="29" t="s">
        <v>242</v>
      </c>
      <c r="C161" t="s">
        <v>692</v>
      </c>
      <c r="D161"/>
      <c r="E161"/>
      <c r="Z161" s="26" t="s">
        <v>289</v>
      </c>
      <c r="AA161" s="27">
        <v>1</v>
      </c>
      <c r="AB161" s="27">
        <v>0.86830680173661356</v>
      </c>
      <c r="AC161" s="27">
        <v>0.86830680173661356</v>
      </c>
    </row>
    <row r="162" spans="1:29" x14ac:dyDescent="0.25">
      <c r="B162" s="26" t="s">
        <v>245</v>
      </c>
      <c r="C162" s="316">
        <v>11</v>
      </c>
      <c r="D162"/>
      <c r="E162"/>
      <c r="Z162" s="26" t="s">
        <v>146</v>
      </c>
      <c r="AA162" s="27">
        <v>1</v>
      </c>
      <c r="AB162" s="27">
        <v>1</v>
      </c>
      <c r="AC162" s="27">
        <v>1</v>
      </c>
    </row>
    <row r="163" spans="1:29" x14ac:dyDescent="0.25">
      <c r="B163" s="26" t="s">
        <v>246</v>
      </c>
      <c r="C163" s="316">
        <v>1</v>
      </c>
      <c r="D163"/>
      <c r="E163"/>
      <c r="Z163" s="26" t="s">
        <v>147</v>
      </c>
      <c r="AA163" s="27">
        <v>1</v>
      </c>
      <c r="AB163" s="27">
        <v>1</v>
      </c>
      <c r="AC163" s="27">
        <v>1</v>
      </c>
    </row>
    <row r="164" spans="1:29" x14ac:dyDescent="0.25">
      <c r="A164" s="12"/>
      <c r="B164" s="26" t="s">
        <v>813</v>
      </c>
      <c r="C164" s="316">
        <v>1</v>
      </c>
      <c r="D164"/>
      <c r="E164"/>
      <c r="F164"/>
      <c r="G164"/>
      <c r="H164"/>
      <c r="M164" s="12"/>
      <c r="N164" s="12"/>
      <c r="O164" s="12"/>
      <c r="Z164" s="26" t="s">
        <v>122</v>
      </c>
      <c r="AA164" s="27">
        <v>1</v>
      </c>
      <c r="AB164" s="27">
        <v>1</v>
      </c>
      <c r="AC164" s="27">
        <v>1</v>
      </c>
    </row>
    <row r="165" spans="1:29" s="12" customFormat="1" x14ac:dyDescent="0.25">
      <c r="A165" s="11"/>
      <c r="B165" s="26" t="s">
        <v>785</v>
      </c>
      <c r="C165" s="316">
        <v>1</v>
      </c>
      <c r="D165"/>
      <c r="E165"/>
      <c r="F165" s="13"/>
      <c r="G165" s="11"/>
      <c r="H165" s="11"/>
      <c r="I165" s="11"/>
      <c r="J165" s="11"/>
      <c r="K165" s="11"/>
      <c r="L165" s="11"/>
      <c r="M165" s="11"/>
      <c r="N165" s="11"/>
      <c r="O165" s="11"/>
      <c r="Z165" s="26" t="s">
        <v>209</v>
      </c>
      <c r="AA165" s="27">
        <v>1</v>
      </c>
      <c r="AB165" s="27">
        <v>1</v>
      </c>
      <c r="AC165" s="27">
        <v>0</v>
      </c>
    </row>
    <row r="166" spans="1:29" x14ac:dyDescent="0.25">
      <c r="A166" s="12"/>
      <c r="B166" s="26" t="s">
        <v>244</v>
      </c>
      <c r="C166" s="316">
        <v>161</v>
      </c>
      <c r="I166" s="12"/>
      <c r="J166" s="12"/>
      <c r="K166" s="12"/>
      <c r="L166" s="12"/>
      <c r="M166" s="12"/>
      <c r="N166" s="12"/>
      <c r="O166" s="12"/>
      <c r="Z166" s="26" t="s">
        <v>197</v>
      </c>
      <c r="AA166" s="27">
        <v>1</v>
      </c>
      <c r="AB166" s="27">
        <v>0.68493150684931503</v>
      </c>
      <c r="AC166" s="27">
        <v>0.54794520547945202</v>
      </c>
    </row>
    <row r="167" spans="1:29" s="12" customFormat="1" x14ac:dyDescent="0.25">
      <c r="B167" s="26" t="s">
        <v>73</v>
      </c>
      <c r="C167" s="316">
        <v>175</v>
      </c>
      <c r="D167" s="14"/>
      <c r="E167" s="14"/>
      <c r="F167" s="11"/>
      <c r="G167" s="11"/>
      <c r="H167" s="11"/>
      <c r="Z167" s="26" t="s">
        <v>210</v>
      </c>
      <c r="AA167" s="27">
        <v>1</v>
      </c>
      <c r="AB167" s="27">
        <v>1</v>
      </c>
      <c r="AC167" s="27">
        <v>0</v>
      </c>
    </row>
    <row r="168" spans="1:29" s="12" customFormat="1" x14ac:dyDescent="0.25">
      <c r="B168" s="26"/>
      <c r="C168" s="316"/>
      <c r="D168" s="14"/>
      <c r="E168" s="14"/>
      <c r="F168" s="11"/>
      <c r="G168" s="11"/>
      <c r="H168" s="11"/>
      <c r="Z168" s="26" t="s">
        <v>211</v>
      </c>
      <c r="AA168" s="27">
        <v>1</v>
      </c>
      <c r="AB168" s="27">
        <v>1</v>
      </c>
      <c r="AC168" s="27">
        <v>0.5714285714285714</v>
      </c>
    </row>
    <row r="169" spans="1:29" s="12" customFormat="1" x14ac:dyDescent="0.25">
      <c r="B169" s="26"/>
      <c r="C169" s="316"/>
      <c r="D169" s="14"/>
      <c r="E169" s="14"/>
      <c r="F169" s="11"/>
      <c r="G169" s="11"/>
      <c r="H169" s="11"/>
      <c r="Z169" s="26" t="s">
        <v>499</v>
      </c>
      <c r="AA169" s="27">
        <v>1</v>
      </c>
      <c r="AB169" s="27">
        <v>1</v>
      </c>
      <c r="AC169" s="27">
        <v>1</v>
      </c>
    </row>
    <row r="170" spans="1:29" s="12" customFormat="1" x14ac:dyDescent="0.25">
      <c r="B170" s="26"/>
      <c r="C170" s="316"/>
      <c r="D170" s="14"/>
      <c r="E170" s="14"/>
      <c r="F170" s="11"/>
      <c r="G170" s="11"/>
      <c r="H170" s="11"/>
      <c r="Z170" s="26" t="s">
        <v>500</v>
      </c>
      <c r="AA170" s="27">
        <v>1</v>
      </c>
      <c r="AB170" s="27">
        <v>1</v>
      </c>
      <c r="AC170" s="27">
        <v>1</v>
      </c>
    </row>
    <row r="171" spans="1:29" s="12" customFormat="1" x14ac:dyDescent="0.25">
      <c r="B171" s="26"/>
      <c r="C171" s="316"/>
      <c r="D171" s="14"/>
      <c r="E171" s="14"/>
      <c r="F171" s="11"/>
      <c r="G171" s="11"/>
      <c r="H171" s="11"/>
      <c r="Z171" s="26" t="s">
        <v>479</v>
      </c>
      <c r="AA171" s="27">
        <v>1</v>
      </c>
      <c r="AB171" s="27">
        <v>0.83333333333333337</v>
      </c>
      <c r="AC171" s="27">
        <v>1</v>
      </c>
    </row>
    <row r="172" spans="1:29" s="12" customFormat="1" x14ac:dyDescent="0.25">
      <c r="B172" s="11"/>
      <c r="C172" s="14"/>
      <c r="D172" s="14"/>
      <c r="E172" s="14"/>
      <c r="F172" s="11"/>
      <c r="G172" s="11"/>
      <c r="H172" s="11"/>
      <c r="Z172" s="26" t="s">
        <v>651</v>
      </c>
      <c r="AA172" s="27">
        <v>0.85003035822707962</v>
      </c>
      <c r="AB172" s="27">
        <v>0.87431693989071035</v>
      </c>
      <c r="AC172" s="27">
        <v>0.36429872495446264</v>
      </c>
    </row>
    <row r="173" spans="1:29" s="12" customFormat="1" x14ac:dyDescent="0.25">
      <c r="B173" s="11"/>
      <c r="C173" s="14"/>
      <c r="D173" s="14"/>
      <c r="E173" s="14"/>
      <c r="F173" s="11"/>
      <c r="G173" s="11"/>
      <c r="H173" s="11"/>
      <c r="Z173" s="26" t="s">
        <v>215</v>
      </c>
      <c r="AA173" s="27">
        <v>1</v>
      </c>
      <c r="AB173" s="27">
        <v>0.98765432098765427</v>
      </c>
      <c r="AC173" s="27">
        <v>0.61728395061728392</v>
      </c>
    </row>
    <row r="174" spans="1:29" s="12" customFormat="1" x14ac:dyDescent="0.25">
      <c r="B174"/>
      <c r="C174"/>
      <c r="D174" s="14"/>
      <c r="E174" s="14"/>
      <c r="F174" s="11"/>
      <c r="G174" s="11"/>
      <c r="H174" s="11"/>
      <c r="Z174" s="26" t="s">
        <v>216</v>
      </c>
      <c r="AA174" s="27">
        <v>1</v>
      </c>
      <c r="AB174" s="27">
        <v>0.52770448548812665</v>
      </c>
      <c r="AC174" s="27">
        <v>0.52770448548812665</v>
      </c>
    </row>
    <row r="175" spans="1:29" s="12" customFormat="1" x14ac:dyDescent="0.25">
      <c r="B175" s="29" t="s">
        <v>3</v>
      </c>
      <c r="C175" t="s">
        <v>467</v>
      </c>
      <c r="D175" s="14"/>
      <c r="E175" s="14"/>
      <c r="F175" s="11"/>
      <c r="G175" s="11"/>
      <c r="H175" s="11"/>
      <c r="Z175" s="26" t="s">
        <v>217</v>
      </c>
      <c r="AA175" s="27">
        <v>1</v>
      </c>
      <c r="AB175" s="27">
        <v>1</v>
      </c>
      <c r="AC175" s="27">
        <v>0.94339622641509435</v>
      </c>
    </row>
    <row r="176" spans="1:29" s="12" customFormat="1" x14ac:dyDescent="0.25">
      <c r="B176" s="29" t="s">
        <v>294</v>
      </c>
      <c r="C176" t="s">
        <v>74</v>
      </c>
      <c r="D176" s="14"/>
      <c r="E176" s="14"/>
      <c r="F176" s="11"/>
      <c r="G176" s="11"/>
      <c r="H176" s="11"/>
      <c r="Z176" s="26" t="s">
        <v>652</v>
      </c>
      <c r="AA176" s="27">
        <v>0</v>
      </c>
      <c r="AB176" s="27">
        <v>1</v>
      </c>
      <c r="AC176" s="27">
        <v>1</v>
      </c>
    </row>
    <row r="177" spans="1:29" s="12" customFormat="1" ht="16.5" customHeight="1" x14ac:dyDescent="0.25">
      <c r="A177" s="11"/>
      <c r="B177" s="11"/>
      <c r="C177" s="14"/>
      <c r="D177" s="14"/>
      <c r="E177" s="14"/>
      <c r="F177" s="11"/>
      <c r="G177" s="11"/>
      <c r="H177" s="11"/>
      <c r="O177" s="11"/>
      <c r="Z177" s="26" t="s">
        <v>212</v>
      </c>
      <c r="AA177" s="27">
        <v>1</v>
      </c>
      <c r="AB177" s="27">
        <v>1</v>
      </c>
      <c r="AC177" s="27">
        <v>0.74349442379182151</v>
      </c>
    </row>
    <row r="178" spans="1:29" ht="30" x14ac:dyDescent="0.25">
      <c r="B178" s="308" t="s">
        <v>242</v>
      </c>
      <c r="C178" s="313" t="s">
        <v>688</v>
      </c>
      <c r="D178" s="313" t="s">
        <v>699</v>
      </c>
      <c r="F178" s="321"/>
      <c r="I178" s="12"/>
      <c r="J178" s="12"/>
      <c r="K178" s="12"/>
      <c r="L178" s="12"/>
      <c r="M178" s="12"/>
      <c r="N178" s="12"/>
      <c r="Z178" s="26" t="s">
        <v>229</v>
      </c>
      <c r="AA178" s="27">
        <v>1</v>
      </c>
      <c r="AB178" s="27">
        <v>1</v>
      </c>
      <c r="AC178" s="27">
        <v>1</v>
      </c>
    </row>
    <row r="179" spans="1:29" x14ac:dyDescent="0.25">
      <c r="B179" s="26" t="s">
        <v>218</v>
      </c>
      <c r="C179" s="314">
        <v>0.98990845966813767</v>
      </c>
      <c r="D179" s="314">
        <v>2.2811911676156689E-3</v>
      </c>
      <c r="I179" s="12"/>
      <c r="J179" s="12"/>
      <c r="K179" s="12"/>
      <c r="L179" s="12"/>
      <c r="M179" s="12"/>
      <c r="N179" s="12"/>
      <c r="Z179" s="26" t="s">
        <v>476</v>
      </c>
      <c r="AA179" s="27">
        <v>1</v>
      </c>
      <c r="AB179" s="27">
        <v>1</v>
      </c>
      <c r="AC179" s="27">
        <v>1</v>
      </c>
    </row>
    <row r="180" spans="1:29" x14ac:dyDescent="0.25">
      <c r="B180" s="26" t="s">
        <v>226</v>
      </c>
      <c r="C180" s="314">
        <v>0.90223539994003399</v>
      </c>
      <c r="D180" s="314">
        <v>-1.0773894792950709E-2</v>
      </c>
      <c r="I180" s="12"/>
      <c r="J180" s="12"/>
      <c r="K180" s="12"/>
      <c r="L180" s="12"/>
      <c r="M180" s="12"/>
      <c r="N180" s="12"/>
      <c r="Z180" s="26" t="s">
        <v>220</v>
      </c>
      <c r="AA180" s="27">
        <v>1</v>
      </c>
      <c r="AB180" s="27">
        <v>1</v>
      </c>
      <c r="AC180" s="27">
        <v>0.97402597402597402</v>
      </c>
    </row>
    <row r="181" spans="1:29" x14ac:dyDescent="0.25">
      <c r="B181" s="26" t="s">
        <v>73</v>
      </c>
      <c r="C181" s="314">
        <v>0.95422463276836156</v>
      </c>
      <c r="D181" s="314">
        <v>-3.0323615819209857E-3</v>
      </c>
      <c r="I181" s="12"/>
      <c r="J181" s="12"/>
      <c r="K181" s="12"/>
      <c r="L181" s="12"/>
      <c r="M181" s="12"/>
      <c r="N181" s="12"/>
      <c r="Z181" s="26" t="s">
        <v>183</v>
      </c>
      <c r="AA181" s="27">
        <v>1</v>
      </c>
      <c r="AB181" s="27">
        <v>1</v>
      </c>
      <c r="AC181" s="27">
        <v>1</v>
      </c>
    </row>
    <row r="182" spans="1:29" x14ac:dyDescent="0.25">
      <c r="B182"/>
      <c r="C182"/>
      <c r="I182" s="12"/>
      <c r="J182" s="12"/>
      <c r="K182" s="12"/>
      <c r="L182" s="12"/>
      <c r="M182" s="12"/>
      <c r="N182" s="12"/>
      <c r="Z182" s="26" t="s">
        <v>123</v>
      </c>
      <c r="AA182" s="27">
        <v>1</v>
      </c>
      <c r="AB182" s="27">
        <v>0.73529411764705888</v>
      </c>
      <c r="AC182" s="27">
        <v>0.73529411764705888</v>
      </c>
    </row>
    <row r="183" spans="1:29" x14ac:dyDescent="0.25">
      <c r="B183"/>
      <c r="C183"/>
      <c r="I183" s="12"/>
      <c r="J183" s="12"/>
      <c r="K183" s="12"/>
      <c r="L183" s="12"/>
      <c r="M183" s="12"/>
      <c r="N183" s="12"/>
      <c r="Z183" s="26" t="s">
        <v>231</v>
      </c>
      <c r="AA183" s="27">
        <v>1</v>
      </c>
      <c r="AB183" s="27">
        <v>0.20408163265306123</v>
      </c>
      <c r="AC183" s="27">
        <v>0</v>
      </c>
    </row>
    <row r="184" spans="1:29" x14ac:dyDescent="0.25">
      <c r="B184"/>
      <c r="C184"/>
      <c r="I184" s="12"/>
      <c r="J184" s="12"/>
      <c r="K184" s="12"/>
      <c r="L184" s="12"/>
      <c r="M184" s="12"/>
      <c r="N184" s="12"/>
      <c r="Z184" s="26" t="s">
        <v>132</v>
      </c>
      <c r="AA184" s="27">
        <v>1</v>
      </c>
      <c r="AB184" s="27">
        <v>1</v>
      </c>
      <c r="AC184" s="27">
        <v>1</v>
      </c>
    </row>
    <row r="185" spans="1:29" x14ac:dyDescent="0.25">
      <c r="B185"/>
      <c r="C185"/>
      <c r="I185" s="12"/>
      <c r="J185" s="12"/>
      <c r="K185" s="12"/>
      <c r="L185" s="12"/>
      <c r="M185" s="12"/>
      <c r="N185" s="12"/>
      <c r="Z185" s="26" t="s">
        <v>324</v>
      </c>
      <c r="AA185" s="27">
        <v>0.17241379310344829</v>
      </c>
      <c r="AB185" s="27">
        <v>0.45977011494252873</v>
      </c>
      <c r="AC185" s="27">
        <v>0</v>
      </c>
    </row>
    <row r="186" spans="1:29" x14ac:dyDescent="0.25">
      <c r="B186"/>
      <c r="C186"/>
      <c r="D186"/>
      <c r="I186" s="12"/>
      <c r="J186" s="12"/>
      <c r="K186" s="12"/>
      <c r="L186" s="12"/>
      <c r="M186" s="12"/>
      <c r="N186" s="12"/>
      <c r="Z186" s="26" t="s">
        <v>168</v>
      </c>
      <c r="AA186" s="27">
        <v>1</v>
      </c>
      <c r="AB186" s="27">
        <v>1</v>
      </c>
      <c r="AC186" s="27">
        <v>1</v>
      </c>
    </row>
    <row r="187" spans="1:29" x14ac:dyDescent="0.25">
      <c r="B187"/>
      <c r="C187"/>
      <c r="D187"/>
      <c r="I187" s="12"/>
      <c r="J187" s="12"/>
      <c r="K187" s="12"/>
      <c r="L187" s="12"/>
      <c r="M187" s="12"/>
      <c r="N187" s="12"/>
      <c r="Z187" s="26" t="s">
        <v>323</v>
      </c>
      <c r="AA187" s="27">
        <v>1</v>
      </c>
      <c r="AB187" s="27">
        <v>1</v>
      </c>
      <c r="AC187" s="27">
        <v>1</v>
      </c>
    </row>
    <row r="188" spans="1:29" ht="21" x14ac:dyDescent="0.25">
      <c r="B188" s="302" t="s">
        <v>97</v>
      </c>
      <c r="C188" s="320"/>
      <c r="D188" s="36"/>
      <c r="E188" s="36"/>
      <c r="F188" s="36"/>
      <c r="G188" s="36"/>
      <c r="H188" s="36"/>
      <c r="I188" s="36"/>
      <c r="J188" s="36"/>
      <c r="K188" s="36"/>
      <c r="L188" s="36"/>
      <c r="M188" s="36"/>
      <c r="N188" s="37"/>
      <c r="Z188" s="26" t="s">
        <v>191</v>
      </c>
      <c r="AA188" s="27">
        <v>1</v>
      </c>
      <c r="AB188" s="27">
        <v>1</v>
      </c>
      <c r="AC188" s="27">
        <v>0.42865890998162892</v>
      </c>
    </row>
    <row r="189" spans="1:29" ht="21" x14ac:dyDescent="0.25">
      <c r="B189" s="322"/>
      <c r="C189" s="322"/>
      <c r="D189" s="323"/>
      <c r="E189" s="323"/>
      <c r="F189" s="323"/>
      <c r="G189" s="323"/>
      <c r="H189" s="323"/>
      <c r="I189" s="323"/>
      <c r="J189" s="323"/>
      <c r="K189" s="323"/>
      <c r="L189" s="323"/>
      <c r="M189" s="323"/>
      <c r="N189" s="323"/>
      <c r="Z189" s="26" t="s">
        <v>199</v>
      </c>
      <c r="AA189" s="27">
        <v>1</v>
      </c>
      <c r="AB189" s="27">
        <v>1</v>
      </c>
      <c r="AC189" s="27">
        <v>1</v>
      </c>
    </row>
    <row r="190" spans="1:29" ht="15.75" customHeight="1" x14ac:dyDescent="0.25">
      <c r="B190" s="322"/>
      <c r="C190" s="322"/>
      <c r="D190" s="323"/>
      <c r="E190" s="323"/>
      <c r="F190" s="323"/>
      <c r="G190" s="323"/>
      <c r="H190" s="323"/>
      <c r="I190" s="323"/>
      <c r="J190" s="323"/>
      <c r="K190" s="323"/>
      <c r="L190" s="323"/>
      <c r="M190" s="323"/>
      <c r="N190" s="323"/>
      <c r="Z190" s="26" t="s">
        <v>219</v>
      </c>
      <c r="AA190" s="27">
        <v>1</v>
      </c>
      <c r="AB190" s="27">
        <v>0.69868995633187769</v>
      </c>
      <c r="AC190" s="27">
        <v>0.8733624454148472</v>
      </c>
    </row>
    <row r="191" spans="1:29" ht="15.75" customHeight="1" x14ac:dyDescent="0.25">
      <c r="B191" s="29" t="s">
        <v>3</v>
      </c>
      <c r="C191" t="s">
        <v>74</v>
      </c>
      <c r="F191"/>
      <c r="Z191" s="26" t="s">
        <v>148</v>
      </c>
      <c r="AA191" s="27">
        <v>1</v>
      </c>
      <c r="AB191" s="27">
        <v>1</v>
      </c>
      <c r="AC191" s="27">
        <v>1</v>
      </c>
    </row>
    <row r="192" spans="1:29" ht="15.75" customHeight="1" x14ac:dyDescent="0.25">
      <c r="B192" s="29" t="s">
        <v>294</v>
      </c>
      <c r="C192" t="s">
        <v>74</v>
      </c>
      <c r="F192"/>
      <c r="Z192" s="26" t="s">
        <v>649</v>
      </c>
      <c r="AA192" s="27">
        <v>1</v>
      </c>
      <c r="AB192" s="27">
        <v>1</v>
      </c>
      <c r="AC192" s="27">
        <v>0.14903129657228018</v>
      </c>
    </row>
    <row r="193" spans="2:29" x14ac:dyDescent="0.25">
      <c r="F193"/>
      <c r="Z193" s="26" t="s">
        <v>648</v>
      </c>
      <c r="AA193" s="27">
        <v>1</v>
      </c>
      <c r="AB193" s="27">
        <v>1</v>
      </c>
      <c r="AC193" s="27">
        <v>0.39840637450199201</v>
      </c>
    </row>
    <row r="194" spans="2:29" x14ac:dyDescent="0.25">
      <c r="B194" s="29" t="s">
        <v>678</v>
      </c>
      <c r="C194" s="29" t="s">
        <v>256</v>
      </c>
      <c r="D194"/>
      <c r="E194"/>
      <c r="F194"/>
      <c r="Z194" s="26" t="s">
        <v>647</v>
      </c>
      <c r="AA194" s="27">
        <v>1</v>
      </c>
      <c r="AB194" s="27">
        <v>1</v>
      </c>
      <c r="AC194" s="27">
        <v>0.74349442379182151</v>
      </c>
    </row>
    <row r="195" spans="2:29" x14ac:dyDescent="0.25">
      <c r="B195" s="29" t="s">
        <v>242</v>
      </c>
      <c r="C195" s="317" t="s">
        <v>218</v>
      </c>
      <c r="D195" s="317" t="s">
        <v>226</v>
      </c>
      <c r="E195" s="317" t="s">
        <v>73</v>
      </c>
      <c r="F195"/>
      <c r="Z195" s="26" t="s">
        <v>204</v>
      </c>
      <c r="AA195" s="27">
        <v>1</v>
      </c>
      <c r="AB195" s="27">
        <v>1</v>
      </c>
      <c r="AC195" s="27">
        <v>0.77922077922077926</v>
      </c>
    </row>
    <row r="196" spans="2:29" x14ac:dyDescent="0.25">
      <c r="B196" s="26" t="s">
        <v>180</v>
      </c>
      <c r="C196" s="307">
        <v>222.2</v>
      </c>
      <c r="D196" s="307"/>
      <c r="E196" s="307">
        <v>222.2</v>
      </c>
      <c r="F196"/>
      <c r="Z196" s="26" t="s">
        <v>291</v>
      </c>
      <c r="AA196" s="27">
        <v>1</v>
      </c>
      <c r="AB196" s="27">
        <v>0.99071207430340558</v>
      </c>
      <c r="AC196" s="27">
        <v>0.61919504643962853</v>
      </c>
    </row>
    <row r="197" spans="2:29" x14ac:dyDescent="0.25">
      <c r="B197" s="26" t="s">
        <v>107</v>
      </c>
      <c r="C197" s="307">
        <v>35.4</v>
      </c>
      <c r="D197" s="307">
        <v>43.65</v>
      </c>
      <c r="E197" s="307">
        <v>79.05</v>
      </c>
      <c r="F197"/>
      <c r="Z197" s="26" t="s">
        <v>707</v>
      </c>
      <c r="AA197" s="27">
        <v>1</v>
      </c>
      <c r="AB197" s="27">
        <v>0.93023255813953487</v>
      </c>
      <c r="AC197" s="27">
        <v>0.85679314565483478</v>
      </c>
    </row>
    <row r="198" spans="2:29" x14ac:dyDescent="0.25">
      <c r="B198" s="26" t="s">
        <v>110</v>
      </c>
      <c r="C198" s="307">
        <v>48.7</v>
      </c>
      <c r="D198" s="307"/>
      <c r="E198" s="307">
        <v>48.7</v>
      </c>
      <c r="F198"/>
      <c r="Z198" s="26" t="s">
        <v>169</v>
      </c>
      <c r="AA198" s="27">
        <v>1</v>
      </c>
      <c r="AB198" s="27">
        <v>1</v>
      </c>
      <c r="AC198" s="27">
        <v>0.3125</v>
      </c>
    </row>
    <row r="199" spans="2:29" x14ac:dyDescent="0.25">
      <c r="B199" s="26" t="s">
        <v>128</v>
      </c>
      <c r="C199" s="307">
        <v>0.85</v>
      </c>
      <c r="D199" s="307"/>
      <c r="E199" s="307">
        <v>0.85</v>
      </c>
      <c r="F199"/>
      <c r="Z199" s="26" t="s">
        <v>170</v>
      </c>
      <c r="AA199" s="27">
        <v>1</v>
      </c>
      <c r="AB199" s="27">
        <v>0.7857142857142857</v>
      </c>
      <c r="AC199" s="27">
        <v>1</v>
      </c>
    </row>
    <row r="200" spans="2:29" x14ac:dyDescent="0.25">
      <c r="B200" s="26" t="s">
        <v>205</v>
      </c>
      <c r="C200" s="307">
        <v>128.05000000000001</v>
      </c>
      <c r="D200" s="307"/>
      <c r="E200" s="307">
        <v>128.05000000000001</v>
      </c>
      <c r="F200"/>
      <c r="Z200" s="26" t="s">
        <v>171</v>
      </c>
      <c r="AA200" s="27">
        <v>1</v>
      </c>
      <c r="AB200" s="27">
        <v>1</v>
      </c>
      <c r="AC200" s="27">
        <v>1</v>
      </c>
    </row>
    <row r="201" spans="2:29" x14ac:dyDescent="0.25">
      <c r="B201" s="26" t="s">
        <v>325</v>
      </c>
      <c r="C201" s="307">
        <v>1.75</v>
      </c>
      <c r="D201" s="307"/>
      <c r="E201" s="307">
        <v>1.75</v>
      </c>
      <c r="F201"/>
      <c r="Z201" s="26" t="s">
        <v>172</v>
      </c>
      <c r="AA201" s="27">
        <v>1</v>
      </c>
      <c r="AB201" s="27">
        <v>0.82840236686390534</v>
      </c>
      <c r="AC201" s="27">
        <v>1</v>
      </c>
    </row>
    <row r="202" spans="2:29" x14ac:dyDescent="0.25">
      <c r="B202" s="26" t="s">
        <v>186</v>
      </c>
      <c r="C202" s="307">
        <v>233.34999999999997</v>
      </c>
      <c r="D202" s="307">
        <v>93.050000000000011</v>
      </c>
      <c r="E202" s="307">
        <v>326.39999999999998</v>
      </c>
      <c r="F202"/>
      <c r="Z202" s="26" t="s">
        <v>173</v>
      </c>
      <c r="AA202" s="27">
        <v>1</v>
      </c>
      <c r="AB202" s="27">
        <v>1</v>
      </c>
      <c r="AC202" s="27">
        <v>1</v>
      </c>
    </row>
    <row r="203" spans="2:29" x14ac:dyDescent="0.25">
      <c r="B203" s="26" t="s">
        <v>187</v>
      </c>
      <c r="C203" s="307">
        <v>15.299999999999999</v>
      </c>
      <c r="D203" s="307">
        <v>22.3</v>
      </c>
      <c r="E203" s="307">
        <v>37.6</v>
      </c>
      <c r="F203"/>
      <c r="Z203" s="26" t="s">
        <v>124</v>
      </c>
      <c r="AA203" s="27">
        <v>1</v>
      </c>
      <c r="AB203" s="27">
        <v>1</v>
      </c>
      <c r="AC203" s="27">
        <v>1</v>
      </c>
    </row>
    <row r="204" spans="2:29" x14ac:dyDescent="0.25">
      <c r="B204" s="26" t="s">
        <v>225</v>
      </c>
      <c r="C204" s="307">
        <v>0</v>
      </c>
      <c r="D204" s="307"/>
      <c r="E204" s="307">
        <v>0</v>
      </c>
      <c r="F204"/>
      <c r="Z204" s="26" t="s">
        <v>283</v>
      </c>
      <c r="AA204" s="27">
        <v>1</v>
      </c>
      <c r="AB204" s="27">
        <v>0.76741130091984233</v>
      </c>
      <c r="AC204" s="27">
        <v>0.26281208935611039</v>
      </c>
    </row>
    <row r="205" spans="2:29" x14ac:dyDescent="0.25">
      <c r="B205" s="26" t="s">
        <v>133</v>
      </c>
      <c r="C205" s="307">
        <v>0</v>
      </c>
      <c r="D205" s="307"/>
      <c r="E205" s="307">
        <v>0</v>
      </c>
      <c r="F205"/>
      <c r="Z205" s="26" t="s">
        <v>125</v>
      </c>
      <c r="AA205" s="27">
        <v>1</v>
      </c>
      <c r="AB205" s="27">
        <v>1</v>
      </c>
      <c r="AC205" s="27">
        <v>1</v>
      </c>
    </row>
    <row r="206" spans="2:29" x14ac:dyDescent="0.25">
      <c r="B206" s="26" t="s">
        <v>188</v>
      </c>
      <c r="C206" s="307">
        <v>192.25</v>
      </c>
      <c r="D206" s="307">
        <v>81.8</v>
      </c>
      <c r="E206" s="307">
        <v>274.05</v>
      </c>
      <c r="F206"/>
      <c r="Z206" s="26" t="s">
        <v>149</v>
      </c>
      <c r="AA206" s="27">
        <v>1</v>
      </c>
      <c r="AB206" s="27">
        <v>0.75</v>
      </c>
      <c r="AC206" s="27">
        <v>0.5</v>
      </c>
    </row>
    <row r="207" spans="2:29" x14ac:dyDescent="0.25">
      <c r="B207" s="26" t="s">
        <v>214</v>
      </c>
      <c r="C207" s="307">
        <v>27.299999999999997</v>
      </c>
      <c r="D207" s="307"/>
      <c r="E207" s="307">
        <v>27.299999999999997</v>
      </c>
      <c r="F207"/>
      <c r="Z207" s="26" t="s">
        <v>150</v>
      </c>
      <c r="AA207" s="27">
        <v>1</v>
      </c>
      <c r="AB207" s="27">
        <v>0.76923076923076927</v>
      </c>
      <c r="AC207" s="27">
        <v>1</v>
      </c>
    </row>
    <row r="208" spans="2:29" x14ac:dyDescent="0.25">
      <c r="B208" s="26" t="s">
        <v>135</v>
      </c>
      <c r="C208" s="307">
        <v>46.349999999999994</v>
      </c>
      <c r="D208" s="307">
        <v>0.39999999999999991</v>
      </c>
      <c r="E208" s="307">
        <v>46.749999999999993</v>
      </c>
      <c r="F208"/>
      <c r="Z208" s="26" t="s">
        <v>174</v>
      </c>
      <c r="AA208" s="27">
        <v>1</v>
      </c>
      <c r="AB208" s="27">
        <v>1</v>
      </c>
      <c r="AC208" s="27">
        <v>0.68807339449541283</v>
      </c>
    </row>
    <row r="209" spans="2:29" x14ac:dyDescent="0.25">
      <c r="B209" s="26" t="s">
        <v>486</v>
      </c>
      <c r="C209" s="307">
        <v>55.05</v>
      </c>
      <c r="D209" s="307"/>
      <c r="E209" s="307">
        <v>55.05</v>
      </c>
      <c r="F209"/>
      <c r="Z209" s="26" t="s">
        <v>201</v>
      </c>
      <c r="AA209" s="27">
        <v>1</v>
      </c>
      <c r="AB209" s="27">
        <v>1</v>
      </c>
      <c r="AC209" s="27">
        <v>1</v>
      </c>
    </row>
    <row r="210" spans="2:29" x14ac:dyDescent="0.25">
      <c r="B210" s="26" t="s">
        <v>232</v>
      </c>
      <c r="C210" s="307">
        <v>2.35</v>
      </c>
      <c r="D210" s="307"/>
      <c r="E210" s="307">
        <v>2.35</v>
      </c>
      <c r="F210"/>
      <c r="Z210" s="26" t="s">
        <v>202</v>
      </c>
      <c r="AA210" s="27">
        <v>1</v>
      </c>
      <c r="AB210" s="27">
        <v>1</v>
      </c>
      <c r="AC210" s="27">
        <v>1</v>
      </c>
    </row>
    <row r="211" spans="2:29" x14ac:dyDescent="0.25">
      <c r="B211" s="26" t="s">
        <v>224</v>
      </c>
      <c r="C211" s="307">
        <v>14.249999999999998</v>
      </c>
      <c r="D211" s="307"/>
      <c r="E211" s="307">
        <v>14.249999999999998</v>
      </c>
      <c r="F211"/>
      <c r="Z211" s="26" t="s">
        <v>151</v>
      </c>
      <c r="AA211" s="27">
        <v>1</v>
      </c>
      <c r="AB211" s="27">
        <v>0.75294117647058822</v>
      </c>
      <c r="AC211" s="27">
        <v>0.23529411764705882</v>
      </c>
    </row>
    <row r="212" spans="2:29" x14ac:dyDescent="0.25">
      <c r="B212" s="26" t="s">
        <v>223</v>
      </c>
      <c r="C212" s="307">
        <v>4.9000000000000004</v>
      </c>
      <c r="D212" s="307"/>
      <c r="E212" s="307">
        <v>4.9000000000000004</v>
      </c>
      <c r="F212"/>
      <c r="Z212" s="26" t="s">
        <v>134</v>
      </c>
      <c r="AA212" s="27">
        <v>1</v>
      </c>
      <c r="AB212" s="27">
        <v>1</v>
      </c>
      <c r="AC212" s="27">
        <v>1</v>
      </c>
    </row>
    <row r="213" spans="2:29" x14ac:dyDescent="0.25">
      <c r="B213" s="26" t="s">
        <v>158</v>
      </c>
      <c r="C213" s="307">
        <v>64.400000000000006</v>
      </c>
      <c r="D213" s="307">
        <v>496.8</v>
      </c>
      <c r="E213" s="307">
        <v>561.20000000000005</v>
      </c>
      <c r="F213"/>
      <c r="Z213" s="26" t="s">
        <v>184</v>
      </c>
      <c r="AA213" s="27">
        <v>1</v>
      </c>
      <c r="AB213" s="27">
        <v>1</v>
      </c>
      <c r="AC213" s="27">
        <v>1</v>
      </c>
    </row>
    <row r="214" spans="2:29" x14ac:dyDescent="0.25">
      <c r="B214" s="26" t="s">
        <v>808</v>
      </c>
      <c r="C214" s="307">
        <v>26.700000000000003</v>
      </c>
      <c r="D214" s="307"/>
      <c r="E214" s="307">
        <v>26.700000000000003</v>
      </c>
      <c r="F214"/>
      <c r="Z214" s="26" t="s">
        <v>640</v>
      </c>
      <c r="AA214" s="27">
        <v>1</v>
      </c>
      <c r="AB214" s="27">
        <v>1</v>
      </c>
      <c r="AC214" s="27">
        <v>1</v>
      </c>
    </row>
    <row r="215" spans="2:29" x14ac:dyDescent="0.25">
      <c r="B215" s="26" t="s">
        <v>73</v>
      </c>
      <c r="C215" s="307">
        <v>1119.1500000000001</v>
      </c>
      <c r="D215" s="307">
        <v>738</v>
      </c>
      <c r="E215" s="307">
        <v>1857.15</v>
      </c>
      <c r="F215"/>
      <c r="Z215" s="26" t="s">
        <v>152</v>
      </c>
      <c r="AA215" s="27">
        <v>1</v>
      </c>
      <c r="AB215" s="27">
        <v>0.77519379844961245</v>
      </c>
      <c r="AC215" s="27">
        <v>0.77519379844961245</v>
      </c>
    </row>
    <row r="216" spans="2:29" x14ac:dyDescent="0.25">
      <c r="B216"/>
      <c r="C216"/>
      <c r="D216"/>
      <c r="E216"/>
      <c r="F216"/>
      <c r="Z216" s="26" t="s">
        <v>153</v>
      </c>
      <c r="AA216" s="27">
        <v>1</v>
      </c>
      <c r="AB216" s="27">
        <v>1</v>
      </c>
      <c r="AC216" s="27">
        <v>1</v>
      </c>
    </row>
    <row r="217" spans="2:29" x14ac:dyDescent="0.25">
      <c r="B217"/>
      <c r="C217"/>
      <c r="D217"/>
      <c r="E217"/>
      <c r="F217"/>
      <c r="Z217" s="26" t="s">
        <v>154</v>
      </c>
      <c r="AA217" s="27">
        <v>1</v>
      </c>
      <c r="AB217" s="27">
        <v>1</v>
      </c>
      <c r="AC217" s="27">
        <v>1</v>
      </c>
    </row>
    <row r="218" spans="2:29" x14ac:dyDescent="0.25">
      <c r="B218" s="29" t="s">
        <v>3</v>
      </c>
      <c r="C218" t="s">
        <v>74</v>
      </c>
      <c r="E218" s="16"/>
      <c r="F218" s="13"/>
      <c r="Z218" s="26" t="s">
        <v>155</v>
      </c>
      <c r="AA218" s="27">
        <v>1</v>
      </c>
      <c r="AB218" s="27">
        <v>1</v>
      </c>
      <c r="AC218" s="27">
        <v>1</v>
      </c>
    </row>
    <row r="219" spans="2:29" x14ac:dyDescent="0.25">
      <c r="B219" s="29" t="s">
        <v>294</v>
      </c>
      <c r="C219" t="s">
        <v>74</v>
      </c>
      <c r="F219" s="13"/>
      <c r="Z219" s="26" t="s">
        <v>156</v>
      </c>
      <c r="AA219" s="27">
        <v>1</v>
      </c>
      <c r="AB219" s="27">
        <v>1</v>
      </c>
      <c r="AC219" s="27">
        <v>0.83333333333333337</v>
      </c>
    </row>
    <row r="220" spans="2:29" x14ac:dyDescent="0.25">
      <c r="F220" s="13"/>
      <c r="Z220" s="26" t="s">
        <v>175</v>
      </c>
      <c r="AA220" s="27">
        <v>1</v>
      </c>
      <c r="AB220" s="27">
        <v>0.84690553745928343</v>
      </c>
      <c r="AC220" s="27">
        <v>1</v>
      </c>
    </row>
    <row r="221" spans="2:29" x14ac:dyDescent="0.25">
      <c r="B221" s="29" t="s">
        <v>678</v>
      </c>
      <c r="C221" s="29" t="s">
        <v>256</v>
      </c>
      <c r="D221"/>
      <c r="E221"/>
      <c r="F221"/>
      <c r="G221"/>
      <c r="H221"/>
      <c r="I221"/>
      <c r="J221"/>
      <c r="K221"/>
      <c r="L221"/>
      <c r="M221"/>
      <c r="Z221" s="26" t="s">
        <v>176</v>
      </c>
      <c r="AA221" s="27">
        <v>1</v>
      </c>
      <c r="AB221" s="27">
        <v>0.67039106145251393</v>
      </c>
      <c r="AC221" s="27">
        <v>1</v>
      </c>
    </row>
    <row r="222" spans="2:29" x14ac:dyDescent="0.25">
      <c r="B222" s="29" t="s">
        <v>242</v>
      </c>
      <c r="C222" s="317" t="s">
        <v>264</v>
      </c>
      <c r="D222" s="317" t="s">
        <v>322</v>
      </c>
      <c r="E222" s="317" t="s">
        <v>265</v>
      </c>
      <c r="F222" s="317" t="s">
        <v>266</v>
      </c>
      <c r="G222" s="317" t="s">
        <v>267</v>
      </c>
      <c r="H222" s="317" t="s">
        <v>268</v>
      </c>
      <c r="I222" s="317" t="s">
        <v>273</v>
      </c>
      <c r="J222" s="317" t="s">
        <v>274</v>
      </c>
      <c r="K222" s="317" t="s">
        <v>275</v>
      </c>
      <c r="L222" s="317" t="s">
        <v>276</v>
      </c>
      <c r="M222" s="317" t="s">
        <v>73</v>
      </c>
      <c r="Z222" s="26" t="s">
        <v>177</v>
      </c>
      <c r="AA222" s="27">
        <v>1</v>
      </c>
      <c r="AB222" s="27">
        <v>1</v>
      </c>
      <c r="AC222" s="27">
        <v>1</v>
      </c>
    </row>
    <row r="223" spans="2:29" x14ac:dyDescent="0.25">
      <c r="B223" s="26" t="s">
        <v>218</v>
      </c>
      <c r="C223" s="307">
        <v>48.7</v>
      </c>
      <c r="D223" s="307">
        <v>52.250000000000007</v>
      </c>
      <c r="E223" s="307">
        <v>110.75000000000001</v>
      </c>
      <c r="F223" s="307">
        <v>0</v>
      </c>
      <c r="G223" s="307">
        <v>420.99999999999994</v>
      </c>
      <c r="H223" s="307"/>
      <c r="I223" s="307">
        <v>85.749999999999986</v>
      </c>
      <c r="J223" s="307">
        <v>228.29999999999998</v>
      </c>
      <c r="K223" s="307">
        <v>154.74999999999997</v>
      </c>
      <c r="L223" s="307">
        <v>17.649999999999999</v>
      </c>
      <c r="M223" s="307">
        <v>1119.1500000000001</v>
      </c>
      <c r="Z223" s="26" t="s">
        <v>126</v>
      </c>
      <c r="AA223" s="27">
        <v>1</v>
      </c>
      <c r="AB223" s="27">
        <v>0.94736842105263153</v>
      </c>
      <c r="AC223" s="27">
        <v>1</v>
      </c>
    </row>
    <row r="224" spans="2:29" x14ac:dyDescent="0.25">
      <c r="B224" s="26" t="s">
        <v>226</v>
      </c>
      <c r="C224" s="307"/>
      <c r="D224" s="307">
        <v>43.65</v>
      </c>
      <c r="E224" s="307">
        <v>0.39999999999999991</v>
      </c>
      <c r="F224" s="307"/>
      <c r="G224" s="307"/>
      <c r="H224" s="307">
        <v>496.8</v>
      </c>
      <c r="I224" s="307">
        <v>174.85000000000005</v>
      </c>
      <c r="J224" s="307"/>
      <c r="K224" s="307"/>
      <c r="L224" s="307">
        <v>22.3</v>
      </c>
      <c r="M224" s="307">
        <v>738</v>
      </c>
      <c r="Z224" s="26" t="s">
        <v>178</v>
      </c>
      <c r="AA224" s="27">
        <v>1</v>
      </c>
      <c r="AB224" s="27">
        <v>1</v>
      </c>
      <c r="AC224" s="27">
        <v>1</v>
      </c>
    </row>
    <row r="225" spans="1:29" x14ac:dyDescent="0.25">
      <c r="B225" s="26" t="s">
        <v>73</v>
      </c>
      <c r="C225" s="307">
        <v>48.7</v>
      </c>
      <c r="D225" s="307">
        <v>95.9</v>
      </c>
      <c r="E225" s="307">
        <v>111.15000000000002</v>
      </c>
      <c r="F225" s="307">
        <v>0</v>
      </c>
      <c r="G225" s="307">
        <v>420.99999999999994</v>
      </c>
      <c r="H225" s="307">
        <v>496.8</v>
      </c>
      <c r="I225" s="307">
        <v>260.60000000000002</v>
      </c>
      <c r="J225" s="307">
        <v>228.29999999999998</v>
      </c>
      <c r="K225" s="307">
        <v>154.74999999999997</v>
      </c>
      <c r="L225" s="307">
        <v>39.950000000000003</v>
      </c>
      <c r="M225" s="307">
        <v>1857.15</v>
      </c>
      <c r="Z225" s="26" t="s">
        <v>157</v>
      </c>
      <c r="AA225" s="27">
        <v>1</v>
      </c>
      <c r="AB225" s="27">
        <v>1</v>
      </c>
      <c r="AC225" s="27">
        <v>1</v>
      </c>
    </row>
    <row r="226" spans="1:29" x14ac:dyDescent="0.25">
      <c r="B226"/>
      <c r="C226"/>
      <c r="D226"/>
      <c r="E226"/>
      <c r="F226" s="13"/>
      <c r="Z226" s="26" t="s">
        <v>185</v>
      </c>
      <c r="AA226" s="27">
        <v>1</v>
      </c>
      <c r="AB226" s="27">
        <v>1</v>
      </c>
      <c r="AC226" s="27">
        <v>1</v>
      </c>
    </row>
    <row r="227" spans="1:29" x14ac:dyDescent="0.25">
      <c r="B227"/>
      <c r="C227"/>
      <c r="D227"/>
      <c r="E227"/>
      <c r="F227" s="13"/>
      <c r="Z227" s="26" t="s">
        <v>127</v>
      </c>
      <c r="AA227" s="27">
        <v>1</v>
      </c>
      <c r="AB227" s="27">
        <v>1</v>
      </c>
      <c r="AC227" s="27">
        <v>1</v>
      </c>
    </row>
    <row r="228" spans="1:29" x14ac:dyDescent="0.25">
      <c r="B228"/>
      <c r="C228"/>
      <c r="D228"/>
      <c r="E228"/>
      <c r="F228" s="13"/>
      <c r="Z228" s="26" t="s">
        <v>179</v>
      </c>
      <c r="AA228" s="27">
        <v>1</v>
      </c>
      <c r="AB228" s="27">
        <v>1</v>
      </c>
      <c r="AC228" s="27">
        <v>0.49180327868852458</v>
      </c>
    </row>
    <row r="229" spans="1:29" x14ac:dyDescent="0.25">
      <c r="B229"/>
      <c r="C229"/>
      <c r="D229"/>
      <c r="E229"/>
      <c r="F229" s="13"/>
      <c r="Z229" s="26" t="s">
        <v>213</v>
      </c>
      <c r="AA229" s="27">
        <v>1</v>
      </c>
      <c r="AB229" s="27">
        <v>1</v>
      </c>
      <c r="AC229" s="27">
        <v>0</v>
      </c>
    </row>
    <row r="230" spans="1:29" x14ac:dyDescent="0.25">
      <c r="B230"/>
      <c r="C230"/>
      <c r="D230"/>
      <c r="E230"/>
      <c r="F230" s="13"/>
      <c r="Z230" s="26" t="s">
        <v>729</v>
      </c>
      <c r="AA230" s="27">
        <v>1</v>
      </c>
      <c r="AB230" s="27">
        <v>1</v>
      </c>
      <c r="AC230" s="27">
        <v>1</v>
      </c>
    </row>
    <row r="231" spans="1:29" x14ac:dyDescent="0.25">
      <c r="B231"/>
      <c r="C231"/>
      <c r="D231"/>
      <c r="E231"/>
      <c r="F231" s="13"/>
      <c r="Z231" s="26" t="s">
        <v>764</v>
      </c>
      <c r="AA231" s="27">
        <v>1</v>
      </c>
      <c r="AB231" s="27">
        <v>1</v>
      </c>
      <c r="AC231" s="27">
        <v>0</v>
      </c>
    </row>
    <row r="232" spans="1:29" x14ac:dyDescent="0.25">
      <c r="B232"/>
      <c r="C232"/>
      <c r="D232"/>
      <c r="E232"/>
      <c r="F232" s="13"/>
      <c r="Z232" s="26" t="s">
        <v>765</v>
      </c>
      <c r="AA232" s="27">
        <v>1</v>
      </c>
      <c r="AB232" s="27">
        <v>1</v>
      </c>
      <c r="AC232" s="27">
        <v>1</v>
      </c>
    </row>
    <row r="233" spans="1:29" x14ac:dyDescent="0.25">
      <c r="B233"/>
      <c r="C233"/>
      <c r="D233"/>
      <c r="E233"/>
      <c r="F233" s="13"/>
      <c r="Z233" s="26" t="s">
        <v>810</v>
      </c>
      <c r="AA233" s="27">
        <v>1</v>
      </c>
      <c r="AB233" s="27">
        <v>0.5357142857142857</v>
      </c>
      <c r="AC233" s="27">
        <v>0.44642857142857145</v>
      </c>
    </row>
    <row r="234" spans="1:29" x14ac:dyDescent="0.25">
      <c r="B234"/>
      <c r="C234"/>
      <c r="D234"/>
      <c r="E234"/>
      <c r="F234" s="13"/>
      <c r="Z234" s="26" t="s">
        <v>811</v>
      </c>
      <c r="AA234" s="27">
        <v>1</v>
      </c>
      <c r="AB234" s="27">
        <v>0.84388185654008441</v>
      </c>
      <c r="AC234" s="27">
        <v>0.84388185654008441</v>
      </c>
    </row>
    <row r="235" spans="1:29" x14ac:dyDescent="0.25">
      <c r="B235"/>
      <c r="C235"/>
      <c r="D235"/>
      <c r="E235"/>
      <c r="F235" s="13"/>
      <c r="Z235" s="26" t="s">
        <v>812</v>
      </c>
      <c r="AA235" s="27">
        <v>0</v>
      </c>
      <c r="AB235" s="27">
        <v>0.36036036036036034</v>
      </c>
      <c r="AC235" s="27">
        <v>0</v>
      </c>
    </row>
    <row r="236" spans="1:29" x14ac:dyDescent="0.25">
      <c r="B236"/>
      <c r="C236"/>
      <c r="D236"/>
      <c r="E236"/>
      <c r="F236" s="13"/>
      <c r="Z236" s="26" t="s">
        <v>815</v>
      </c>
      <c r="AA236" s="27">
        <v>1</v>
      </c>
      <c r="AB236" s="27">
        <v>0.48484848484848486</v>
      </c>
      <c r="AC236" s="27">
        <v>0</v>
      </c>
    </row>
    <row r="237" spans="1:29" x14ac:dyDescent="0.25">
      <c r="B237"/>
      <c r="C237"/>
      <c r="D237"/>
      <c r="E237"/>
      <c r="F237" s="13"/>
      <c r="Z237" s="26" t="s">
        <v>838</v>
      </c>
      <c r="AA237" s="27">
        <v>1</v>
      </c>
      <c r="AB237" s="27">
        <v>0.71846934791097228</v>
      </c>
      <c r="AC237" s="27">
        <v>3.9047247169074581E-2</v>
      </c>
    </row>
    <row r="238" spans="1:29" x14ac:dyDescent="0.25">
      <c r="A238" s="12"/>
      <c r="B238"/>
      <c r="C238"/>
      <c r="D238"/>
      <c r="E238"/>
      <c r="F238" s="13"/>
      <c r="O238" s="12"/>
      <c r="Z238" s="26" t="s">
        <v>73</v>
      </c>
      <c r="AA238" s="27">
        <v>0.95422463276836156</v>
      </c>
      <c r="AB238" s="27">
        <v>0.89873898305084743</v>
      </c>
      <c r="AC238" s="27">
        <v>0.54915254237288136</v>
      </c>
    </row>
    <row r="239" spans="1:29" s="12" customFormat="1" x14ac:dyDescent="0.25">
      <c r="B239"/>
      <c r="C239"/>
      <c r="D239"/>
      <c r="E239"/>
      <c r="F239" s="13"/>
      <c r="G239" s="11"/>
      <c r="H239" s="11"/>
      <c r="I239" s="11"/>
      <c r="J239" s="11"/>
      <c r="K239" s="11"/>
      <c r="L239" s="11"/>
      <c r="M239" s="11"/>
      <c r="N239" s="11"/>
      <c r="Z239"/>
      <c r="AA239"/>
      <c r="AB239"/>
      <c r="AC239"/>
    </row>
    <row r="240" spans="1:29" s="12" customFormat="1" x14ac:dyDescent="0.25">
      <c r="B240"/>
      <c r="C240"/>
      <c r="D240"/>
      <c r="E240"/>
      <c r="F240" s="13"/>
      <c r="G240" s="11"/>
      <c r="H240" s="11"/>
      <c r="I240" s="11"/>
      <c r="J240" s="11"/>
      <c r="K240" s="11"/>
      <c r="L240" s="11"/>
      <c r="M240" s="11"/>
      <c r="N240" s="11"/>
      <c r="Z240"/>
      <c r="AA240"/>
      <c r="AB240"/>
      <c r="AC240"/>
    </row>
    <row r="241" spans="2:29" s="12" customFormat="1" x14ac:dyDescent="0.25">
      <c r="B241"/>
      <c r="C241"/>
      <c r="D241"/>
      <c r="E241"/>
      <c r="F241" s="13"/>
      <c r="G241" s="11"/>
      <c r="H241" s="11"/>
      <c r="I241" s="11"/>
      <c r="J241" s="11"/>
      <c r="K241" s="11"/>
      <c r="L241" s="11"/>
      <c r="M241" s="11"/>
      <c r="N241" s="11"/>
      <c r="Z241"/>
      <c r="AA241"/>
      <c r="AB241"/>
      <c r="AC241"/>
    </row>
    <row r="242" spans="2:29" s="12" customFormat="1" x14ac:dyDescent="0.25">
      <c r="B242"/>
      <c r="C242"/>
      <c r="D242"/>
      <c r="E242"/>
      <c r="F242" s="13"/>
      <c r="G242" s="11"/>
      <c r="H242" s="11"/>
      <c r="I242" s="11"/>
      <c r="J242" s="11"/>
      <c r="K242" s="11"/>
      <c r="L242" s="11"/>
      <c r="M242" s="11"/>
      <c r="N242" s="11"/>
      <c r="Z242"/>
      <c r="AA242"/>
      <c r="AB242"/>
      <c r="AC242"/>
    </row>
    <row r="243" spans="2:29" s="12" customFormat="1" x14ac:dyDescent="0.25">
      <c r="B243" s="11"/>
      <c r="C243" s="14"/>
      <c r="D243" s="14"/>
      <c r="E243" s="16"/>
      <c r="F243" s="13"/>
      <c r="G243" s="11"/>
      <c r="H243" s="11"/>
      <c r="I243" s="11"/>
      <c r="J243" s="11"/>
      <c r="K243" s="11"/>
      <c r="L243" s="11"/>
      <c r="M243" s="11"/>
      <c r="N243" s="11"/>
      <c r="Z243"/>
      <c r="AA243"/>
      <c r="AB243"/>
      <c r="AC243"/>
    </row>
    <row r="244" spans="2:29" s="12" customFormat="1" x14ac:dyDescent="0.25">
      <c r="B244" s="11"/>
      <c r="C244" s="14"/>
      <c r="D244" s="14"/>
      <c r="E244" s="16"/>
      <c r="F244" s="13"/>
      <c r="G244" s="11"/>
      <c r="H244" s="11"/>
      <c r="I244" s="11"/>
      <c r="J244" s="11"/>
      <c r="K244" s="11"/>
      <c r="L244" s="11"/>
      <c r="M244" s="11"/>
      <c r="N244" s="11"/>
      <c r="Z244"/>
      <c r="AA244"/>
      <c r="AB244"/>
      <c r="AC244"/>
    </row>
    <row r="245" spans="2:29" s="12" customFormat="1" x14ac:dyDescent="0.25">
      <c r="B245" s="11"/>
      <c r="C245" s="14"/>
      <c r="D245" s="14"/>
      <c r="E245" s="14"/>
      <c r="F245" s="11"/>
      <c r="G245" s="11"/>
      <c r="H245" s="11"/>
      <c r="I245" s="11"/>
      <c r="J245" s="11"/>
      <c r="K245" s="11"/>
      <c r="L245" s="11"/>
      <c r="M245" s="11"/>
      <c r="N245" s="11"/>
      <c r="Z245"/>
      <c r="AA245"/>
      <c r="AB245"/>
      <c r="AC245"/>
    </row>
    <row r="246" spans="2:29" s="12" customFormat="1" x14ac:dyDescent="0.25">
      <c r="B246" s="11"/>
      <c r="C246" s="14"/>
      <c r="D246" s="14"/>
      <c r="E246" s="14"/>
      <c r="F246" s="11"/>
      <c r="G246" s="11"/>
      <c r="H246" s="11"/>
      <c r="I246" s="11"/>
      <c r="J246" s="11"/>
      <c r="K246" s="11"/>
      <c r="L246" s="11"/>
      <c r="M246" s="11"/>
      <c r="N246" s="11"/>
      <c r="Z246"/>
      <c r="AA246"/>
      <c r="AB246"/>
      <c r="AC246"/>
    </row>
    <row r="247" spans="2:29" s="12" customFormat="1" x14ac:dyDescent="0.25">
      <c r="C247" s="16"/>
      <c r="D247" s="30"/>
      <c r="E247" s="15"/>
      <c r="Z247"/>
      <c r="AA247"/>
      <c r="AB247"/>
      <c r="AC247"/>
    </row>
    <row r="248" spans="2:29" s="12" customFormat="1" x14ac:dyDescent="0.25">
      <c r="C248" s="16"/>
      <c r="D248" s="30"/>
      <c r="E248" s="15"/>
      <c r="Z248"/>
      <c r="AA248"/>
      <c r="AB248"/>
      <c r="AC248"/>
    </row>
    <row r="249" spans="2:29" s="12" customFormat="1" x14ac:dyDescent="0.25">
      <c r="B249" s="29" t="s">
        <v>3</v>
      </c>
      <c r="C249" t="s">
        <v>467</v>
      </c>
      <c r="D249" s="30"/>
      <c r="E249" s="15"/>
      <c r="Z249"/>
      <c r="AA249"/>
      <c r="AB249"/>
      <c r="AC249"/>
    </row>
    <row r="250" spans="2:29" s="12" customFormat="1" x14ac:dyDescent="0.25">
      <c r="B250" s="29" t="s">
        <v>294</v>
      </c>
      <c r="C250" t="s">
        <v>74</v>
      </c>
      <c r="D250" s="14"/>
      <c r="E250" s="14"/>
      <c r="Z250"/>
      <c r="AA250"/>
      <c r="AB250"/>
      <c r="AC250"/>
    </row>
    <row r="251" spans="2:29" s="12" customFormat="1" x14ac:dyDescent="0.25">
      <c r="B251" s="11"/>
      <c r="C251" s="14"/>
      <c r="D251" s="14"/>
      <c r="E251" s="14"/>
      <c r="Z251"/>
      <c r="AA251"/>
      <c r="AB251"/>
      <c r="AC251"/>
    </row>
    <row r="252" spans="2:29" s="12" customFormat="1" ht="30" x14ac:dyDescent="0.25">
      <c r="B252" s="308" t="s">
        <v>242</v>
      </c>
      <c r="C252" s="315" t="s">
        <v>693</v>
      </c>
      <c r="D252" s="315" t="s">
        <v>694</v>
      </c>
      <c r="E252" s="318"/>
    </row>
    <row r="253" spans="2:29" s="12" customFormat="1" x14ac:dyDescent="0.25">
      <c r="B253" s="26" t="s">
        <v>180</v>
      </c>
      <c r="C253" s="303">
        <v>0.49401568303755677</v>
      </c>
      <c r="D253" s="303">
        <v>0.27211445866006329</v>
      </c>
      <c r="E253"/>
    </row>
    <row r="254" spans="2:29" s="12" customFormat="1" x14ac:dyDescent="0.25">
      <c r="B254" s="26" t="s">
        <v>107</v>
      </c>
      <c r="C254" s="303">
        <v>0.37360890302066774</v>
      </c>
      <c r="D254" s="303">
        <v>0.47416534181240061</v>
      </c>
      <c r="E254"/>
    </row>
    <row r="255" spans="2:29" s="12" customFormat="1" x14ac:dyDescent="0.25">
      <c r="B255" s="26" t="s">
        <v>110</v>
      </c>
      <c r="C255" s="303">
        <v>0.73387978142076504</v>
      </c>
      <c r="D255" s="303">
        <v>6.2295081967213117E-2</v>
      </c>
      <c r="E255"/>
    </row>
    <row r="256" spans="2:29" s="12" customFormat="1" x14ac:dyDescent="0.25">
      <c r="B256" s="26" t="s">
        <v>128</v>
      </c>
      <c r="C256" s="303">
        <v>0</v>
      </c>
      <c r="D256" s="303">
        <v>0</v>
      </c>
      <c r="E256"/>
    </row>
    <row r="257" spans="1:15" s="12" customFormat="1" x14ac:dyDescent="0.25">
      <c r="B257" s="26" t="s">
        <v>205</v>
      </c>
      <c r="C257" s="303">
        <v>0.17314487632508835</v>
      </c>
      <c r="D257" s="303">
        <v>0.76466431095406362</v>
      </c>
      <c r="E257"/>
    </row>
    <row r="258" spans="1:15" s="12" customFormat="1" x14ac:dyDescent="0.25">
      <c r="B258" s="26" t="s">
        <v>325</v>
      </c>
      <c r="C258" s="303">
        <v>0</v>
      </c>
      <c r="D258" s="303">
        <v>0.5714285714285714</v>
      </c>
      <c r="E258"/>
    </row>
    <row r="259" spans="1:15" s="12" customFormat="1" x14ac:dyDescent="0.25">
      <c r="B259" s="26" t="s">
        <v>186</v>
      </c>
      <c r="C259" s="303">
        <v>0.51328480436760693</v>
      </c>
      <c r="D259" s="303">
        <v>0.35941765241128298</v>
      </c>
      <c r="E259"/>
    </row>
    <row r="260" spans="1:15" s="12" customFormat="1" x14ac:dyDescent="0.25">
      <c r="B260" s="26" t="s">
        <v>187</v>
      </c>
      <c r="C260" s="303">
        <v>0.34682080924855491</v>
      </c>
      <c r="D260" s="303">
        <v>0.65317919075144504</v>
      </c>
      <c r="E260"/>
    </row>
    <row r="261" spans="1:15" s="12" customFormat="1" x14ac:dyDescent="0.25">
      <c r="B261" s="26" t="s">
        <v>225</v>
      </c>
      <c r="C261" s="303">
        <v>1</v>
      </c>
      <c r="D261" s="303">
        <v>0</v>
      </c>
      <c r="E261"/>
    </row>
    <row r="262" spans="1:15" s="12" customFormat="1" x14ac:dyDescent="0.25">
      <c r="B262" s="26" t="s">
        <v>133</v>
      </c>
      <c r="C262" s="303">
        <v>1</v>
      </c>
      <c r="D262" s="303">
        <v>0</v>
      </c>
      <c r="E262"/>
    </row>
    <row r="263" spans="1:15" s="12" customFormat="1" x14ac:dyDescent="0.25">
      <c r="B263" s="26" t="s">
        <v>188</v>
      </c>
      <c r="C263" s="303">
        <v>0.85648954703832758</v>
      </c>
      <c r="D263" s="303">
        <v>9.6145470383275256E-2</v>
      </c>
      <c r="E263"/>
    </row>
    <row r="264" spans="1:15" s="12" customFormat="1" x14ac:dyDescent="0.25">
      <c r="B264" s="26" t="s">
        <v>214</v>
      </c>
      <c r="C264" s="303">
        <v>0.11857707509881422</v>
      </c>
      <c r="D264" s="303">
        <v>0.88142292490118579</v>
      </c>
      <c r="E264"/>
    </row>
    <row r="265" spans="1:15" s="12" customFormat="1" x14ac:dyDescent="0.25">
      <c r="B265" s="26" t="s">
        <v>135</v>
      </c>
      <c r="C265" s="303">
        <v>0.84652002626395273</v>
      </c>
      <c r="D265" s="303">
        <v>4.2186474064346682E-2</v>
      </c>
      <c r="E265"/>
    </row>
    <row r="266" spans="1:15" s="12" customFormat="1" x14ac:dyDescent="0.25">
      <c r="B266" s="26" t="s">
        <v>486</v>
      </c>
      <c r="C266" s="303">
        <v>0.45067133683596028</v>
      </c>
      <c r="D266" s="303">
        <v>0.4319906596614127</v>
      </c>
      <c r="E266"/>
    </row>
    <row r="267" spans="1:15" s="12" customFormat="1" x14ac:dyDescent="0.25">
      <c r="B267" s="26" t="s">
        <v>232</v>
      </c>
      <c r="C267" s="303">
        <v>0.85106382978723405</v>
      </c>
      <c r="D267" s="303">
        <v>0.14893617021276595</v>
      </c>
      <c r="E267"/>
    </row>
    <row r="268" spans="1:15" s="12" customFormat="1" x14ac:dyDescent="0.25">
      <c r="B268" s="26" t="s">
        <v>224</v>
      </c>
      <c r="C268" s="303">
        <v>0</v>
      </c>
      <c r="D268" s="303">
        <v>0.72189349112426038</v>
      </c>
      <c r="E268"/>
    </row>
    <row r="269" spans="1:15" s="12" customFormat="1" x14ac:dyDescent="0.25">
      <c r="B269" s="26" t="s">
        <v>223</v>
      </c>
      <c r="C269" s="303">
        <v>0.87196467991169979</v>
      </c>
      <c r="D269" s="303">
        <v>0.12803532008830024</v>
      </c>
      <c r="E269"/>
    </row>
    <row r="270" spans="1:15" s="12" customFormat="1" x14ac:dyDescent="0.25">
      <c r="A270" s="11"/>
      <c r="B270" s="26" t="s">
        <v>158</v>
      </c>
      <c r="C270" s="303">
        <v>0.38314821047907549</v>
      </c>
      <c r="D270" s="303">
        <v>0.57298328284528222</v>
      </c>
      <c r="E270"/>
      <c r="O270" s="11"/>
    </row>
    <row r="271" spans="1:15" x14ac:dyDescent="0.25">
      <c r="B271" s="26" t="s">
        <v>808</v>
      </c>
      <c r="C271" s="303">
        <v>0.13029315960912052</v>
      </c>
      <c r="D271" s="303">
        <v>0.13029315960912052</v>
      </c>
      <c r="E271"/>
      <c r="F271" s="12"/>
      <c r="G271" s="12"/>
      <c r="H271" s="12"/>
      <c r="I271" s="12"/>
      <c r="J271" s="12"/>
      <c r="K271" s="12"/>
      <c r="L271" s="12"/>
      <c r="M271" s="12"/>
      <c r="N271" s="12"/>
    </row>
    <row r="272" spans="1:15" x14ac:dyDescent="0.25">
      <c r="B272" s="26" t="s">
        <v>73</v>
      </c>
      <c r="C272" s="303">
        <v>0.58078644067796614</v>
      </c>
      <c r="D272" s="303">
        <v>0.31795254237288134</v>
      </c>
      <c r="E272"/>
      <c r="F272" s="12"/>
      <c r="G272" s="12"/>
      <c r="H272" s="12"/>
      <c r="I272" s="12"/>
      <c r="J272" s="12"/>
      <c r="K272" s="12"/>
      <c r="L272" s="12"/>
      <c r="M272" s="12"/>
      <c r="N272" s="12"/>
    </row>
    <row r="273" spans="2:14" x14ac:dyDescent="0.25">
      <c r="B273"/>
      <c r="C273"/>
      <c r="D273"/>
      <c r="E273"/>
      <c r="F273" s="12"/>
      <c r="G273" s="12"/>
      <c r="H273" s="12"/>
      <c r="I273" s="12"/>
      <c r="J273" s="12"/>
      <c r="K273" s="12"/>
      <c r="L273" s="12"/>
      <c r="M273" s="12"/>
      <c r="N273" s="12"/>
    </row>
    <row r="274" spans="2:14" x14ac:dyDescent="0.25">
      <c r="B274" s="12"/>
      <c r="C274" s="12"/>
      <c r="D274" s="12"/>
      <c r="E274" s="15"/>
      <c r="F274" s="12"/>
      <c r="G274" s="12"/>
      <c r="H274" s="12"/>
      <c r="I274" s="12"/>
      <c r="J274" s="12"/>
      <c r="K274" s="12"/>
      <c r="L274" s="12"/>
      <c r="M274" s="12"/>
      <c r="N274" s="12"/>
    </row>
    <row r="275" spans="2:14" x14ac:dyDescent="0.25">
      <c r="B275" s="12"/>
      <c r="C275" s="16"/>
      <c r="D275" s="15"/>
      <c r="E275" s="15"/>
      <c r="F275" s="12"/>
      <c r="G275" s="12"/>
      <c r="H275" s="12"/>
      <c r="I275" s="12"/>
      <c r="J275" s="12"/>
      <c r="K275" s="12"/>
      <c r="L275" s="12"/>
      <c r="M275" s="12"/>
      <c r="N275" s="12"/>
    </row>
    <row r="276" spans="2:14" x14ac:dyDescent="0.25">
      <c r="B276" s="12"/>
      <c r="C276" s="16"/>
      <c r="D276" s="15"/>
      <c r="E276" s="15"/>
      <c r="F276" s="12"/>
      <c r="G276" s="12"/>
      <c r="H276" s="12"/>
      <c r="I276" s="12"/>
      <c r="J276" s="12"/>
      <c r="K276" s="12"/>
      <c r="L276" s="12"/>
      <c r="M276" s="12"/>
      <c r="N276" s="12"/>
    </row>
    <row r="277" spans="2:14" x14ac:dyDescent="0.25">
      <c r="B277" s="12"/>
      <c r="C277" s="16"/>
      <c r="D277" s="15"/>
      <c r="E277" s="15"/>
      <c r="F277" s="12"/>
      <c r="G277" s="12"/>
      <c r="H277" s="12"/>
      <c r="I277" s="12"/>
      <c r="J277" s="12"/>
      <c r="K277" s="12"/>
      <c r="L277" s="12"/>
      <c r="M277" s="12"/>
      <c r="N277" s="12"/>
    </row>
    <row r="278" spans="2:14" x14ac:dyDescent="0.25">
      <c r="B278" s="12"/>
      <c r="C278" s="16"/>
      <c r="D278" s="15"/>
      <c r="E278" s="15"/>
      <c r="F278" s="12"/>
      <c r="G278" s="12"/>
      <c r="H278" s="12"/>
      <c r="I278" s="12"/>
      <c r="J278" s="12"/>
      <c r="K278" s="12"/>
      <c r="L278" s="12"/>
      <c r="M278" s="12"/>
      <c r="N278" s="12"/>
    </row>
    <row r="279" spans="2:14" x14ac:dyDescent="0.25">
      <c r="B279" s="29" t="s">
        <v>3</v>
      </c>
      <c r="C279" t="s">
        <v>467</v>
      </c>
    </row>
    <row r="280" spans="2:14" x14ac:dyDescent="0.25">
      <c r="B280" s="29" t="s">
        <v>294</v>
      </c>
      <c r="C280" t="s">
        <v>74</v>
      </c>
    </row>
    <row r="282" spans="2:14" ht="30" x14ac:dyDescent="0.25">
      <c r="B282" s="308" t="s">
        <v>242</v>
      </c>
      <c r="C282" s="315" t="s">
        <v>693</v>
      </c>
      <c r="D282" s="315" t="s">
        <v>702</v>
      </c>
    </row>
    <row r="283" spans="2:14" x14ac:dyDescent="0.25">
      <c r="B283" s="26" t="s">
        <v>264</v>
      </c>
      <c r="C283" s="303">
        <v>0.73387978142076504</v>
      </c>
      <c r="D283" s="303">
        <v>6.2295081967213117E-2</v>
      </c>
    </row>
    <row r="284" spans="2:14" x14ac:dyDescent="0.25">
      <c r="B284" s="26" t="s">
        <v>265</v>
      </c>
      <c r="C284" s="303">
        <v>0.82089912987431513</v>
      </c>
      <c r="D284" s="303">
        <v>8.5723493393490169E-2</v>
      </c>
    </row>
    <row r="285" spans="2:14" x14ac:dyDescent="0.25">
      <c r="B285" s="26" t="s">
        <v>266</v>
      </c>
      <c r="C285" s="303">
        <v>1</v>
      </c>
      <c r="D285" s="303">
        <v>0</v>
      </c>
    </row>
    <row r="286" spans="2:14" x14ac:dyDescent="0.25">
      <c r="B286" s="26" t="s">
        <v>267</v>
      </c>
      <c r="C286" s="303">
        <v>0.52525514616848301</v>
      </c>
      <c r="D286" s="303">
        <v>0.27893098079916967</v>
      </c>
    </row>
    <row r="287" spans="2:14" x14ac:dyDescent="0.25">
      <c r="B287" s="26" t="s">
        <v>268</v>
      </c>
      <c r="C287" s="303">
        <v>0.52200886262924673</v>
      </c>
      <c r="D287" s="303">
        <v>0.46317085179714429</v>
      </c>
    </row>
    <row r="288" spans="2:14" x14ac:dyDescent="0.25">
      <c r="B288" s="26" t="s">
        <v>273</v>
      </c>
      <c r="C288" s="303">
        <v>0.69408495434696305</v>
      </c>
      <c r="D288" s="303">
        <v>0.20460500198491466</v>
      </c>
    </row>
    <row r="289" spans="2:6" x14ac:dyDescent="0.25">
      <c r="B289" s="26" t="s">
        <v>274</v>
      </c>
      <c r="C289" s="303">
        <v>0.40580624802776899</v>
      </c>
      <c r="D289" s="303">
        <v>0.49479331019248973</v>
      </c>
    </row>
    <row r="290" spans="2:6" x14ac:dyDescent="0.25">
      <c r="B290" s="26" t="s">
        <v>275</v>
      </c>
      <c r="C290" s="303">
        <v>0.16550522648083624</v>
      </c>
      <c r="D290" s="303">
        <v>0.65156794425087106</v>
      </c>
    </row>
    <row r="291" spans="2:6" x14ac:dyDescent="0.25">
      <c r="B291" s="26" t="s">
        <v>276</v>
      </c>
      <c r="C291" s="303">
        <v>0.40712468193384221</v>
      </c>
      <c r="D291" s="303">
        <v>0.59287531806615779</v>
      </c>
    </row>
    <row r="292" spans="2:6" x14ac:dyDescent="0.25">
      <c r="B292" s="26" t="s">
        <v>322</v>
      </c>
      <c r="C292" s="303">
        <v>0.34344172451589333</v>
      </c>
      <c r="D292" s="303">
        <v>0.48776032151991233</v>
      </c>
    </row>
    <row r="293" spans="2:6" x14ac:dyDescent="0.25">
      <c r="B293" s="26" t="s">
        <v>73</v>
      </c>
      <c r="C293" s="303">
        <v>0.58078644067796614</v>
      </c>
      <c r="D293" s="303">
        <v>0.31795254237288134</v>
      </c>
    </row>
    <row r="294" spans="2:6" x14ac:dyDescent="0.25">
      <c r="B294"/>
      <c r="C294"/>
      <c r="D294"/>
    </row>
    <row r="295" spans="2:6" x14ac:dyDescent="0.25">
      <c r="B295"/>
      <c r="C295"/>
      <c r="D295"/>
    </row>
    <row r="296" spans="2:6" x14ac:dyDescent="0.25">
      <c r="E296" s="16"/>
      <c r="F296" s="13"/>
    </row>
    <row r="297" spans="2:6" x14ac:dyDescent="0.25">
      <c r="E297" s="16"/>
      <c r="F297" s="13"/>
    </row>
    <row r="298" spans="2:6" x14ac:dyDescent="0.25">
      <c r="E298" s="16"/>
      <c r="F298" s="13"/>
    </row>
    <row r="299" spans="2:6" x14ac:dyDescent="0.25">
      <c r="E299" s="16"/>
      <c r="F299" s="13"/>
    </row>
    <row r="300" spans="2:6" x14ac:dyDescent="0.25">
      <c r="E300" s="16"/>
      <c r="F300" s="13"/>
    </row>
    <row r="301" spans="2:6" x14ac:dyDescent="0.25">
      <c r="B301" s="29" t="s">
        <v>3</v>
      </c>
      <c r="C301" t="s">
        <v>74</v>
      </c>
      <c r="E301" s="16"/>
      <c r="F301" s="13"/>
    </row>
    <row r="302" spans="2:6" x14ac:dyDescent="0.25">
      <c r="B302" s="29" t="s">
        <v>294</v>
      </c>
      <c r="C302" t="s">
        <v>74</v>
      </c>
      <c r="E302" s="16"/>
      <c r="F302" s="13"/>
    </row>
    <row r="303" spans="2:6" x14ac:dyDescent="0.25">
      <c r="E303" s="16"/>
      <c r="F303" s="13"/>
    </row>
    <row r="304" spans="2:6" ht="30" x14ac:dyDescent="0.25">
      <c r="B304" s="308" t="s">
        <v>242</v>
      </c>
      <c r="C304" s="315" t="s">
        <v>695</v>
      </c>
      <c r="D304" s="315" t="s">
        <v>694</v>
      </c>
      <c r="E304" s="16"/>
      <c r="F304" s="13"/>
    </row>
    <row r="305" spans="1:15" x14ac:dyDescent="0.25">
      <c r="B305" s="26" t="s">
        <v>218</v>
      </c>
      <c r="C305" s="303">
        <v>0.55561668183068491</v>
      </c>
      <c r="D305" s="303">
        <v>0.29121262774803747</v>
      </c>
      <c r="E305" s="16"/>
      <c r="F305" s="13"/>
    </row>
    <row r="306" spans="1:15" x14ac:dyDescent="0.25">
      <c r="B306" s="26" t="s">
        <v>226</v>
      </c>
      <c r="C306" s="303">
        <v>0.60384583597344277</v>
      </c>
      <c r="D306" s="303">
        <v>0.34874238959750958</v>
      </c>
      <c r="E306" s="16"/>
      <c r="F306" s="13"/>
    </row>
    <row r="307" spans="1:15" x14ac:dyDescent="0.25">
      <c r="A307" s="12"/>
      <c r="B307" s="26" t="s">
        <v>73</v>
      </c>
      <c r="C307" s="303">
        <v>0.57656773575873621</v>
      </c>
      <c r="D307" s="303">
        <v>0.31620392532312114</v>
      </c>
      <c r="E307" s="16"/>
      <c r="F307" s="13"/>
      <c r="O307" s="12"/>
    </row>
    <row r="308" spans="1:15" s="12" customFormat="1" ht="24" customHeight="1" x14ac:dyDescent="0.25">
      <c r="A308" s="11"/>
      <c r="B308"/>
      <c r="C308"/>
      <c r="D308"/>
      <c r="E308" s="16"/>
      <c r="F308" s="13"/>
      <c r="G308" s="11"/>
      <c r="H308" s="11"/>
      <c r="I308" s="11"/>
      <c r="J308" s="11"/>
      <c r="K308" s="11"/>
      <c r="L308" s="11"/>
      <c r="M308" s="11"/>
      <c r="N308" s="11"/>
      <c r="O308" s="11"/>
    </row>
    <row r="309" spans="1:15" x14ac:dyDescent="0.25">
      <c r="B309"/>
      <c r="C309"/>
      <c r="D309"/>
      <c r="E309" s="16"/>
      <c r="F309" s="13"/>
    </row>
    <row r="310" spans="1:15" x14ac:dyDescent="0.25">
      <c r="B310"/>
      <c r="C310"/>
      <c r="D310"/>
      <c r="E310" s="16"/>
      <c r="F310" s="13"/>
    </row>
    <row r="311" spans="1:15" x14ac:dyDescent="0.25">
      <c r="B311"/>
      <c r="C311"/>
      <c r="D311"/>
      <c r="E311" s="16"/>
      <c r="F311" s="13"/>
    </row>
    <row r="312" spans="1:15" x14ac:dyDescent="0.25">
      <c r="B312"/>
      <c r="C312"/>
      <c r="D312"/>
      <c r="E312" s="16"/>
      <c r="F312" s="13"/>
    </row>
    <row r="313" spans="1:15" x14ac:dyDescent="0.25">
      <c r="B313"/>
      <c r="C313"/>
      <c r="D313"/>
      <c r="E313" s="16"/>
      <c r="F313" s="13"/>
    </row>
    <row r="314" spans="1:15" x14ac:dyDescent="0.25">
      <c r="B314"/>
      <c r="C314"/>
      <c r="D314"/>
      <c r="E314" s="16"/>
      <c r="F314" s="13"/>
    </row>
    <row r="315" spans="1:15" x14ac:dyDescent="0.25">
      <c r="B315"/>
      <c r="C315"/>
      <c r="D315"/>
      <c r="I315" s="12"/>
      <c r="J315" s="12"/>
      <c r="K315" s="12"/>
      <c r="L315" s="12"/>
      <c r="M315" s="12"/>
      <c r="N315" s="12"/>
    </row>
    <row r="316" spans="1:15" x14ac:dyDescent="0.25">
      <c r="A316" s="12"/>
      <c r="B316"/>
      <c r="C316"/>
      <c r="D316"/>
      <c r="I316" s="12"/>
      <c r="J316" s="12"/>
      <c r="K316" s="12"/>
      <c r="L316" s="12"/>
      <c r="M316" s="12"/>
      <c r="N316" s="12"/>
      <c r="O316" s="12"/>
    </row>
    <row r="317" spans="1:15" s="12" customFormat="1" x14ac:dyDescent="0.25">
      <c r="B317"/>
      <c r="C317"/>
      <c r="D317"/>
      <c r="E317" s="14"/>
      <c r="F317" s="11"/>
      <c r="G317" s="11"/>
      <c r="H317" s="11"/>
    </row>
    <row r="318" spans="1:15" s="12" customFormat="1" x14ac:dyDescent="0.25">
      <c r="B318" s="11"/>
      <c r="C318" s="14"/>
      <c r="D318" s="14"/>
      <c r="E318" s="14"/>
      <c r="F318" s="11"/>
      <c r="G318" s="11"/>
      <c r="H318" s="11"/>
    </row>
    <row r="319" spans="1:15" s="12" customFormat="1" x14ac:dyDescent="0.25">
      <c r="B319" s="29" t="s">
        <v>3</v>
      </c>
      <c r="C319" t="s">
        <v>467</v>
      </c>
      <c r="D319" s="14"/>
      <c r="E319" s="14"/>
      <c r="F319" s="11"/>
      <c r="G319" s="11"/>
      <c r="H319" s="11"/>
    </row>
    <row r="320" spans="1:15" s="12" customFormat="1" x14ac:dyDescent="0.25">
      <c r="B320" s="29" t="s">
        <v>294</v>
      </c>
      <c r="C320" t="s">
        <v>74</v>
      </c>
      <c r="D320" s="14"/>
      <c r="E320" s="14"/>
      <c r="F320" s="11"/>
      <c r="G320" s="11"/>
      <c r="H320" s="11"/>
    </row>
    <row r="321" spans="1:158" s="12" customFormat="1" x14ac:dyDescent="0.25">
      <c r="B321" s="11"/>
      <c r="C321" s="14"/>
      <c r="D321" s="14"/>
      <c r="E321" s="14"/>
      <c r="F321" s="11"/>
      <c r="G321" s="11"/>
      <c r="H321" s="11"/>
    </row>
    <row r="322" spans="1:158" s="12" customFormat="1" ht="30" x14ac:dyDescent="0.25">
      <c r="B322" s="308" t="s">
        <v>242</v>
      </c>
      <c r="C322" s="318" t="s">
        <v>689</v>
      </c>
      <c r="D322" s="318" t="s">
        <v>700</v>
      </c>
      <c r="E322" s="14"/>
      <c r="F322" s="11"/>
      <c r="G322" s="11"/>
      <c r="H322" s="11"/>
    </row>
    <row r="323" spans="1:158" s="12" customFormat="1" x14ac:dyDescent="0.25">
      <c r="B323" s="26" t="s">
        <v>218</v>
      </c>
      <c r="C323" s="303">
        <v>0.85278851210756179</v>
      </c>
      <c r="D323" s="303">
        <v>1.4334484256739749E-2</v>
      </c>
      <c r="E323" s="14"/>
      <c r="F323" s="11"/>
      <c r="G323" s="11"/>
      <c r="H323" s="11"/>
    </row>
    <row r="324" spans="1:158" s="12" customFormat="1" x14ac:dyDescent="0.25">
      <c r="B324" s="26" t="s">
        <v>226</v>
      </c>
      <c r="C324" s="303">
        <v>0.96568611120365122</v>
      </c>
      <c r="D324" s="303">
        <v>1.948895625811555E-4</v>
      </c>
      <c r="E324" s="14"/>
      <c r="F324" s="11"/>
      <c r="G324" s="11"/>
      <c r="H324" s="11"/>
    </row>
    <row r="325" spans="1:158" s="12" customFormat="1" x14ac:dyDescent="0.25">
      <c r="B325" s="26" t="s">
        <v>73</v>
      </c>
      <c r="C325" s="303">
        <v>0.89873898305084743</v>
      </c>
      <c r="D325" s="303">
        <v>8.5795254237286869E-3</v>
      </c>
      <c r="E325" s="14"/>
      <c r="F325" s="11"/>
      <c r="G325" s="11"/>
      <c r="H325" s="11"/>
    </row>
    <row r="326" spans="1:158" s="12" customFormat="1" x14ac:dyDescent="0.25">
      <c r="B326" s="11"/>
      <c r="C326" s="14"/>
      <c r="D326" s="14"/>
      <c r="E326" s="14"/>
      <c r="F326" s="11"/>
      <c r="G326" s="11"/>
      <c r="H326" s="11"/>
    </row>
    <row r="327" spans="1:158" s="12" customFormat="1" x14ac:dyDescent="0.25">
      <c r="A327" s="11"/>
      <c r="B327" s="11"/>
      <c r="C327" s="14"/>
      <c r="D327" s="14"/>
      <c r="E327" s="14"/>
      <c r="F327" s="11"/>
      <c r="G327" s="11"/>
      <c r="H327" s="11"/>
      <c r="O327" s="11"/>
    </row>
    <row r="328" spans="1:158" x14ac:dyDescent="0.25">
      <c r="I328" s="12"/>
      <c r="J328" s="12"/>
      <c r="K328" s="12"/>
      <c r="L328" s="12"/>
      <c r="M328" s="12"/>
      <c r="N328" s="12"/>
      <c r="O328"/>
    </row>
    <row r="329" spans="1:158" x14ac:dyDescent="0.25">
      <c r="B329" s="12"/>
      <c r="I329" s="12"/>
      <c r="J329" s="12"/>
      <c r="K329" s="12"/>
      <c r="L329" s="12"/>
      <c r="M329" s="12"/>
      <c r="N329" s="12"/>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row>
    <row r="330" spans="1:158" x14ac:dyDescent="0.25">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row>
    <row r="331" spans="1:158" x14ac:dyDescent="0.25">
      <c r="B331" s="29" t="s">
        <v>3</v>
      </c>
      <c r="C331" t="s">
        <v>74</v>
      </c>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row>
    <row r="332" spans="1:158" x14ac:dyDescent="0.25">
      <c r="B332" s="29" t="s">
        <v>294</v>
      </c>
      <c r="C332" t="s">
        <v>74</v>
      </c>
      <c r="E332"/>
      <c r="F332"/>
      <c r="G332"/>
      <c r="H332"/>
      <c r="I332"/>
      <c r="J332"/>
      <c r="K332"/>
      <c r="L332"/>
      <c r="M332"/>
      <c r="N332"/>
      <c r="O332"/>
      <c r="P332" s="318"/>
      <c r="Q332" s="318"/>
      <c r="R332" s="318"/>
      <c r="S332" s="318"/>
      <c r="T332" s="318"/>
      <c r="U332" s="318"/>
      <c r="V332" s="318"/>
      <c r="W332" s="318"/>
      <c r="X332" s="318"/>
      <c r="Y332" s="318"/>
      <c r="Z332" s="318"/>
      <c r="AA332" s="318"/>
      <c r="AB332" s="318"/>
      <c r="AC332" s="318"/>
      <c r="AD332" s="318"/>
      <c r="AE332" s="318"/>
      <c r="AF332" s="318"/>
      <c r="AG332" s="318"/>
      <c r="AH332" s="318"/>
      <c r="AI332" s="318"/>
      <c r="AJ332" s="318"/>
      <c r="AK332" s="318"/>
      <c r="AL332" s="318"/>
      <c r="AM332" s="318"/>
      <c r="AN332" s="318"/>
      <c r="AO332" s="318"/>
      <c r="AP332" s="318"/>
      <c r="AQ332" s="318"/>
      <c r="AR332" s="318"/>
      <c r="AS332" s="318"/>
      <c r="AT332" s="318"/>
      <c r="AU332" s="318"/>
      <c r="AV332" s="318"/>
      <c r="AW332" s="318"/>
      <c r="AX332" s="318"/>
      <c r="AY332" s="318"/>
      <c r="AZ332" s="318"/>
      <c r="BA332" s="318"/>
      <c r="BB332" s="318"/>
      <c r="BC332" s="318"/>
      <c r="BD332" s="318"/>
      <c r="BE332" s="318"/>
      <c r="BF332" s="318"/>
      <c r="BG332" s="318"/>
      <c r="BH332" s="318"/>
      <c r="BI332" s="318"/>
      <c r="BJ332" s="318"/>
      <c r="BK332" s="318"/>
      <c r="BL332" s="318"/>
      <c r="BM332" s="318"/>
      <c r="BN332" s="318"/>
      <c r="BO332" s="318"/>
      <c r="BP332" s="318"/>
      <c r="BQ332" s="318"/>
      <c r="BR332" s="318"/>
      <c r="BS332" s="318"/>
      <c r="BT332" s="318"/>
      <c r="BU332" s="318"/>
      <c r="BV332" s="318"/>
      <c r="BW332" s="318"/>
      <c r="BX332" s="318"/>
      <c r="BY332" s="318"/>
      <c r="BZ332" s="318"/>
      <c r="CA332" s="318"/>
      <c r="CB332" s="318"/>
      <c r="CC332" s="318"/>
      <c r="CD332" s="318"/>
      <c r="CE332" s="318"/>
      <c r="CF332" s="318"/>
      <c r="CG332" s="318"/>
      <c r="CH332" s="318"/>
      <c r="CI332" s="318"/>
      <c r="CJ332" s="318"/>
      <c r="CK332" s="318"/>
      <c r="CL332" s="318"/>
      <c r="CM332" s="318"/>
      <c r="CN332" s="318"/>
      <c r="CO332" s="318"/>
      <c r="CP332" s="318"/>
      <c r="CQ332" s="318"/>
      <c r="CR332" s="318"/>
      <c r="CS332" s="318"/>
      <c r="CT332" s="318"/>
      <c r="CU332" s="318"/>
      <c r="CV332" s="318"/>
      <c r="CW332" s="318"/>
      <c r="CX332" s="318"/>
      <c r="CY332" s="318"/>
      <c r="CZ332" s="318"/>
      <c r="DA332" s="318"/>
      <c r="DB332" s="318"/>
      <c r="DC332" s="318"/>
      <c r="DD332" s="318"/>
      <c r="DE332" s="318"/>
      <c r="DF332" s="318"/>
      <c r="DG332" s="318"/>
      <c r="DH332" s="318"/>
      <c r="DI332" s="318"/>
      <c r="DJ332" s="318"/>
      <c r="DK332" s="318"/>
      <c r="DL332" s="318"/>
      <c r="DM332" s="318"/>
      <c r="DN332" s="318"/>
      <c r="DO332" s="318"/>
      <c r="DP332" s="318"/>
      <c r="DQ332" s="318"/>
      <c r="DR332" s="318"/>
      <c r="DS332" s="318"/>
      <c r="DT332" s="318"/>
      <c r="DU332" s="318"/>
      <c r="DV332" s="318"/>
      <c r="DW332" s="318"/>
      <c r="DX332" s="318"/>
      <c r="DY332" s="318"/>
      <c r="DZ332" s="318"/>
      <c r="EA332" s="318"/>
      <c r="EB332" s="318"/>
      <c r="EC332" s="318"/>
      <c r="ED332" s="318"/>
      <c r="EE332" s="318"/>
      <c r="EF332" s="318"/>
      <c r="EG332" s="318"/>
      <c r="EH332" s="318"/>
      <c r="EI332" s="318"/>
      <c r="EJ332" s="318"/>
      <c r="EK332" s="318"/>
      <c r="EL332" s="318"/>
      <c r="EM332" s="318"/>
      <c r="EN332" s="318"/>
      <c r="EO332" s="318"/>
      <c r="EP332" s="318"/>
      <c r="EQ332" s="318"/>
      <c r="ER332" s="318"/>
      <c r="ES332" s="318"/>
      <c r="ET332" s="318"/>
      <c r="EU332" s="318"/>
      <c r="EV332" s="318"/>
      <c r="EW332" s="318"/>
      <c r="EX332" s="318"/>
      <c r="EY332" s="318"/>
      <c r="EZ332" s="318"/>
      <c r="FA332" s="318"/>
      <c r="FB332" s="318"/>
    </row>
    <row r="333" spans="1:158" x14ac:dyDescent="0.25">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row>
    <row r="334" spans="1:158" ht="30" x14ac:dyDescent="0.25">
      <c r="B334" s="308" t="s">
        <v>242</v>
      </c>
      <c r="C334" s="313" t="s">
        <v>690</v>
      </c>
      <c r="D334" s="313" t="s">
        <v>701</v>
      </c>
      <c r="E334" s="318"/>
      <c r="F334" s="318"/>
      <c r="G334" s="318"/>
      <c r="H334" s="318"/>
      <c r="I334" s="318"/>
      <c r="J334" s="318"/>
      <c r="K334" s="318"/>
      <c r="L334" s="318"/>
      <c r="M334" s="318"/>
      <c r="N334" s="318"/>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row>
    <row r="335" spans="1:158" x14ac:dyDescent="0.25">
      <c r="B335" s="26" t="s">
        <v>218</v>
      </c>
      <c r="C335" s="314">
        <v>0.5675292524491653</v>
      </c>
      <c r="D335" s="314">
        <v>5.0527919426159799E-4</v>
      </c>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row>
    <row r="336" spans="1:158" x14ac:dyDescent="0.25">
      <c r="B336" s="26" t="s">
        <v>226</v>
      </c>
      <c r="C336" s="314">
        <v>0.48698311248243753</v>
      </c>
      <c r="D336" s="314">
        <v>-1.2673351882971851E-2</v>
      </c>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row>
    <row r="337" spans="2:158" x14ac:dyDescent="0.25">
      <c r="B337" s="26" t="s">
        <v>73</v>
      </c>
      <c r="C337" s="314">
        <v>0.53253949258018185</v>
      </c>
      <c r="D337" s="314">
        <v>-5.2196026807084907E-3</v>
      </c>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row>
    <row r="338" spans="2:158" x14ac:dyDescent="0.25">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row>
    <row r="339" spans="2:158" x14ac:dyDescent="0.25">
      <c r="C339"/>
      <c r="D339"/>
      <c r="E339"/>
      <c r="F339"/>
      <c r="G339"/>
      <c r="H339"/>
      <c r="I339"/>
      <c r="J339"/>
      <c r="K339"/>
      <c r="L339"/>
      <c r="M339"/>
      <c r="N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row>
    <row r="340" spans="2:158" x14ac:dyDescent="0.25">
      <c r="C340"/>
      <c r="D340"/>
      <c r="E340"/>
      <c r="F340"/>
      <c r="G340"/>
      <c r="H340"/>
      <c r="I340"/>
      <c r="J340"/>
      <c r="K340"/>
      <c r="L340"/>
      <c r="M340"/>
      <c r="N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row>
    <row r="341" spans="2:158" x14ac:dyDescent="0.25">
      <c r="E341" s="16"/>
      <c r="F341" s="13"/>
    </row>
    <row r="342" spans="2:158" x14ac:dyDescent="0.25">
      <c r="E342" s="16"/>
      <c r="F342" s="13"/>
    </row>
    <row r="343" spans="2:158" ht="21" x14ac:dyDescent="0.25">
      <c r="B343" s="302" t="s">
        <v>98</v>
      </c>
      <c r="C343" s="36"/>
      <c r="D343" s="36"/>
      <c r="E343" s="36"/>
      <c r="F343" s="36"/>
      <c r="G343" s="36"/>
      <c r="H343" s="36"/>
      <c r="I343" s="36"/>
      <c r="J343" s="36"/>
      <c r="K343" s="36"/>
      <c r="L343" s="36"/>
      <c r="M343" s="36"/>
      <c r="N343" s="37"/>
    </row>
    <row r="344" spans="2:158" x14ac:dyDescent="0.25">
      <c r="E344" s="16"/>
      <c r="F344" s="13"/>
    </row>
    <row r="345" spans="2:158" x14ac:dyDescent="0.25">
      <c r="E345" s="16"/>
      <c r="F345" s="13"/>
    </row>
    <row r="346" spans="2:158" x14ac:dyDescent="0.25">
      <c r="B346" s="29" t="s">
        <v>3</v>
      </c>
      <c r="C346" t="s">
        <v>467</v>
      </c>
    </row>
    <row r="347" spans="2:158" x14ac:dyDescent="0.25">
      <c r="B347" s="29" t="s">
        <v>0</v>
      </c>
      <c r="C347" t="s">
        <v>74</v>
      </c>
    </row>
    <row r="348" spans="2:158" x14ac:dyDescent="0.25">
      <c r="B348" s="29" t="s">
        <v>4</v>
      </c>
      <c r="C348" t="s">
        <v>74</v>
      </c>
    </row>
    <row r="349" spans="2:158" x14ac:dyDescent="0.25">
      <c r="B349" s="29" t="s">
        <v>294</v>
      </c>
      <c r="C349" t="s">
        <v>74</v>
      </c>
    </row>
    <row r="351" spans="2:158" x14ac:dyDescent="0.25">
      <c r="B351" s="29" t="s">
        <v>242</v>
      </c>
      <c r="C351" s="317" t="s">
        <v>696</v>
      </c>
      <c r="D351"/>
    </row>
    <row r="352" spans="2:158" x14ac:dyDescent="0.25">
      <c r="B352" s="305">
        <v>0</v>
      </c>
      <c r="C352" s="304">
        <v>8177</v>
      </c>
      <c r="D352"/>
    </row>
    <row r="353" spans="2:4" x14ac:dyDescent="0.25">
      <c r="B353" s="305">
        <v>1</v>
      </c>
      <c r="C353" s="304">
        <v>350</v>
      </c>
      <c r="D353"/>
    </row>
    <row r="354" spans="2:4" x14ac:dyDescent="0.25">
      <c r="B354" s="305">
        <v>2</v>
      </c>
      <c r="C354" s="304">
        <v>98</v>
      </c>
      <c r="D354"/>
    </row>
    <row r="355" spans="2:4" x14ac:dyDescent="0.25">
      <c r="B355" s="305">
        <v>3</v>
      </c>
      <c r="C355" s="304">
        <v>31</v>
      </c>
    </row>
    <row r="356" spans="2:4" x14ac:dyDescent="0.25">
      <c r="B356" s="305">
        <v>4</v>
      </c>
      <c r="C356" s="304">
        <v>2064</v>
      </c>
    </row>
    <row r="357" spans="2:4" x14ac:dyDescent="0.25">
      <c r="B357" s="305">
        <v>5</v>
      </c>
      <c r="C357" s="304">
        <v>888</v>
      </c>
    </row>
    <row r="358" spans="2:4" x14ac:dyDescent="0.25">
      <c r="B358" s="305">
        <v>6</v>
      </c>
      <c r="C358" s="304">
        <v>1509</v>
      </c>
    </row>
    <row r="359" spans="2:4" x14ac:dyDescent="0.25">
      <c r="B359" s="305">
        <v>7</v>
      </c>
      <c r="C359" s="304">
        <v>72</v>
      </c>
    </row>
    <row r="360" spans="2:4" x14ac:dyDescent="0.25">
      <c r="B360" s="305">
        <v>8</v>
      </c>
      <c r="C360" s="304">
        <v>150</v>
      </c>
    </row>
    <row r="361" spans="2:4" x14ac:dyDescent="0.25">
      <c r="B361" s="305">
        <v>9</v>
      </c>
      <c r="C361" s="304">
        <v>444</v>
      </c>
    </row>
    <row r="362" spans="2:4" x14ac:dyDescent="0.25">
      <c r="B362" s="305">
        <v>10</v>
      </c>
      <c r="C362" s="304">
        <v>283</v>
      </c>
    </row>
    <row r="363" spans="2:4" x14ac:dyDescent="0.25">
      <c r="B363" s="305">
        <v>11</v>
      </c>
      <c r="C363" s="304">
        <v>555</v>
      </c>
    </row>
    <row r="364" spans="2:4" x14ac:dyDescent="0.25">
      <c r="B364" s="305">
        <v>12</v>
      </c>
      <c r="C364" s="304">
        <v>15</v>
      </c>
    </row>
    <row r="365" spans="2:4" x14ac:dyDescent="0.25">
      <c r="B365" s="305">
        <v>14</v>
      </c>
      <c r="C365" s="304">
        <v>1701</v>
      </c>
    </row>
    <row r="366" spans="2:4" x14ac:dyDescent="0.25">
      <c r="B366" s="26" t="s">
        <v>73</v>
      </c>
      <c r="C366" s="304">
        <v>16337</v>
      </c>
    </row>
    <row r="367" spans="2:4" x14ac:dyDescent="0.25">
      <c r="B367"/>
      <c r="C367"/>
    </row>
    <row r="368" spans="2:4" x14ac:dyDescent="0.25">
      <c r="B368" s="12"/>
      <c r="C368" s="16"/>
    </row>
    <row r="369" spans="2:3" x14ac:dyDescent="0.25">
      <c r="B369" s="12"/>
      <c r="C369" s="16"/>
    </row>
    <row r="370" spans="2:3" x14ac:dyDescent="0.25">
      <c r="B370" s="29" t="s">
        <v>3</v>
      </c>
      <c r="C370" t="s">
        <v>467</v>
      </c>
    </row>
    <row r="371" spans="2:3" x14ac:dyDescent="0.25">
      <c r="B371" s="29" t="s">
        <v>4</v>
      </c>
      <c r="C371" t="s">
        <v>74</v>
      </c>
    </row>
    <row r="372" spans="2:3" x14ac:dyDescent="0.25">
      <c r="B372" s="29" t="s">
        <v>294</v>
      </c>
      <c r="C372" t="s">
        <v>74</v>
      </c>
    </row>
    <row r="374" spans="2:3" x14ac:dyDescent="0.25">
      <c r="B374" s="29" t="s">
        <v>242</v>
      </c>
      <c r="C374" t="s">
        <v>679</v>
      </c>
    </row>
    <row r="375" spans="2:3" x14ac:dyDescent="0.25">
      <c r="B375" s="26" t="s">
        <v>180</v>
      </c>
      <c r="C375" s="303">
        <v>7.2499656073737789E-2</v>
      </c>
    </row>
    <row r="376" spans="2:3" x14ac:dyDescent="0.25">
      <c r="B376" s="26" t="s">
        <v>107</v>
      </c>
      <c r="C376" s="303">
        <v>0.79551847198906023</v>
      </c>
    </row>
    <row r="377" spans="2:3" x14ac:dyDescent="0.25">
      <c r="B377" s="26" t="s">
        <v>110</v>
      </c>
      <c r="C377" s="303">
        <v>0.20683060109289617</v>
      </c>
    </row>
    <row r="378" spans="2:3" x14ac:dyDescent="0.25">
      <c r="B378" s="26" t="s">
        <v>128</v>
      </c>
      <c r="C378" s="303">
        <v>0</v>
      </c>
    </row>
    <row r="379" spans="2:3" x14ac:dyDescent="0.25">
      <c r="B379" s="26" t="s">
        <v>205</v>
      </c>
      <c r="C379" s="303">
        <v>0.70647602988469771</v>
      </c>
    </row>
    <row r="380" spans="2:3" x14ac:dyDescent="0.25">
      <c r="B380" s="26" t="s">
        <v>325</v>
      </c>
      <c r="C380" s="303">
        <v>1</v>
      </c>
    </row>
    <row r="381" spans="2:3" x14ac:dyDescent="0.25">
      <c r="B381" s="26" t="s">
        <v>186</v>
      </c>
      <c r="C381" s="303">
        <v>0.87069558221907184</v>
      </c>
    </row>
    <row r="382" spans="2:3" x14ac:dyDescent="0.25">
      <c r="B382" s="26" t="s">
        <v>187</v>
      </c>
      <c r="C382" s="303">
        <v>0.47398843930635837</v>
      </c>
    </row>
    <row r="383" spans="2:3" x14ac:dyDescent="0.25">
      <c r="B383" s="26" t="s">
        <v>225</v>
      </c>
      <c r="C383" s="303">
        <v>1</v>
      </c>
    </row>
    <row r="384" spans="2:3" x14ac:dyDescent="0.25">
      <c r="B384" s="26" t="s">
        <v>133</v>
      </c>
      <c r="C384" s="303">
        <v>1</v>
      </c>
    </row>
    <row r="385" spans="2:3" x14ac:dyDescent="0.25">
      <c r="B385" s="26" t="s">
        <v>188</v>
      </c>
      <c r="C385" s="303">
        <v>0.34224878272134368</v>
      </c>
    </row>
    <row r="386" spans="2:3" x14ac:dyDescent="0.25">
      <c r="B386" s="26" t="s">
        <v>214</v>
      </c>
      <c r="C386" s="303">
        <v>0.74103441627301647</v>
      </c>
    </row>
    <row r="387" spans="2:3" x14ac:dyDescent="0.25">
      <c r="B387" s="26" t="s">
        <v>135</v>
      </c>
      <c r="C387" s="303">
        <v>0.82342181784072777</v>
      </c>
    </row>
    <row r="388" spans="2:3" x14ac:dyDescent="0.25">
      <c r="B388" s="26" t="s">
        <v>486</v>
      </c>
      <c r="C388" s="303">
        <v>0.99549965504431348</v>
      </c>
    </row>
    <row r="389" spans="2:3" x14ac:dyDescent="0.25">
      <c r="B389" s="26" t="s">
        <v>232</v>
      </c>
      <c r="C389" s="303">
        <v>1</v>
      </c>
    </row>
    <row r="390" spans="2:3" x14ac:dyDescent="0.25">
      <c r="B390" s="26" t="s">
        <v>224</v>
      </c>
      <c r="C390" s="303">
        <v>1</v>
      </c>
    </row>
    <row r="391" spans="2:3" x14ac:dyDescent="0.25">
      <c r="B391" s="26" t="s">
        <v>223</v>
      </c>
      <c r="C391" s="303">
        <v>0</v>
      </c>
    </row>
    <row r="392" spans="2:3" x14ac:dyDescent="0.25">
      <c r="B392" s="26" t="s">
        <v>158</v>
      </c>
      <c r="C392" s="303">
        <v>0.8088746774374509</v>
      </c>
    </row>
    <row r="393" spans="2:3" x14ac:dyDescent="0.25">
      <c r="B393" s="26" t="s">
        <v>808</v>
      </c>
      <c r="C393" s="303">
        <v>0.21884107663295047</v>
      </c>
    </row>
    <row r="394" spans="2:3" x14ac:dyDescent="0.25">
      <c r="B394" s="26" t="s">
        <v>73</v>
      </c>
      <c r="C394" s="303">
        <v>0.58988651103423473</v>
      </c>
    </row>
    <row r="395" spans="2:3" x14ac:dyDescent="0.25">
      <c r="B395"/>
      <c r="C395"/>
    </row>
    <row r="396" spans="2:3" x14ac:dyDescent="0.25">
      <c r="B396" s="12"/>
      <c r="C396" s="16"/>
    </row>
    <row r="397" spans="2:3" x14ac:dyDescent="0.25">
      <c r="B397" s="12"/>
      <c r="C397" s="16"/>
    </row>
    <row r="398" spans="2:3" x14ac:dyDescent="0.25">
      <c r="B398" s="29" t="s">
        <v>3</v>
      </c>
      <c r="C398" t="s">
        <v>467</v>
      </c>
    </row>
    <row r="399" spans="2:3" x14ac:dyDescent="0.25">
      <c r="B399" s="29" t="s">
        <v>4</v>
      </c>
      <c r="C399" t="s">
        <v>74</v>
      </c>
    </row>
    <row r="400" spans="2:3" x14ac:dyDescent="0.25">
      <c r="B400" s="29" t="s">
        <v>294</v>
      </c>
      <c r="C400" t="s">
        <v>74</v>
      </c>
    </row>
    <row r="402" spans="2:3" x14ac:dyDescent="0.25">
      <c r="B402" s="29" t="s">
        <v>242</v>
      </c>
      <c r="C402" t="s">
        <v>697</v>
      </c>
    </row>
    <row r="403" spans="2:3" x14ac:dyDescent="0.25">
      <c r="B403" s="26" t="s">
        <v>264</v>
      </c>
      <c r="C403" s="303">
        <v>0.20683060109289617</v>
      </c>
    </row>
    <row r="404" spans="2:3" x14ac:dyDescent="0.25">
      <c r="B404" s="26" t="s">
        <v>265</v>
      </c>
      <c r="C404" s="303">
        <v>0.81391280327793381</v>
      </c>
    </row>
    <row r="405" spans="2:3" x14ac:dyDescent="0.25">
      <c r="B405" s="26" t="s">
        <v>266</v>
      </c>
      <c r="C405" s="303">
        <v>1</v>
      </c>
    </row>
    <row r="406" spans="2:3" x14ac:dyDescent="0.25">
      <c r="B406" s="26" t="s">
        <v>267</v>
      </c>
      <c r="C406" s="303">
        <v>0.10534509600415153</v>
      </c>
    </row>
    <row r="407" spans="2:3" x14ac:dyDescent="0.25">
      <c r="B407" s="26" t="s">
        <v>268</v>
      </c>
      <c r="C407" s="303">
        <v>0.45952732644017724</v>
      </c>
    </row>
    <row r="408" spans="2:3" x14ac:dyDescent="0.25">
      <c r="B408" s="26" t="s">
        <v>273</v>
      </c>
      <c r="C408" s="303">
        <v>0.92873595697902245</v>
      </c>
    </row>
    <row r="409" spans="2:3" x14ac:dyDescent="0.25">
      <c r="B409" s="26" t="s">
        <v>274</v>
      </c>
      <c r="C409" s="303">
        <v>0.87522799545400842</v>
      </c>
    </row>
    <row r="410" spans="2:3" x14ac:dyDescent="0.25">
      <c r="B410" s="26" t="s">
        <v>275</v>
      </c>
      <c r="C410" s="303">
        <v>0.61953994936885193</v>
      </c>
    </row>
    <row r="411" spans="2:3" x14ac:dyDescent="0.25">
      <c r="B411" s="26" t="s">
        <v>276</v>
      </c>
      <c r="C411" s="303">
        <v>0.53689567430025442</v>
      </c>
    </row>
    <row r="412" spans="2:3" x14ac:dyDescent="0.25">
      <c r="B412" s="26" t="s">
        <v>322</v>
      </c>
      <c r="C412" s="303">
        <v>0.80581822269801817</v>
      </c>
    </row>
    <row r="413" spans="2:3" x14ac:dyDescent="0.25">
      <c r="B413" s="26" t="s">
        <v>73</v>
      </c>
      <c r="C413" s="303">
        <v>0.58988651103423473</v>
      </c>
    </row>
    <row r="414" spans="2:3" x14ac:dyDescent="0.25">
      <c r="B414"/>
      <c r="C414"/>
    </row>
    <row r="415" spans="2:3" x14ac:dyDescent="0.25">
      <c r="B415"/>
      <c r="C415"/>
    </row>
    <row r="416" spans="2:3" x14ac:dyDescent="0.25">
      <c r="B416"/>
      <c r="C416"/>
    </row>
    <row r="417" spans="2:3" x14ac:dyDescent="0.25">
      <c r="B417"/>
      <c r="C417"/>
    </row>
    <row r="418" spans="2:3" x14ac:dyDescent="0.25">
      <c r="B418"/>
      <c r="C418"/>
    </row>
    <row r="419" spans="2:3" x14ac:dyDescent="0.25">
      <c r="B419"/>
      <c r="C419"/>
    </row>
    <row r="420" spans="2:3" x14ac:dyDescent="0.25">
      <c r="B420"/>
      <c r="C420"/>
    </row>
    <row r="421" spans="2:3" x14ac:dyDescent="0.25">
      <c r="B421" s="29" t="s">
        <v>3</v>
      </c>
      <c r="C421" t="s">
        <v>74</v>
      </c>
    </row>
    <row r="422" spans="2:3" x14ac:dyDescent="0.25">
      <c r="B422" s="29" t="s">
        <v>263</v>
      </c>
      <c r="C422" t="s">
        <v>74</v>
      </c>
    </row>
    <row r="423" spans="2:3" x14ac:dyDescent="0.25">
      <c r="B423" s="29" t="s">
        <v>294</v>
      </c>
      <c r="C423" t="s">
        <v>74</v>
      </c>
    </row>
    <row r="425" spans="2:3" x14ac:dyDescent="0.25">
      <c r="B425" s="29" t="s">
        <v>242</v>
      </c>
      <c r="C425" t="s">
        <v>698</v>
      </c>
    </row>
    <row r="426" spans="2:3" x14ac:dyDescent="0.25">
      <c r="B426" s="26" t="s">
        <v>218</v>
      </c>
      <c r="C426" s="303">
        <v>0.65202915723323662</v>
      </c>
    </row>
    <row r="427" spans="2:3" x14ac:dyDescent="0.25">
      <c r="B427" s="26" t="s">
        <v>226</v>
      </c>
      <c r="C427" s="303">
        <v>0.54486349486211749</v>
      </c>
    </row>
    <row r="428" spans="2:3" x14ac:dyDescent="0.25">
      <c r="B428" s="26" t="s">
        <v>73</v>
      </c>
      <c r="C428" s="303">
        <v>0.60547570607946366</v>
      </c>
    </row>
    <row r="429" spans="2:3" x14ac:dyDescent="0.25">
      <c r="B429"/>
      <c r="C429"/>
    </row>
    <row r="430" spans="2:3" x14ac:dyDescent="0.25">
      <c r="B430"/>
      <c r="C430"/>
    </row>
    <row r="431" spans="2:3" x14ac:dyDescent="0.25">
      <c r="B431"/>
      <c r="C431"/>
    </row>
    <row r="432" spans="2:3" x14ac:dyDescent="0.25">
      <c r="B432"/>
      <c r="C432"/>
    </row>
    <row r="433" spans="2:8" x14ac:dyDescent="0.25">
      <c r="B433"/>
      <c r="C433"/>
    </row>
    <row r="434" spans="2:8" x14ac:dyDescent="0.25">
      <c r="B434"/>
      <c r="C434"/>
    </row>
    <row r="435" spans="2:8" x14ac:dyDescent="0.25">
      <c r="B435"/>
      <c r="C435"/>
    </row>
    <row r="436" spans="2:8" x14ac:dyDescent="0.25">
      <c r="B436"/>
      <c r="C436"/>
    </row>
    <row r="437" spans="2:8" x14ac:dyDescent="0.25">
      <c r="B437"/>
      <c r="C437"/>
    </row>
    <row r="438" spans="2:8" x14ac:dyDescent="0.25">
      <c r="B438"/>
      <c r="C438"/>
    </row>
    <row r="439" spans="2:8" x14ac:dyDescent="0.25">
      <c r="B439"/>
      <c r="C439"/>
    </row>
    <row r="440" spans="2:8" x14ac:dyDescent="0.25">
      <c r="B440"/>
      <c r="C440"/>
      <c r="D440"/>
      <c r="E440"/>
      <c r="F440"/>
      <c r="G440"/>
      <c r="H440"/>
    </row>
    <row r="441" spans="2:8" x14ac:dyDescent="0.25">
      <c r="B441" s="29" t="s">
        <v>3</v>
      </c>
      <c r="C441" t="s">
        <v>467</v>
      </c>
      <c r="D441"/>
      <c r="E441"/>
      <c r="F441"/>
      <c r="G441"/>
      <c r="H441"/>
    </row>
    <row r="442" spans="2:8" x14ac:dyDescent="0.25">
      <c r="B442" s="29" t="s">
        <v>4</v>
      </c>
      <c r="C442" t="s">
        <v>74</v>
      </c>
      <c r="D442"/>
      <c r="E442"/>
      <c r="F442"/>
      <c r="G442"/>
      <c r="H442"/>
    </row>
    <row r="443" spans="2:8" x14ac:dyDescent="0.25">
      <c r="B443" s="29" t="s">
        <v>294</v>
      </c>
      <c r="C443" t="s">
        <v>74</v>
      </c>
      <c r="D443"/>
      <c r="E443"/>
      <c r="F443"/>
      <c r="G443"/>
      <c r="H443"/>
    </row>
    <row r="444" spans="2:8" x14ac:dyDescent="0.25">
      <c r="D444"/>
      <c r="E444"/>
      <c r="F444"/>
      <c r="G444"/>
      <c r="H444"/>
    </row>
    <row r="445" spans="2:8" ht="45" x14ac:dyDescent="0.25">
      <c r="B445" s="308" t="s">
        <v>242</v>
      </c>
      <c r="C445" s="318" t="s">
        <v>296</v>
      </c>
      <c r="D445" s="318"/>
      <c r="E445" s="318"/>
      <c r="F445" s="318"/>
      <c r="G445" s="318"/>
      <c r="H445" s="318"/>
    </row>
    <row r="446" spans="2:8" x14ac:dyDescent="0.25">
      <c r="B446" s="26" t="s">
        <v>749</v>
      </c>
      <c r="C446" s="304">
        <v>2</v>
      </c>
      <c r="D446"/>
      <c r="E446"/>
      <c r="F446"/>
      <c r="G446"/>
      <c r="H446"/>
    </row>
    <row r="447" spans="2:8" x14ac:dyDescent="0.25">
      <c r="B447" s="26" t="s">
        <v>65</v>
      </c>
      <c r="C447" s="304">
        <v>79</v>
      </c>
      <c r="D447"/>
      <c r="E447"/>
      <c r="F447"/>
      <c r="G447"/>
      <c r="H447"/>
    </row>
    <row r="448" spans="2:8" x14ac:dyDescent="0.25">
      <c r="B448" s="26" t="s">
        <v>491</v>
      </c>
      <c r="C448" s="304">
        <v>1</v>
      </c>
      <c r="D448"/>
      <c r="E448"/>
      <c r="F448"/>
      <c r="G448"/>
      <c r="H448"/>
    </row>
    <row r="449" spans="2:8" x14ac:dyDescent="0.25">
      <c r="B449" s="26" t="s">
        <v>302</v>
      </c>
      <c r="C449" s="304">
        <v>2</v>
      </c>
      <c r="D449"/>
      <c r="E449"/>
      <c r="F449"/>
      <c r="G449"/>
      <c r="H449"/>
    </row>
    <row r="450" spans="2:8" x14ac:dyDescent="0.25">
      <c r="B450" s="26" t="s">
        <v>66</v>
      </c>
      <c r="C450" s="304">
        <v>12</v>
      </c>
      <c r="D450"/>
      <c r="E450"/>
      <c r="F450"/>
      <c r="G450"/>
      <c r="H450"/>
    </row>
    <row r="451" spans="2:8" x14ac:dyDescent="0.25">
      <c r="B451" s="26" t="s">
        <v>301</v>
      </c>
      <c r="C451" s="304">
        <v>57</v>
      </c>
      <c r="D451"/>
      <c r="E451"/>
      <c r="F451"/>
      <c r="G451"/>
      <c r="H451"/>
    </row>
    <row r="452" spans="2:8" x14ac:dyDescent="0.25">
      <c r="B452" s="26" t="s">
        <v>835</v>
      </c>
      <c r="C452" s="304">
        <v>1</v>
      </c>
      <c r="D452"/>
      <c r="E452"/>
      <c r="F452"/>
      <c r="G452"/>
      <c r="H452"/>
    </row>
    <row r="453" spans="2:8" x14ac:dyDescent="0.25">
      <c r="B453" s="26" t="s">
        <v>73</v>
      </c>
      <c r="C453" s="304">
        <v>154</v>
      </c>
      <c r="D453"/>
      <c r="E453"/>
      <c r="F453"/>
      <c r="G453"/>
      <c r="H453"/>
    </row>
    <row r="454" spans="2:8" x14ac:dyDescent="0.25">
      <c r="B454"/>
      <c r="C454"/>
      <c r="D454"/>
      <c r="E454"/>
      <c r="F454"/>
      <c r="G454"/>
      <c r="H454"/>
    </row>
    <row r="455" spans="2:8" x14ac:dyDescent="0.25">
      <c r="B455"/>
      <c r="C455"/>
      <c r="D455"/>
      <c r="E455"/>
      <c r="F455"/>
      <c r="G455"/>
      <c r="H455"/>
    </row>
    <row r="456" spans="2:8" x14ac:dyDescent="0.25">
      <c r="B456"/>
      <c r="C456"/>
      <c r="D456"/>
      <c r="E456"/>
      <c r="F456"/>
      <c r="G456"/>
      <c r="H456"/>
    </row>
    <row r="458" spans="2:8" x14ac:dyDescent="0.25">
      <c r="B458"/>
      <c r="C458"/>
    </row>
    <row r="459" spans="2:8" x14ac:dyDescent="0.25">
      <c r="B459"/>
      <c r="C459"/>
    </row>
    <row r="460" spans="2:8" x14ac:dyDescent="0.25">
      <c r="B460" s="29" t="s">
        <v>3</v>
      </c>
      <c r="C460" t="s">
        <v>467</v>
      </c>
    </row>
    <row r="461" spans="2:8" x14ac:dyDescent="0.25">
      <c r="B461" s="29" t="s">
        <v>4</v>
      </c>
      <c r="C461" t="s">
        <v>74</v>
      </c>
    </row>
    <row r="462" spans="2:8" x14ac:dyDescent="0.25">
      <c r="B462" s="29" t="s">
        <v>294</v>
      </c>
      <c r="C462" t="s">
        <v>74</v>
      </c>
    </row>
    <row r="464" spans="2:8" x14ac:dyDescent="0.25">
      <c r="B464" s="29" t="s">
        <v>242</v>
      </c>
      <c r="C464" t="s">
        <v>682</v>
      </c>
    </row>
    <row r="465" spans="2:6" x14ac:dyDescent="0.25">
      <c r="B465" s="26" t="s">
        <v>298</v>
      </c>
      <c r="C465" s="307">
        <v>75</v>
      </c>
    </row>
    <row r="466" spans="2:6" x14ac:dyDescent="0.25">
      <c r="B466" s="26" t="s">
        <v>91</v>
      </c>
      <c r="C466" s="307">
        <v>39</v>
      </c>
    </row>
    <row r="467" spans="2:6" x14ac:dyDescent="0.25">
      <c r="B467" s="26" t="s">
        <v>300</v>
      </c>
      <c r="C467" s="307">
        <v>7</v>
      </c>
    </row>
    <row r="468" spans="2:6" x14ac:dyDescent="0.25">
      <c r="B468" s="26" t="s">
        <v>299</v>
      </c>
      <c r="C468" s="307">
        <v>31</v>
      </c>
    </row>
    <row r="469" spans="2:6" x14ac:dyDescent="0.25">
      <c r="B469" s="26" t="s">
        <v>710</v>
      </c>
      <c r="C469" s="307">
        <v>1</v>
      </c>
    </row>
    <row r="470" spans="2:6" x14ac:dyDescent="0.25">
      <c r="B470" s="26" t="s">
        <v>711</v>
      </c>
      <c r="C470" s="307">
        <v>1</v>
      </c>
    </row>
    <row r="471" spans="2:6" x14ac:dyDescent="0.25">
      <c r="B471" s="26" t="s">
        <v>73</v>
      </c>
      <c r="C471" s="307">
        <v>154</v>
      </c>
    </row>
    <row r="472" spans="2:6" x14ac:dyDescent="0.25">
      <c r="B472" s="12"/>
      <c r="C472" s="17"/>
    </row>
    <row r="473" spans="2:6" x14ac:dyDescent="0.25">
      <c r="B473" s="12"/>
      <c r="C473" s="17"/>
    </row>
    <row r="474" spans="2:6" x14ac:dyDescent="0.25">
      <c r="B474" s="12"/>
      <c r="C474" s="17"/>
    </row>
    <row r="475" spans="2:6" x14ac:dyDescent="0.25">
      <c r="B475" s="12"/>
      <c r="C475" s="17"/>
    </row>
    <row r="476" spans="2:6" x14ac:dyDescent="0.25">
      <c r="B476" s="12"/>
      <c r="C476" s="17"/>
    </row>
    <row r="477" spans="2:6" x14ac:dyDescent="0.25">
      <c r="B477" s="12"/>
      <c r="C477" s="17"/>
    </row>
    <row r="478" spans="2:6" x14ac:dyDescent="0.25">
      <c r="B478" s="29" t="s">
        <v>3</v>
      </c>
      <c r="C478" t="s">
        <v>467</v>
      </c>
      <c r="D478" s="16"/>
      <c r="E478" s="16"/>
      <c r="F478" s="13"/>
    </row>
    <row r="479" spans="2:6" x14ac:dyDescent="0.25">
      <c r="B479" s="29" t="s">
        <v>4</v>
      </c>
      <c r="C479" t="s">
        <v>74</v>
      </c>
    </row>
    <row r="480" spans="2:6" x14ac:dyDescent="0.25">
      <c r="B480" s="29" t="s">
        <v>294</v>
      </c>
      <c r="C480" t="s">
        <v>74</v>
      </c>
    </row>
    <row r="482" spans="1:15" ht="30" x14ac:dyDescent="0.25">
      <c r="B482" s="308" t="s">
        <v>242</v>
      </c>
      <c r="C482" s="315" t="s">
        <v>93</v>
      </c>
    </row>
    <row r="483" spans="1:15" x14ac:dyDescent="0.25">
      <c r="B483" s="26" t="s">
        <v>298</v>
      </c>
      <c r="C483" s="307">
        <v>2</v>
      </c>
    </row>
    <row r="484" spans="1:15" x14ac:dyDescent="0.25">
      <c r="B484" s="26" t="s">
        <v>91</v>
      </c>
      <c r="C484" s="307">
        <v>60</v>
      </c>
    </row>
    <row r="485" spans="1:15" x14ac:dyDescent="0.25">
      <c r="B485" s="26" t="s">
        <v>300</v>
      </c>
      <c r="C485" s="307">
        <v>17</v>
      </c>
    </row>
    <row r="486" spans="1:15" ht="31.5" customHeight="1" x14ac:dyDescent="0.25">
      <c r="B486" s="26" t="s">
        <v>299</v>
      </c>
      <c r="C486" s="307">
        <v>66</v>
      </c>
      <c r="O486" s="12"/>
    </row>
    <row r="487" spans="1:15" x14ac:dyDescent="0.25">
      <c r="B487" s="26" t="s">
        <v>710</v>
      </c>
      <c r="C487" s="307">
        <v>6</v>
      </c>
      <c r="O487" s="12"/>
    </row>
    <row r="488" spans="1:15" x14ac:dyDescent="0.25">
      <c r="B488" s="26" t="s">
        <v>681</v>
      </c>
      <c r="C488" s="307"/>
      <c r="O488" s="12"/>
    </row>
    <row r="489" spans="1:15" x14ac:dyDescent="0.25">
      <c r="B489" s="26" t="s">
        <v>73</v>
      </c>
      <c r="C489" s="307">
        <v>151</v>
      </c>
      <c r="O489" s="12"/>
    </row>
    <row r="490" spans="1:15" x14ac:dyDescent="0.25">
      <c r="A490" s="12"/>
      <c r="O490" s="12"/>
    </row>
    <row r="491" spans="1:15" s="12" customFormat="1" ht="24.6" customHeight="1" x14ac:dyDescent="0.25">
      <c r="B491" s="11"/>
      <c r="C491" s="14"/>
      <c r="D491" s="14"/>
      <c r="E491" s="14"/>
      <c r="F491" s="11"/>
      <c r="G491" s="11"/>
      <c r="H491" s="11"/>
      <c r="I491" s="11"/>
      <c r="J491" s="11"/>
      <c r="K491" s="11"/>
      <c r="L491" s="11"/>
      <c r="M491" s="11"/>
      <c r="N491" s="11"/>
    </row>
    <row r="492" spans="1:15" s="12" customFormat="1" x14ac:dyDescent="0.25">
      <c r="B492" s="11"/>
      <c r="C492" s="14"/>
      <c r="D492" s="14"/>
      <c r="E492" s="14"/>
      <c r="F492" s="11"/>
      <c r="G492" s="11"/>
      <c r="H492" s="11"/>
      <c r="I492" s="11"/>
      <c r="J492" s="11"/>
      <c r="K492" s="11"/>
      <c r="L492" s="11"/>
      <c r="M492" s="11"/>
      <c r="N492" s="11"/>
    </row>
    <row r="493" spans="1:15" s="12" customFormat="1" x14ac:dyDescent="0.25">
      <c r="B493" s="11"/>
      <c r="C493" s="14"/>
      <c r="D493" s="14"/>
      <c r="E493" s="14"/>
      <c r="F493" s="11"/>
      <c r="G493" s="11"/>
      <c r="H493" s="11"/>
      <c r="I493" s="11"/>
      <c r="J493" s="11"/>
      <c r="K493" s="11"/>
      <c r="L493" s="11"/>
      <c r="M493" s="11"/>
      <c r="N493" s="11"/>
    </row>
    <row r="494" spans="1:15" s="12" customFormat="1" x14ac:dyDescent="0.25">
      <c r="B494" s="11"/>
      <c r="C494" s="14"/>
      <c r="D494" s="14"/>
      <c r="E494" s="14"/>
      <c r="F494" s="11"/>
      <c r="G494" s="11"/>
      <c r="H494" s="11"/>
      <c r="I494" s="11"/>
      <c r="J494" s="11"/>
      <c r="K494" s="11"/>
      <c r="L494" s="11"/>
      <c r="M494" s="11"/>
      <c r="N494" s="11"/>
    </row>
    <row r="495" spans="1:15" s="12" customFormat="1" ht="21" x14ac:dyDescent="0.25">
      <c r="B495" s="302" t="s">
        <v>752</v>
      </c>
      <c r="C495" s="36"/>
      <c r="D495" s="36"/>
      <c r="E495" s="36"/>
      <c r="F495" s="36"/>
      <c r="G495" s="36"/>
      <c r="H495" s="36"/>
      <c r="I495" s="36"/>
      <c r="J495" s="36"/>
      <c r="K495" s="36"/>
      <c r="L495" s="36"/>
      <c r="M495" s="36"/>
      <c r="N495" s="37"/>
    </row>
    <row r="496" spans="1:15" s="12" customFormat="1" x14ac:dyDescent="0.25">
      <c r="B496" s="11"/>
      <c r="C496" s="14"/>
      <c r="D496" s="14"/>
      <c r="E496" s="14"/>
      <c r="F496" s="11"/>
      <c r="G496" s="11"/>
      <c r="H496" s="11"/>
    </row>
    <row r="497" spans="1:15" s="12" customFormat="1" x14ac:dyDescent="0.25">
      <c r="B497" s="11"/>
      <c r="C497"/>
      <c r="D497"/>
      <c r="E497"/>
      <c r="F497"/>
      <c r="G497"/>
      <c r="H497"/>
      <c r="I497"/>
      <c r="J497"/>
      <c r="K497"/>
      <c r="L497"/>
      <c r="M497" s="11"/>
      <c r="N497" s="11"/>
    </row>
    <row r="498" spans="1:15" s="12" customFormat="1" x14ac:dyDescent="0.25">
      <c r="B498" s="11"/>
      <c r="C498"/>
      <c r="D498"/>
      <c r="E498"/>
      <c r="F498"/>
      <c r="G498"/>
      <c r="H498"/>
      <c r="I498"/>
      <c r="J498"/>
      <c r="K498"/>
      <c r="L498"/>
      <c r="M498" s="11"/>
      <c r="N498" s="11"/>
      <c r="O498" s="11"/>
    </row>
    <row r="499" spans="1:15" s="12" customFormat="1" x14ac:dyDescent="0.25">
      <c r="B499" s="11"/>
      <c r="C499"/>
      <c r="D499"/>
      <c r="E499"/>
      <c r="F499" s="80"/>
      <c r="G499"/>
      <c r="H499"/>
      <c r="I499"/>
      <c r="J499"/>
      <c r="K499"/>
      <c r="L499"/>
      <c r="M499" s="11"/>
      <c r="N499" s="11"/>
      <c r="O499" s="11"/>
    </row>
    <row r="500" spans="1:15" s="12" customFormat="1" x14ac:dyDescent="0.25">
      <c r="B500" s="11"/>
      <c r="C500"/>
      <c r="D500"/>
      <c r="E500"/>
      <c r="F500"/>
      <c r="G500"/>
      <c r="H500"/>
      <c r="I500"/>
      <c r="J500"/>
      <c r="K500"/>
      <c r="L500"/>
      <c r="M500" s="11"/>
      <c r="N500" s="11"/>
      <c r="O500" s="11"/>
    </row>
    <row r="501" spans="1:15" s="12" customFormat="1" ht="30" customHeight="1" x14ac:dyDescent="0.25">
      <c r="B501" s="11"/>
      <c r="C501"/>
      <c r="D501"/>
      <c r="E501"/>
      <c r="F501"/>
      <c r="G501"/>
      <c r="H501"/>
      <c r="I501"/>
      <c r="J501"/>
      <c r="K501"/>
      <c r="L501"/>
      <c r="M501" s="11"/>
      <c r="N501" s="11"/>
      <c r="O501" s="11"/>
    </row>
    <row r="502" spans="1:15" s="12" customFormat="1" x14ac:dyDescent="0.25">
      <c r="A502" s="11"/>
      <c r="B502" s="11"/>
      <c r="C502"/>
      <c r="D502"/>
      <c r="E502"/>
      <c r="F502"/>
      <c r="G502"/>
      <c r="H502"/>
      <c r="I502"/>
      <c r="J502"/>
      <c r="K502"/>
      <c r="L502"/>
      <c r="M502" s="11"/>
      <c r="N502" s="11"/>
      <c r="O502" s="11"/>
    </row>
    <row r="503" spans="1:15" x14ac:dyDescent="0.25">
      <c r="C503"/>
      <c r="D503"/>
      <c r="E503"/>
      <c r="F503"/>
      <c r="G503"/>
      <c r="H503"/>
      <c r="I503"/>
      <c r="J503"/>
      <c r="K503"/>
      <c r="L503"/>
    </row>
    <row r="504" spans="1:15" x14ac:dyDescent="0.25">
      <c r="C504"/>
      <c r="D504"/>
      <c r="E504"/>
      <c r="F504"/>
      <c r="G504"/>
      <c r="H504"/>
      <c r="I504"/>
      <c r="J504"/>
      <c r="K504"/>
      <c r="L504"/>
    </row>
    <row r="505" spans="1:15" x14ac:dyDescent="0.25">
      <c r="C505"/>
      <c r="D505"/>
      <c r="E505"/>
      <c r="F505"/>
      <c r="G505"/>
      <c r="H505"/>
      <c r="I505"/>
      <c r="J505"/>
      <c r="K505"/>
      <c r="L505"/>
    </row>
    <row r="506" spans="1:15" x14ac:dyDescent="0.25">
      <c r="C506"/>
      <c r="D506"/>
      <c r="E506"/>
      <c r="F506"/>
      <c r="G506"/>
      <c r="H506"/>
      <c r="I506"/>
      <c r="J506"/>
      <c r="K506"/>
      <c r="L506"/>
    </row>
    <row r="507" spans="1:15" x14ac:dyDescent="0.25">
      <c r="C507"/>
      <c r="D507"/>
      <c r="E507"/>
      <c r="F507"/>
      <c r="G507"/>
      <c r="H507"/>
      <c r="I507"/>
      <c r="J507"/>
      <c r="K507"/>
      <c r="L507"/>
    </row>
    <row r="508" spans="1:15" x14ac:dyDescent="0.25">
      <c r="C508"/>
      <c r="D508"/>
      <c r="E508"/>
      <c r="F508"/>
      <c r="G508"/>
      <c r="H508"/>
      <c r="I508"/>
      <c r="J508"/>
      <c r="K508"/>
      <c r="L508"/>
    </row>
    <row r="509" spans="1:15" x14ac:dyDescent="0.25">
      <c r="C509"/>
      <c r="D509"/>
      <c r="E509"/>
      <c r="F509"/>
      <c r="G509"/>
      <c r="H509"/>
      <c r="I509"/>
      <c r="J509"/>
      <c r="K509"/>
      <c r="L509"/>
    </row>
    <row r="510" spans="1:15" x14ac:dyDescent="0.25">
      <c r="C510"/>
      <c r="D510"/>
      <c r="E510"/>
      <c r="F510"/>
      <c r="G510"/>
      <c r="H510"/>
      <c r="I510"/>
      <c r="J510"/>
      <c r="K510"/>
      <c r="L510"/>
    </row>
    <row r="511" spans="1:15" x14ac:dyDescent="0.25">
      <c r="C511"/>
      <c r="D511"/>
      <c r="E511"/>
      <c r="F511"/>
      <c r="G511"/>
      <c r="H511"/>
      <c r="I511"/>
      <c r="J511"/>
      <c r="K511"/>
      <c r="L511"/>
    </row>
    <row r="512" spans="1:15" x14ac:dyDescent="0.25">
      <c r="C512"/>
      <c r="D512"/>
      <c r="E512"/>
      <c r="F512"/>
      <c r="G512"/>
      <c r="H512"/>
      <c r="I512"/>
      <c r="J512"/>
      <c r="K512"/>
      <c r="L512"/>
    </row>
    <row r="513" spans="3:12" x14ac:dyDescent="0.25">
      <c r="C513"/>
      <c r="D513"/>
      <c r="E513"/>
      <c r="F513"/>
      <c r="G513"/>
      <c r="H513"/>
      <c r="I513"/>
      <c r="J513"/>
      <c r="K513"/>
      <c r="L513"/>
    </row>
    <row r="514" spans="3:12" x14ac:dyDescent="0.25">
      <c r="C514"/>
      <c r="D514"/>
      <c r="E514"/>
      <c r="F514"/>
      <c r="G514"/>
      <c r="H514"/>
      <c r="I514"/>
      <c r="J514"/>
      <c r="K514"/>
      <c r="L514"/>
    </row>
    <row r="515" spans="3:12" x14ac:dyDescent="0.25">
      <c r="C515"/>
      <c r="D515"/>
      <c r="E515"/>
      <c r="F515"/>
      <c r="G515"/>
      <c r="H515"/>
      <c r="I515"/>
      <c r="J515"/>
      <c r="K515"/>
      <c r="L515"/>
    </row>
    <row r="516" spans="3:12" x14ac:dyDescent="0.25">
      <c r="C516"/>
      <c r="D516"/>
      <c r="E516"/>
      <c r="F516"/>
      <c r="G516"/>
      <c r="H516"/>
      <c r="I516"/>
      <c r="J516"/>
      <c r="K516"/>
      <c r="L516"/>
    </row>
    <row r="517" spans="3:12" x14ac:dyDescent="0.25">
      <c r="C517"/>
      <c r="D517"/>
      <c r="E517"/>
      <c r="F517"/>
      <c r="G517"/>
      <c r="H517"/>
      <c r="I517"/>
      <c r="J517"/>
      <c r="K517"/>
      <c r="L517"/>
    </row>
    <row r="518" spans="3:12" x14ac:dyDescent="0.25">
      <c r="C518"/>
      <c r="D518"/>
      <c r="E518"/>
      <c r="F518"/>
      <c r="G518"/>
      <c r="H518"/>
      <c r="I518"/>
      <c r="J518"/>
      <c r="K518"/>
      <c r="L518"/>
    </row>
    <row r="519" spans="3:12" x14ac:dyDescent="0.25">
      <c r="C519"/>
      <c r="D519"/>
      <c r="E519"/>
      <c r="F519"/>
      <c r="G519"/>
      <c r="H519"/>
      <c r="I519"/>
      <c r="J519"/>
      <c r="K519"/>
      <c r="L519"/>
    </row>
    <row r="520" spans="3:12" x14ac:dyDescent="0.25">
      <c r="C520"/>
      <c r="D520"/>
      <c r="E520"/>
      <c r="F520"/>
      <c r="G520"/>
      <c r="H520"/>
      <c r="I520"/>
      <c r="J520"/>
      <c r="K520"/>
      <c r="L520"/>
    </row>
    <row r="521" spans="3:12" x14ac:dyDescent="0.25">
      <c r="C521"/>
      <c r="D521"/>
      <c r="E521"/>
      <c r="F521"/>
      <c r="G521"/>
      <c r="H521"/>
      <c r="I521"/>
      <c r="J521"/>
      <c r="K521"/>
      <c r="L521"/>
    </row>
    <row r="522" spans="3:12" x14ac:dyDescent="0.25">
      <c r="C522"/>
      <c r="D522"/>
      <c r="E522"/>
      <c r="F522"/>
      <c r="G522"/>
      <c r="H522"/>
      <c r="I522"/>
      <c r="J522"/>
      <c r="K522"/>
      <c r="L522"/>
    </row>
    <row r="523" spans="3:12" x14ac:dyDescent="0.25">
      <c r="C523"/>
      <c r="D523"/>
      <c r="E523"/>
      <c r="F523"/>
      <c r="G523"/>
      <c r="H523"/>
      <c r="I523"/>
      <c r="J523"/>
      <c r="K523"/>
      <c r="L523"/>
    </row>
    <row r="524" spans="3:12" x14ac:dyDescent="0.25">
      <c r="C524"/>
      <c r="D524"/>
      <c r="E524"/>
      <c r="F524"/>
      <c r="G524"/>
      <c r="H524"/>
      <c r="I524"/>
      <c r="J524"/>
      <c r="K524"/>
      <c r="L524"/>
    </row>
    <row r="525" spans="3:12" x14ac:dyDescent="0.25">
      <c r="C525"/>
      <c r="D525"/>
      <c r="E525"/>
      <c r="F525"/>
      <c r="G525"/>
      <c r="H525"/>
      <c r="I525"/>
      <c r="J525"/>
      <c r="K525"/>
      <c r="L525"/>
    </row>
    <row r="526" spans="3:12" x14ac:dyDescent="0.25">
      <c r="C526"/>
      <c r="D526"/>
      <c r="E526"/>
      <c r="F526"/>
      <c r="G526"/>
      <c r="H526"/>
      <c r="I526"/>
      <c r="J526"/>
      <c r="K526"/>
      <c r="L526"/>
    </row>
    <row r="527" spans="3:12" x14ac:dyDescent="0.25">
      <c r="C527"/>
      <c r="D527"/>
      <c r="E527"/>
      <c r="F527"/>
      <c r="G527"/>
      <c r="H527"/>
      <c r="I527"/>
      <c r="J527"/>
      <c r="K527"/>
      <c r="L527"/>
    </row>
    <row r="528" spans="3:12" x14ac:dyDescent="0.25">
      <c r="C528"/>
      <c r="D528"/>
      <c r="E528"/>
      <c r="F528"/>
      <c r="G528"/>
      <c r="H528"/>
      <c r="I528"/>
      <c r="J528"/>
      <c r="K528"/>
      <c r="L528"/>
    </row>
    <row r="529" spans="3:12" x14ac:dyDescent="0.25">
      <c r="C529"/>
      <c r="D529"/>
      <c r="E529"/>
      <c r="F529"/>
      <c r="G529"/>
      <c r="H529"/>
      <c r="I529"/>
      <c r="J529"/>
      <c r="K529"/>
      <c r="L529"/>
    </row>
    <row r="530" spans="3:12" x14ac:dyDescent="0.25">
      <c r="C530"/>
      <c r="D530"/>
      <c r="E530"/>
      <c r="F530"/>
      <c r="G530"/>
      <c r="H530"/>
      <c r="I530"/>
      <c r="J530"/>
      <c r="K530"/>
      <c r="L530"/>
    </row>
    <row r="531" spans="3:12" x14ac:dyDescent="0.25">
      <c r="C531"/>
      <c r="D531"/>
      <c r="E531"/>
      <c r="F531"/>
      <c r="G531"/>
      <c r="H531"/>
      <c r="I531"/>
      <c r="J531"/>
      <c r="K531"/>
      <c r="L531"/>
    </row>
    <row r="532" spans="3:12" x14ac:dyDescent="0.25">
      <c r="C532"/>
      <c r="D532"/>
      <c r="E532"/>
      <c r="F532"/>
      <c r="G532"/>
      <c r="H532"/>
      <c r="I532"/>
      <c r="J532"/>
      <c r="K532"/>
      <c r="L532"/>
    </row>
    <row r="533" spans="3:12" x14ac:dyDescent="0.25">
      <c r="C533"/>
      <c r="D533"/>
      <c r="E533"/>
      <c r="F533"/>
      <c r="G533"/>
      <c r="H533"/>
      <c r="I533"/>
      <c r="J533"/>
      <c r="K533"/>
      <c r="L533"/>
    </row>
    <row r="534" spans="3:12" x14ac:dyDescent="0.25">
      <c r="C534"/>
      <c r="D534"/>
      <c r="E534"/>
      <c r="F534"/>
      <c r="G534"/>
      <c r="H534"/>
      <c r="I534"/>
      <c r="J534"/>
      <c r="K534"/>
      <c r="L534"/>
    </row>
    <row r="535" spans="3:12" x14ac:dyDescent="0.25">
      <c r="C535"/>
      <c r="D535"/>
      <c r="E535"/>
      <c r="F535"/>
      <c r="G535"/>
      <c r="H535"/>
      <c r="I535"/>
      <c r="J535"/>
      <c r="K535"/>
      <c r="L535"/>
    </row>
    <row r="536" spans="3:12" x14ac:dyDescent="0.25">
      <c r="C536"/>
      <c r="D536"/>
      <c r="E536"/>
      <c r="F536"/>
      <c r="G536"/>
      <c r="H536"/>
      <c r="I536"/>
      <c r="J536"/>
      <c r="K536"/>
      <c r="L536"/>
    </row>
    <row r="537" spans="3:12" x14ac:dyDescent="0.25">
      <c r="C537"/>
      <c r="D537"/>
      <c r="E537"/>
      <c r="F537"/>
      <c r="G537"/>
      <c r="H537"/>
      <c r="I537"/>
      <c r="J537"/>
      <c r="K537"/>
      <c r="L537"/>
    </row>
    <row r="538" spans="3:12" x14ac:dyDescent="0.25">
      <c r="C538"/>
      <c r="D538"/>
      <c r="E538"/>
      <c r="F538"/>
      <c r="G538"/>
      <c r="H538"/>
      <c r="I538"/>
      <c r="J538"/>
      <c r="K538"/>
      <c r="L538"/>
    </row>
    <row r="539" spans="3:12" x14ac:dyDescent="0.25">
      <c r="C539"/>
      <c r="D539"/>
      <c r="E539"/>
      <c r="F539"/>
      <c r="G539"/>
      <c r="H539"/>
      <c r="I539"/>
      <c r="J539"/>
      <c r="K539"/>
      <c r="L539"/>
    </row>
    <row r="540" spans="3:12" x14ac:dyDescent="0.25">
      <c r="C540"/>
      <c r="D540"/>
      <c r="E540"/>
      <c r="F540"/>
      <c r="G540"/>
      <c r="H540"/>
      <c r="I540"/>
      <c r="J540"/>
      <c r="K540"/>
      <c r="L540"/>
    </row>
    <row r="541" spans="3:12" x14ac:dyDescent="0.25">
      <c r="C541"/>
      <c r="D541"/>
      <c r="E541"/>
      <c r="F541"/>
      <c r="G541"/>
      <c r="H541"/>
      <c r="I541"/>
      <c r="J541"/>
      <c r="K541"/>
      <c r="L541"/>
    </row>
    <row r="542" spans="3:12" x14ac:dyDescent="0.25">
      <c r="C542"/>
      <c r="D542"/>
      <c r="E542"/>
      <c r="F542"/>
      <c r="G542"/>
      <c r="H542"/>
      <c r="I542"/>
      <c r="J542"/>
      <c r="K542"/>
      <c r="L542"/>
    </row>
    <row r="543" spans="3:12" x14ac:dyDescent="0.25">
      <c r="C543"/>
      <c r="D543"/>
      <c r="E543"/>
      <c r="F543"/>
      <c r="G543"/>
      <c r="H543"/>
      <c r="I543"/>
      <c r="J543"/>
      <c r="K543"/>
      <c r="L543"/>
    </row>
    <row r="544" spans="3:12" x14ac:dyDescent="0.25">
      <c r="C544"/>
      <c r="D544"/>
      <c r="E544"/>
      <c r="F544"/>
      <c r="G544"/>
      <c r="H544"/>
      <c r="I544"/>
      <c r="J544"/>
      <c r="K544"/>
      <c r="L544"/>
    </row>
    <row r="545" spans="3:12" x14ac:dyDescent="0.25">
      <c r="C545"/>
      <c r="D545"/>
      <c r="E545"/>
      <c r="F545"/>
      <c r="G545"/>
      <c r="H545"/>
      <c r="I545"/>
      <c r="J545"/>
      <c r="K545"/>
      <c r="L545"/>
    </row>
    <row r="546" spans="3:12" x14ac:dyDescent="0.25">
      <c r="C546"/>
      <c r="D546"/>
      <c r="E546"/>
      <c r="F546"/>
      <c r="G546"/>
      <c r="H546"/>
      <c r="I546"/>
      <c r="J546"/>
      <c r="K546"/>
      <c r="L546"/>
    </row>
    <row r="547" spans="3:12" x14ac:dyDescent="0.25">
      <c r="C547"/>
      <c r="D547"/>
      <c r="E547"/>
      <c r="F547"/>
      <c r="G547"/>
      <c r="H547"/>
      <c r="I547"/>
      <c r="J547"/>
      <c r="K547"/>
      <c r="L547"/>
    </row>
    <row r="548" spans="3:12" x14ac:dyDescent="0.25">
      <c r="C548"/>
      <c r="D548"/>
      <c r="E548"/>
      <c r="F548"/>
      <c r="G548"/>
      <c r="H548"/>
      <c r="I548"/>
      <c r="J548"/>
      <c r="K548"/>
      <c r="L548"/>
    </row>
    <row r="549" spans="3:12" x14ac:dyDescent="0.25">
      <c r="C549"/>
      <c r="D549"/>
      <c r="E549"/>
      <c r="F549"/>
      <c r="G549"/>
      <c r="H549"/>
      <c r="I549"/>
      <c r="J549"/>
      <c r="K549"/>
      <c r="L549"/>
    </row>
    <row r="550" spans="3:12" x14ac:dyDescent="0.25">
      <c r="C550"/>
      <c r="D550"/>
      <c r="E550"/>
      <c r="F550"/>
      <c r="G550"/>
      <c r="H550"/>
      <c r="I550"/>
      <c r="J550"/>
      <c r="K550"/>
      <c r="L550"/>
    </row>
    <row r="551" spans="3:12" x14ac:dyDescent="0.25">
      <c r="C551"/>
      <c r="D551"/>
      <c r="E551"/>
      <c r="F551"/>
      <c r="G551"/>
      <c r="H551"/>
      <c r="I551"/>
      <c r="J551"/>
      <c r="K551"/>
      <c r="L551"/>
    </row>
    <row r="552" spans="3:12" x14ac:dyDescent="0.25">
      <c r="C552"/>
      <c r="D552"/>
      <c r="E552"/>
      <c r="F552"/>
      <c r="G552"/>
      <c r="H552"/>
      <c r="I552"/>
      <c r="J552"/>
      <c r="K552"/>
      <c r="L552"/>
    </row>
    <row r="553" spans="3:12" x14ac:dyDescent="0.25">
      <c r="C553"/>
      <c r="D553"/>
      <c r="E553"/>
      <c r="F553"/>
      <c r="G553"/>
      <c r="H553"/>
      <c r="I553"/>
      <c r="J553"/>
      <c r="K553"/>
      <c r="L553"/>
    </row>
    <row r="554" spans="3:12" x14ac:dyDescent="0.25">
      <c r="C554"/>
      <c r="D554"/>
      <c r="E554"/>
      <c r="F554"/>
      <c r="G554"/>
      <c r="H554"/>
      <c r="I554"/>
      <c r="J554"/>
      <c r="K554"/>
      <c r="L554"/>
    </row>
    <row r="555" spans="3:12" x14ac:dyDescent="0.25">
      <c r="C555"/>
      <c r="D555"/>
      <c r="E555"/>
      <c r="F555"/>
      <c r="G555"/>
      <c r="H555"/>
      <c r="I555"/>
      <c r="J555"/>
      <c r="K555"/>
      <c r="L555"/>
    </row>
    <row r="556" spans="3:12" x14ac:dyDescent="0.25">
      <c r="C556"/>
      <c r="D556"/>
      <c r="E556"/>
      <c r="F556"/>
      <c r="G556"/>
      <c r="H556"/>
      <c r="I556"/>
      <c r="J556"/>
      <c r="K556"/>
      <c r="L556"/>
    </row>
    <row r="557" spans="3:12" x14ac:dyDescent="0.25">
      <c r="C557"/>
      <c r="D557"/>
      <c r="E557"/>
      <c r="F557"/>
      <c r="G557"/>
      <c r="H557"/>
      <c r="I557"/>
      <c r="J557"/>
      <c r="K557"/>
      <c r="L557"/>
    </row>
    <row r="558" spans="3:12" x14ac:dyDescent="0.25">
      <c r="C558"/>
      <c r="D558"/>
      <c r="E558"/>
      <c r="F558"/>
      <c r="G558"/>
      <c r="H558"/>
      <c r="I558"/>
      <c r="J558"/>
      <c r="K558"/>
      <c r="L558"/>
    </row>
    <row r="559" spans="3:12" x14ac:dyDescent="0.25">
      <c r="C559"/>
      <c r="D559"/>
      <c r="E559"/>
      <c r="F559"/>
      <c r="G559"/>
      <c r="H559"/>
      <c r="I559"/>
      <c r="J559"/>
      <c r="K559"/>
      <c r="L559"/>
    </row>
    <row r="560" spans="3:12" x14ac:dyDescent="0.25">
      <c r="C560"/>
      <c r="D560"/>
      <c r="E560"/>
      <c r="F560"/>
      <c r="G560"/>
      <c r="H560"/>
      <c r="I560"/>
      <c r="J560"/>
      <c r="K560"/>
      <c r="L560"/>
    </row>
    <row r="561" spans="3:15" x14ac:dyDescent="0.25">
      <c r="C561"/>
      <c r="D561"/>
      <c r="E561"/>
      <c r="F561"/>
      <c r="G561"/>
      <c r="H561"/>
      <c r="I561"/>
      <c r="J561"/>
      <c r="K561"/>
      <c r="L561"/>
    </row>
    <row r="562" spans="3:15" x14ac:dyDescent="0.25">
      <c r="C562"/>
      <c r="D562"/>
      <c r="E562"/>
      <c r="F562"/>
      <c r="G562"/>
      <c r="H562"/>
      <c r="I562"/>
      <c r="J562"/>
      <c r="K562"/>
      <c r="L562"/>
    </row>
    <row r="563" spans="3:15" x14ac:dyDescent="0.25">
      <c r="C563"/>
      <c r="D563"/>
      <c r="E563"/>
      <c r="F563"/>
      <c r="G563"/>
      <c r="H563"/>
      <c r="I563"/>
      <c r="J563"/>
      <c r="K563"/>
      <c r="L563"/>
    </row>
    <row r="564" spans="3:15" x14ac:dyDescent="0.25">
      <c r="C564"/>
      <c r="D564"/>
      <c r="E564"/>
      <c r="F564"/>
      <c r="G564"/>
      <c r="H564"/>
      <c r="I564"/>
      <c r="J564"/>
      <c r="K564"/>
      <c r="L564"/>
    </row>
    <row r="565" spans="3:15" x14ac:dyDescent="0.25">
      <c r="C565"/>
      <c r="D565"/>
      <c r="E565"/>
      <c r="F565"/>
      <c r="G565"/>
      <c r="H565"/>
      <c r="I565"/>
      <c r="J565"/>
      <c r="K565"/>
      <c r="L565"/>
    </row>
    <row r="566" spans="3:15" x14ac:dyDescent="0.25">
      <c r="C566"/>
      <c r="D566"/>
      <c r="E566"/>
      <c r="F566"/>
      <c r="G566"/>
      <c r="H566"/>
      <c r="I566"/>
      <c r="J566"/>
      <c r="K566"/>
      <c r="L566"/>
    </row>
    <row r="567" spans="3:15" x14ac:dyDescent="0.25">
      <c r="C567"/>
      <c r="D567"/>
      <c r="E567"/>
      <c r="F567"/>
      <c r="G567"/>
      <c r="H567"/>
      <c r="I567"/>
      <c r="J567"/>
      <c r="K567"/>
      <c r="L567"/>
    </row>
    <row r="568" spans="3:15" x14ac:dyDescent="0.25">
      <c r="C568"/>
      <c r="D568"/>
      <c r="E568"/>
      <c r="F568"/>
      <c r="G568"/>
      <c r="H568"/>
      <c r="I568"/>
      <c r="J568"/>
      <c r="K568"/>
      <c r="L568"/>
    </row>
    <row r="569" spans="3:15" x14ac:dyDescent="0.25">
      <c r="C569"/>
      <c r="D569"/>
      <c r="E569"/>
      <c r="F569"/>
      <c r="G569"/>
      <c r="H569"/>
      <c r="I569"/>
      <c r="J569"/>
      <c r="K569"/>
      <c r="L569"/>
    </row>
    <row r="570" spans="3:15" x14ac:dyDescent="0.25">
      <c r="C570"/>
      <c r="D570"/>
      <c r="E570"/>
      <c r="F570"/>
      <c r="G570"/>
      <c r="H570"/>
      <c r="I570"/>
      <c r="J570"/>
      <c r="K570"/>
      <c r="L570"/>
    </row>
    <row r="571" spans="3:15" x14ac:dyDescent="0.25">
      <c r="C571"/>
      <c r="D571"/>
      <c r="E571"/>
      <c r="F571"/>
      <c r="G571"/>
      <c r="H571"/>
      <c r="I571"/>
      <c r="J571"/>
      <c r="K571"/>
      <c r="L571"/>
    </row>
    <row r="572" spans="3:15" x14ac:dyDescent="0.25">
      <c r="C572"/>
      <c r="D572"/>
      <c r="E572"/>
      <c r="F572"/>
      <c r="G572"/>
      <c r="H572"/>
      <c r="I572"/>
      <c r="J572"/>
      <c r="K572"/>
      <c r="L572"/>
    </row>
    <row r="573" spans="3:15" x14ac:dyDescent="0.25">
      <c r="C573"/>
      <c r="D573"/>
      <c r="E573"/>
      <c r="F573"/>
      <c r="G573"/>
      <c r="H573"/>
      <c r="I573"/>
      <c r="J573"/>
      <c r="K573"/>
      <c r="L573"/>
    </row>
    <row r="574" spans="3:15" x14ac:dyDescent="0.25">
      <c r="C574"/>
      <c r="D574"/>
      <c r="E574"/>
      <c r="F574"/>
      <c r="G574"/>
      <c r="H574"/>
      <c r="I574"/>
      <c r="J574"/>
      <c r="K574"/>
      <c r="L574"/>
    </row>
    <row r="575" spans="3:15" x14ac:dyDescent="0.25">
      <c r="C575"/>
      <c r="D575"/>
      <c r="E575"/>
      <c r="F575"/>
      <c r="G575"/>
      <c r="H575"/>
      <c r="I575"/>
      <c r="J575"/>
      <c r="K575"/>
      <c r="L575"/>
    </row>
    <row r="576" spans="3:15" x14ac:dyDescent="0.25">
      <c r="C576"/>
      <c r="D576"/>
      <c r="E576"/>
      <c r="F576"/>
      <c r="G576"/>
      <c r="H576"/>
      <c r="I576"/>
      <c r="J576"/>
      <c r="K576"/>
      <c r="L576"/>
      <c r="O576"/>
    </row>
    <row r="577" spans="1:22" x14ac:dyDescent="0.25">
      <c r="C577"/>
      <c r="D577"/>
      <c r="E577"/>
      <c r="F577"/>
      <c r="G577"/>
      <c r="H577"/>
      <c r="I577"/>
      <c r="J577"/>
      <c r="K577"/>
      <c r="L577"/>
      <c r="O577"/>
    </row>
    <row r="578" spans="1:22" x14ac:dyDescent="0.25">
      <c r="A578"/>
      <c r="C578"/>
      <c r="D578"/>
      <c r="E578"/>
      <c r="F578"/>
      <c r="G578"/>
      <c r="H578"/>
      <c r="I578"/>
      <c r="J578"/>
      <c r="K578"/>
      <c r="L578"/>
      <c r="O578"/>
    </row>
    <row r="579" spans="1:22" x14ac:dyDescent="0.25">
      <c r="A579"/>
      <c r="C579"/>
      <c r="D579"/>
      <c r="E579"/>
      <c r="F579"/>
      <c r="G579"/>
      <c r="H579"/>
      <c r="I579"/>
      <c r="J579"/>
      <c r="K579"/>
      <c r="L579"/>
      <c r="O579"/>
    </row>
    <row r="580" spans="1:22" x14ac:dyDescent="0.25">
      <c r="A580"/>
      <c r="C580"/>
      <c r="D580"/>
      <c r="E580"/>
      <c r="F580"/>
      <c r="G580"/>
      <c r="H580"/>
      <c r="I580"/>
      <c r="J580"/>
      <c r="K580"/>
      <c r="L580"/>
      <c r="O580"/>
    </row>
    <row r="581" spans="1:22" x14ac:dyDescent="0.25">
      <c r="A581"/>
      <c r="C581"/>
      <c r="D581"/>
      <c r="E581"/>
      <c r="F581"/>
      <c r="G581"/>
      <c r="H581"/>
      <c r="I581"/>
      <c r="J581"/>
      <c r="K581"/>
      <c r="L581"/>
      <c r="O581"/>
      <c r="P581"/>
      <c r="Q581"/>
      <c r="R581"/>
      <c r="S581"/>
      <c r="T581"/>
      <c r="U581"/>
      <c r="V581"/>
    </row>
    <row r="582" spans="1:22" x14ac:dyDescent="0.25">
      <c r="A582"/>
      <c r="C582"/>
      <c r="D582"/>
      <c r="E582"/>
      <c r="F582"/>
      <c r="G582"/>
      <c r="H582"/>
      <c r="I582"/>
      <c r="J582"/>
      <c r="K582"/>
      <c r="L582"/>
      <c r="O582"/>
      <c r="P582"/>
      <c r="Q582"/>
      <c r="R582"/>
      <c r="S582"/>
      <c r="T582"/>
      <c r="U582"/>
      <c r="V582"/>
    </row>
    <row r="583" spans="1:22" x14ac:dyDescent="0.25">
      <c r="A583"/>
      <c r="C583" s="11"/>
      <c r="D583" s="11"/>
      <c r="E583" s="11"/>
      <c r="O583"/>
      <c r="P583"/>
      <c r="Q583"/>
      <c r="R583"/>
      <c r="S583"/>
      <c r="T583"/>
      <c r="U583"/>
      <c r="V583"/>
    </row>
    <row r="584" spans="1:22" x14ac:dyDescent="0.25">
      <c r="A584"/>
      <c r="B584"/>
      <c r="C584"/>
      <c r="D584"/>
      <c r="E584"/>
      <c r="F584"/>
      <c r="G584"/>
      <c r="H584"/>
      <c r="I584"/>
      <c r="J584"/>
      <c r="K584"/>
      <c r="L584"/>
      <c r="M584"/>
      <c r="N584"/>
      <c r="O584"/>
      <c r="P584"/>
      <c r="Q584"/>
      <c r="R584"/>
      <c r="S584"/>
      <c r="T584"/>
      <c r="U584"/>
      <c r="V584"/>
    </row>
    <row r="585" spans="1:22" x14ac:dyDescent="0.25">
      <c r="A585"/>
      <c r="B585"/>
      <c r="C585"/>
      <c r="D585"/>
      <c r="E585"/>
      <c r="F585"/>
      <c r="G585"/>
      <c r="H585"/>
      <c r="I585"/>
      <c r="J585"/>
      <c r="K585"/>
      <c r="L585"/>
      <c r="M585"/>
      <c r="N585"/>
      <c r="O585"/>
      <c r="P585"/>
      <c r="Q585"/>
      <c r="R585"/>
      <c r="S585"/>
      <c r="T585"/>
      <c r="U585"/>
      <c r="V585"/>
    </row>
    <row r="586" spans="1:22" x14ac:dyDescent="0.25">
      <c r="A586"/>
      <c r="B586"/>
      <c r="C586"/>
      <c r="D586"/>
      <c r="E586"/>
      <c r="F586"/>
      <c r="G586"/>
      <c r="H586"/>
      <c r="I586"/>
      <c r="J586"/>
      <c r="K586"/>
      <c r="L586"/>
      <c r="M586"/>
      <c r="N586"/>
      <c r="O586"/>
      <c r="P586"/>
      <c r="Q586"/>
      <c r="R586"/>
      <c r="S586"/>
      <c r="T586"/>
      <c r="U586"/>
      <c r="V586"/>
    </row>
    <row r="587" spans="1:22" x14ac:dyDescent="0.25">
      <c r="A587"/>
      <c r="B587" s="29" t="s">
        <v>3</v>
      </c>
      <c r="C587" t="s">
        <v>269</v>
      </c>
      <c r="E587"/>
      <c r="F587"/>
      <c r="G587"/>
      <c r="H587"/>
      <c r="I587"/>
      <c r="J587"/>
      <c r="K587"/>
      <c r="L587"/>
      <c r="M587"/>
      <c r="N587"/>
      <c r="O587"/>
      <c r="P587"/>
      <c r="Q587"/>
      <c r="R587"/>
      <c r="S587"/>
      <c r="T587"/>
      <c r="U587"/>
      <c r="V587"/>
    </row>
    <row r="588" spans="1:22" x14ac:dyDescent="0.25">
      <c r="A588"/>
      <c r="E588"/>
      <c r="F588"/>
      <c r="G588"/>
      <c r="H588"/>
      <c r="I588"/>
      <c r="J588"/>
      <c r="K588"/>
      <c r="L588"/>
      <c r="M588"/>
      <c r="N588"/>
      <c r="O588"/>
      <c r="P588"/>
      <c r="Q588"/>
      <c r="R588"/>
      <c r="S588"/>
      <c r="T588"/>
      <c r="U588"/>
      <c r="V588"/>
    </row>
    <row r="589" spans="1:22" x14ac:dyDescent="0.25">
      <c r="A589"/>
      <c r="B589" s="29" t="s">
        <v>684</v>
      </c>
      <c r="C589" s="29" t="s">
        <v>256</v>
      </c>
      <c r="D589"/>
      <c r="E589"/>
      <c r="F589"/>
      <c r="G589"/>
      <c r="H589"/>
      <c r="I589"/>
      <c r="J589"/>
      <c r="K589"/>
      <c r="L589"/>
      <c r="M589"/>
      <c r="N589"/>
      <c r="O589"/>
      <c r="P589"/>
      <c r="Q589"/>
      <c r="R589"/>
      <c r="S589"/>
      <c r="T589"/>
      <c r="U589"/>
      <c r="V589"/>
    </row>
    <row r="590" spans="1:22" x14ac:dyDescent="0.25">
      <c r="A590"/>
      <c r="B590" s="29" t="s">
        <v>242</v>
      </c>
      <c r="C590" t="s">
        <v>685</v>
      </c>
      <c r="D590" t="s">
        <v>686</v>
      </c>
      <c r="E590" t="s">
        <v>73</v>
      </c>
      <c r="F590"/>
      <c r="G590"/>
      <c r="H590"/>
      <c r="I590"/>
      <c r="J590"/>
      <c r="K590"/>
      <c r="L590"/>
      <c r="M590"/>
      <c r="N590"/>
      <c r="O590"/>
      <c r="P590"/>
      <c r="Q590"/>
      <c r="R590"/>
      <c r="S590"/>
      <c r="T590"/>
      <c r="U590"/>
      <c r="V590"/>
    </row>
    <row r="591" spans="1:22" x14ac:dyDescent="0.25">
      <c r="A591"/>
      <c r="B591" s="26" t="s">
        <v>218</v>
      </c>
      <c r="C591" s="307">
        <v>132</v>
      </c>
      <c r="D591" s="307">
        <v>10</v>
      </c>
      <c r="E591" s="307">
        <v>142</v>
      </c>
      <c r="F591"/>
      <c r="G591"/>
      <c r="H591"/>
      <c r="I591"/>
      <c r="J591"/>
      <c r="K591"/>
      <c r="L591"/>
      <c r="M591"/>
      <c r="N591"/>
      <c r="O591"/>
      <c r="P591"/>
      <c r="Q591"/>
      <c r="R591"/>
      <c r="S591"/>
      <c r="T591"/>
      <c r="U591"/>
      <c r="V591"/>
    </row>
    <row r="592" spans="1:22" x14ac:dyDescent="0.25">
      <c r="A592"/>
      <c r="B592" s="26" t="s">
        <v>226</v>
      </c>
      <c r="C592" s="307">
        <v>26</v>
      </c>
      <c r="D592" s="307"/>
      <c r="E592" s="307">
        <v>26</v>
      </c>
      <c r="F592"/>
      <c r="G592"/>
      <c r="H592"/>
      <c r="I592"/>
      <c r="J592"/>
      <c r="K592"/>
      <c r="L592"/>
      <c r="M592"/>
      <c r="N592"/>
      <c r="O592"/>
      <c r="P592"/>
      <c r="Q592"/>
      <c r="R592"/>
      <c r="S592"/>
      <c r="T592"/>
      <c r="U592"/>
      <c r="V592"/>
    </row>
    <row r="593" spans="1:22" x14ac:dyDescent="0.25">
      <c r="A593"/>
      <c r="B593" s="26" t="s">
        <v>73</v>
      </c>
      <c r="C593" s="307">
        <v>158</v>
      </c>
      <c r="D593" s="307">
        <v>10</v>
      </c>
      <c r="E593" s="307">
        <v>168</v>
      </c>
      <c r="F593"/>
      <c r="G593"/>
      <c r="H593"/>
      <c r="I593"/>
      <c r="J593"/>
      <c r="K593"/>
      <c r="L593"/>
      <c r="M593"/>
      <c r="N593"/>
      <c r="O593"/>
      <c r="P593"/>
      <c r="Q593"/>
      <c r="R593"/>
      <c r="S593"/>
      <c r="T593"/>
      <c r="U593"/>
      <c r="V593"/>
    </row>
    <row r="594" spans="1:22" x14ac:dyDescent="0.25">
      <c r="A594"/>
      <c r="B594"/>
      <c r="C594"/>
      <c r="D594"/>
      <c r="E594"/>
      <c r="F594"/>
      <c r="G594"/>
      <c r="H594"/>
      <c r="I594"/>
      <c r="J594"/>
      <c r="K594"/>
      <c r="L594"/>
      <c r="M594"/>
      <c r="N594"/>
      <c r="O594"/>
      <c r="P594"/>
      <c r="Q594"/>
      <c r="R594"/>
      <c r="S594"/>
      <c r="T594"/>
      <c r="U594"/>
      <c r="V594"/>
    </row>
    <row r="595" spans="1:22" x14ac:dyDescent="0.25">
      <c r="A595"/>
      <c r="B595"/>
      <c r="C595"/>
      <c r="D595"/>
      <c r="E595"/>
      <c r="F595"/>
      <c r="G595"/>
      <c r="H595"/>
      <c r="I595"/>
      <c r="J595"/>
      <c r="K595"/>
      <c r="L595"/>
      <c r="M595"/>
      <c r="N595"/>
      <c r="O595"/>
      <c r="P595"/>
      <c r="Q595"/>
      <c r="R595"/>
      <c r="S595"/>
      <c r="T595"/>
      <c r="U595"/>
      <c r="V595"/>
    </row>
    <row r="596" spans="1:22" x14ac:dyDescent="0.25">
      <c r="A596"/>
      <c r="B596"/>
      <c r="C596"/>
      <c r="D596"/>
      <c r="E596"/>
      <c r="F596"/>
      <c r="G596"/>
      <c r="H596"/>
      <c r="I596"/>
      <c r="J596"/>
      <c r="K596"/>
      <c r="L596"/>
      <c r="M596"/>
      <c r="N596"/>
      <c r="O596"/>
      <c r="P596"/>
      <c r="Q596"/>
      <c r="R596"/>
      <c r="S596"/>
      <c r="T596"/>
      <c r="U596"/>
      <c r="V596"/>
    </row>
    <row r="597" spans="1:22" x14ac:dyDescent="0.25">
      <c r="A597"/>
      <c r="B597"/>
      <c r="C597"/>
      <c r="D597"/>
      <c r="E597"/>
      <c r="F597"/>
      <c r="G597"/>
      <c r="H597"/>
      <c r="I597"/>
      <c r="J597"/>
      <c r="K597"/>
      <c r="L597"/>
      <c r="M597"/>
      <c r="N597"/>
      <c r="O597"/>
      <c r="P597"/>
      <c r="Q597"/>
      <c r="R597"/>
      <c r="S597"/>
      <c r="T597"/>
      <c r="U597"/>
      <c r="V597"/>
    </row>
    <row r="598" spans="1:22" x14ac:dyDescent="0.25">
      <c r="A598"/>
      <c r="B598"/>
      <c r="C598"/>
      <c r="D598"/>
      <c r="E598"/>
      <c r="F598"/>
      <c r="G598"/>
      <c r="H598"/>
      <c r="I598"/>
      <c r="J598"/>
      <c r="K598"/>
      <c r="L598"/>
      <c r="M598"/>
      <c r="N598"/>
      <c r="O598"/>
      <c r="P598"/>
      <c r="Q598"/>
      <c r="R598"/>
      <c r="S598"/>
      <c r="T598"/>
      <c r="U598"/>
      <c r="V598"/>
    </row>
    <row r="599" spans="1:22" x14ac:dyDescent="0.25">
      <c r="A599"/>
      <c r="B599"/>
      <c r="C599"/>
      <c r="D599"/>
      <c r="E599"/>
      <c r="F599"/>
      <c r="G599"/>
      <c r="H599"/>
      <c r="I599"/>
      <c r="J599"/>
      <c r="K599"/>
      <c r="L599"/>
      <c r="M599"/>
      <c r="N599"/>
      <c r="O599"/>
      <c r="P599"/>
      <c r="Q599"/>
      <c r="R599"/>
      <c r="S599"/>
      <c r="T599"/>
      <c r="U599"/>
      <c r="V599"/>
    </row>
    <row r="600" spans="1:22" x14ac:dyDescent="0.25">
      <c r="A600"/>
      <c r="B600"/>
      <c r="C600"/>
      <c r="D600"/>
      <c r="E600"/>
      <c r="F600"/>
      <c r="G600"/>
      <c r="H600"/>
      <c r="I600"/>
      <c r="J600"/>
      <c r="K600"/>
      <c r="L600"/>
      <c r="M600"/>
      <c r="N600"/>
      <c r="O600"/>
      <c r="P600"/>
      <c r="Q600"/>
      <c r="R600"/>
      <c r="S600"/>
      <c r="T600"/>
      <c r="U600"/>
      <c r="V600"/>
    </row>
    <row r="601" spans="1:22" x14ac:dyDescent="0.25">
      <c r="A601"/>
      <c r="B601"/>
      <c r="C601"/>
      <c r="D601"/>
      <c r="E601"/>
      <c r="F601"/>
      <c r="G601"/>
      <c r="H601"/>
      <c r="I601"/>
      <c r="J601"/>
      <c r="K601"/>
      <c r="L601"/>
      <c r="M601"/>
      <c r="N601"/>
      <c r="O601"/>
      <c r="P601"/>
      <c r="Q601"/>
      <c r="R601"/>
      <c r="S601"/>
      <c r="T601"/>
      <c r="U601"/>
      <c r="V601"/>
    </row>
    <row r="602" spans="1:22" x14ac:dyDescent="0.25">
      <c r="A602"/>
      <c r="B602"/>
      <c r="C602"/>
      <c r="D602"/>
      <c r="E602"/>
      <c r="F602"/>
      <c r="G602"/>
      <c r="H602"/>
      <c r="I602"/>
      <c r="J602"/>
      <c r="K602"/>
      <c r="L602"/>
      <c r="M602"/>
      <c r="N602"/>
      <c r="O602"/>
      <c r="P602"/>
      <c r="Q602"/>
      <c r="R602"/>
      <c r="S602"/>
      <c r="T602"/>
      <c r="U602"/>
      <c r="V602"/>
    </row>
    <row r="603" spans="1:22" x14ac:dyDescent="0.25">
      <c r="A603"/>
      <c r="B603"/>
      <c r="C603"/>
      <c r="D603"/>
      <c r="E603"/>
      <c r="F603"/>
      <c r="G603"/>
      <c r="H603"/>
      <c r="I603"/>
      <c r="J603"/>
      <c r="K603"/>
      <c r="L603"/>
      <c r="M603"/>
      <c r="N603"/>
      <c r="O603"/>
      <c r="P603"/>
      <c r="Q603"/>
      <c r="R603"/>
      <c r="S603"/>
      <c r="T603"/>
      <c r="U603"/>
      <c r="V603"/>
    </row>
    <row r="604" spans="1:22" x14ac:dyDescent="0.25">
      <c r="A604"/>
      <c r="B604"/>
      <c r="C604"/>
      <c r="D604"/>
      <c r="E604"/>
      <c r="F604"/>
      <c r="G604"/>
      <c r="H604"/>
      <c r="I604"/>
      <c r="J604"/>
      <c r="K604"/>
      <c r="L604"/>
      <c r="M604"/>
      <c r="N604"/>
      <c r="O604"/>
      <c r="P604"/>
      <c r="Q604"/>
      <c r="R604"/>
      <c r="S604"/>
      <c r="T604"/>
      <c r="U604"/>
      <c r="V604"/>
    </row>
    <row r="605" spans="1:22" x14ac:dyDescent="0.25">
      <c r="A605"/>
      <c r="B605"/>
      <c r="C605"/>
      <c r="D605"/>
      <c r="E605"/>
      <c r="F605"/>
      <c r="G605"/>
      <c r="H605"/>
      <c r="I605"/>
      <c r="J605"/>
      <c r="K605"/>
      <c r="L605"/>
      <c r="M605"/>
      <c r="N605"/>
      <c r="O605"/>
      <c r="P605"/>
      <c r="Q605"/>
      <c r="R605"/>
      <c r="S605"/>
      <c r="T605"/>
      <c r="U605"/>
      <c r="V605"/>
    </row>
    <row r="606" spans="1:22" x14ac:dyDescent="0.25">
      <c r="A606"/>
      <c r="B606"/>
      <c r="C606"/>
      <c r="D606"/>
      <c r="E606"/>
      <c r="F606"/>
      <c r="G606"/>
      <c r="H606"/>
      <c r="I606"/>
      <c r="J606"/>
      <c r="K606"/>
      <c r="L606"/>
      <c r="M606"/>
      <c r="N606"/>
      <c r="O606"/>
      <c r="P606"/>
      <c r="Q606"/>
      <c r="R606"/>
      <c r="S606"/>
      <c r="T606"/>
      <c r="U606"/>
      <c r="V606"/>
    </row>
    <row r="607" spans="1:22" x14ac:dyDescent="0.25">
      <c r="A607"/>
      <c r="B607" s="29" t="s">
        <v>3</v>
      </c>
      <c r="C607" t="s">
        <v>269</v>
      </c>
      <c r="D607"/>
      <c r="E607"/>
      <c r="F607"/>
      <c r="G607"/>
      <c r="H607"/>
      <c r="I607"/>
      <c r="J607"/>
      <c r="K607"/>
      <c r="L607"/>
      <c r="M607"/>
      <c r="N607"/>
      <c r="O607"/>
      <c r="P607"/>
      <c r="Q607"/>
      <c r="R607"/>
      <c r="S607"/>
      <c r="T607"/>
      <c r="U607"/>
      <c r="V607"/>
    </row>
    <row r="608" spans="1:22" x14ac:dyDescent="0.25">
      <c r="A608"/>
      <c r="B608" s="29" t="s">
        <v>4</v>
      </c>
      <c r="C608" t="s">
        <v>74</v>
      </c>
      <c r="E608"/>
      <c r="F608"/>
      <c r="G608"/>
      <c r="H608"/>
      <c r="I608"/>
      <c r="J608"/>
      <c r="K608"/>
      <c r="L608"/>
      <c r="M608"/>
      <c r="N608"/>
      <c r="O608"/>
      <c r="P608"/>
      <c r="Q608"/>
      <c r="R608"/>
      <c r="S608"/>
      <c r="T608"/>
      <c r="U608"/>
      <c r="V608"/>
    </row>
    <row r="609" spans="1:22" x14ac:dyDescent="0.25">
      <c r="A609"/>
      <c r="E609"/>
      <c r="F609"/>
      <c r="G609"/>
      <c r="H609"/>
      <c r="I609"/>
      <c r="J609"/>
      <c r="K609"/>
      <c r="L609"/>
      <c r="M609"/>
      <c r="N609"/>
      <c r="O609"/>
      <c r="P609"/>
      <c r="Q609"/>
      <c r="R609"/>
      <c r="S609"/>
      <c r="T609"/>
      <c r="U609"/>
      <c r="V609"/>
    </row>
    <row r="610" spans="1:22" x14ac:dyDescent="0.25">
      <c r="A610"/>
      <c r="B610" s="29" t="s">
        <v>684</v>
      </c>
      <c r="C610" s="29" t="s">
        <v>256</v>
      </c>
      <c r="D610"/>
      <c r="E610"/>
      <c r="F610"/>
      <c r="G610"/>
      <c r="H610"/>
      <c r="I610"/>
      <c r="J610"/>
      <c r="K610"/>
      <c r="L610"/>
      <c r="M610"/>
      <c r="N610"/>
      <c r="O610"/>
      <c r="P610"/>
      <c r="Q610"/>
      <c r="R610"/>
      <c r="S610"/>
      <c r="T610"/>
      <c r="U610"/>
      <c r="V610"/>
    </row>
    <row r="611" spans="1:22" x14ac:dyDescent="0.25">
      <c r="A611"/>
      <c r="B611" s="29" t="s">
        <v>242</v>
      </c>
      <c r="C611" t="s">
        <v>685</v>
      </c>
      <c r="D611" t="s">
        <v>686</v>
      </c>
      <c r="E611" t="s">
        <v>73</v>
      </c>
      <c r="F611"/>
      <c r="G611"/>
      <c r="H611"/>
      <c r="I611"/>
      <c r="J611"/>
      <c r="K611"/>
      <c r="L611"/>
      <c r="M611"/>
      <c r="N611"/>
      <c r="O611"/>
      <c r="P611"/>
      <c r="Q611"/>
      <c r="R611"/>
      <c r="S611"/>
      <c r="T611"/>
      <c r="U611"/>
      <c r="V611"/>
    </row>
    <row r="612" spans="1:22" x14ac:dyDescent="0.25">
      <c r="A612"/>
      <c r="B612" s="26" t="s">
        <v>264</v>
      </c>
      <c r="C612" s="307">
        <v>21</v>
      </c>
      <c r="D612" s="307">
        <v>1</v>
      </c>
      <c r="E612" s="307">
        <v>22</v>
      </c>
      <c r="F612"/>
      <c r="G612"/>
      <c r="H612"/>
      <c r="I612"/>
      <c r="J612"/>
      <c r="K612"/>
      <c r="L612"/>
      <c r="M612"/>
      <c r="N612"/>
      <c r="O612"/>
      <c r="P612"/>
      <c r="Q612"/>
      <c r="R612"/>
      <c r="S612"/>
      <c r="T612"/>
      <c r="U612"/>
      <c r="V612"/>
    </row>
    <row r="613" spans="1:22" x14ac:dyDescent="0.25">
      <c r="A613"/>
      <c r="B613" s="26" t="s">
        <v>265</v>
      </c>
      <c r="C613" s="307">
        <v>40</v>
      </c>
      <c r="D613" s="307"/>
      <c r="E613" s="307">
        <v>40</v>
      </c>
      <c r="F613"/>
      <c r="G613"/>
      <c r="H613"/>
      <c r="I613"/>
      <c r="J613"/>
      <c r="K613"/>
      <c r="L613"/>
      <c r="M613"/>
      <c r="N613"/>
      <c r="O613"/>
      <c r="P613"/>
      <c r="Q613"/>
      <c r="R613"/>
      <c r="S613"/>
      <c r="T613"/>
      <c r="U613"/>
      <c r="V613"/>
    </row>
    <row r="614" spans="1:22" x14ac:dyDescent="0.25">
      <c r="A614"/>
      <c r="B614" s="26" t="s">
        <v>266</v>
      </c>
      <c r="C614" s="307">
        <v>5</v>
      </c>
      <c r="D614" s="307"/>
      <c r="E614" s="307">
        <v>5</v>
      </c>
      <c r="F614"/>
      <c r="G614"/>
      <c r="H614"/>
      <c r="I614"/>
      <c r="J614"/>
      <c r="K614"/>
      <c r="L614"/>
      <c r="M614"/>
      <c r="N614"/>
      <c r="O614"/>
      <c r="P614"/>
      <c r="Q614"/>
      <c r="R614"/>
      <c r="S614"/>
      <c r="T614"/>
      <c r="U614"/>
      <c r="V614"/>
    </row>
    <row r="615" spans="1:22" x14ac:dyDescent="0.25">
      <c r="A615"/>
      <c r="B615" s="26" t="s">
        <v>267</v>
      </c>
      <c r="C615" s="307">
        <v>24</v>
      </c>
      <c r="D615" s="307">
        <v>7</v>
      </c>
      <c r="E615" s="307">
        <v>31</v>
      </c>
      <c r="F615"/>
      <c r="G615"/>
      <c r="H615"/>
      <c r="I615"/>
      <c r="J615"/>
      <c r="K615"/>
      <c r="L615"/>
      <c r="M615"/>
      <c r="N615"/>
      <c r="O615"/>
      <c r="P615"/>
      <c r="Q615"/>
      <c r="R615"/>
      <c r="S615"/>
      <c r="T615"/>
      <c r="U615"/>
      <c r="V615"/>
    </row>
    <row r="616" spans="1:22" x14ac:dyDescent="0.25">
      <c r="A616"/>
      <c r="B616" s="26" t="s">
        <v>268</v>
      </c>
      <c r="C616" s="307">
        <v>13</v>
      </c>
      <c r="D616" s="307"/>
      <c r="E616" s="307">
        <v>13</v>
      </c>
      <c r="F616"/>
      <c r="G616"/>
      <c r="H616"/>
      <c r="I616"/>
      <c r="J616"/>
      <c r="K616"/>
      <c r="L616"/>
      <c r="M616"/>
      <c r="N616"/>
      <c r="O616"/>
      <c r="P616"/>
      <c r="Q616"/>
      <c r="R616"/>
      <c r="S616"/>
      <c r="T616"/>
      <c r="U616"/>
      <c r="V616"/>
    </row>
    <row r="617" spans="1:22" x14ac:dyDescent="0.25">
      <c r="A617"/>
      <c r="B617" s="26" t="s">
        <v>273</v>
      </c>
      <c r="C617" s="307">
        <v>20</v>
      </c>
      <c r="D617" s="307"/>
      <c r="E617" s="307">
        <v>20</v>
      </c>
      <c r="F617"/>
      <c r="G617"/>
      <c r="H617"/>
      <c r="I617"/>
      <c r="J617"/>
      <c r="K617"/>
      <c r="L617"/>
      <c r="M617"/>
      <c r="N617"/>
      <c r="O617"/>
      <c r="P617"/>
      <c r="Q617"/>
      <c r="R617"/>
      <c r="S617"/>
      <c r="T617"/>
      <c r="U617"/>
      <c r="V617"/>
    </row>
    <row r="618" spans="1:22" x14ac:dyDescent="0.25">
      <c r="A618"/>
      <c r="B618" s="26" t="s">
        <v>274</v>
      </c>
      <c r="C618" s="307">
        <v>12</v>
      </c>
      <c r="D618" s="307"/>
      <c r="E618" s="307">
        <v>12</v>
      </c>
      <c r="F618"/>
      <c r="G618"/>
      <c r="H618"/>
      <c r="I618"/>
      <c r="J618"/>
      <c r="K618"/>
      <c r="L618"/>
      <c r="M618"/>
      <c r="N618"/>
      <c r="O618"/>
      <c r="P618"/>
      <c r="Q618"/>
      <c r="R618"/>
      <c r="S618"/>
      <c r="T618"/>
      <c r="U618"/>
      <c r="V618"/>
    </row>
    <row r="619" spans="1:22" x14ac:dyDescent="0.25">
      <c r="A619"/>
      <c r="B619" s="26" t="s">
        <v>275</v>
      </c>
      <c r="C619" s="307">
        <v>10</v>
      </c>
      <c r="D619" s="307"/>
      <c r="E619" s="307">
        <v>10</v>
      </c>
      <c r="F619"/>
      <c r="G619"/>
      <c r="H619"/>
      <c r="I619"/>
      <c r="J619"/>
      <c r="K619"/>
      <c r="L619"/>
      <c r="M619"/>
      <c r="N619"/>
      <c r="O619"/>
      <c r="P619"/>
      <c r="Q619"/>
      <c r="R619"/>
      <c r="S619"/>
      <c r="T619"/>
      <c r="U619"/>
      <c r="V619"/>
    </row>
    <row r="620" spans="1:22" x14ac:dyDescent="0.25">
      <c r="A620"/>
      <c r="B620" s="26" t="s">
        <v>276</v>
      </c>
      <c r="C620" s="307">
        <v>4</v>
      </c>
      <c r="D620" s="307"/>
      <c r="E620" s="307">
        <v>4</v>
      </c>
      <c r="F620"/>
      <c r="G620"/>
      <c r="H620"/>
      <c r="I620"/>
      <c r="J620"/>
      <c r="K620"/>
      <c r="L620"/>
      <c r="M620"/>
      <c r="N620"/>
      <c r="O620"/>
      <c r="P620"/>
      <c r="Q620"/>
      <c r="R620"/>
      <c r="S620"/>
      <c r="T620"/>
      <c r="U620"/>
      <c r="V620"/>
    </row>
    <row r="621" spans="1:22" x14ac:dyDescent="0.25">
      <c r="A621"/>
      <c r="B621" s="26" t="s">
        <v>322</v>
      </c>
      <c r="C621" s="307">
        <v>9</v>
      </c>
      <c r="D621" s="307">
        <v>2</v>
      </c>
      <c r="E621" s="307">
        <v>11</v>
      </c>
      <c r="F621"/>
      <c r="G621"/>
      <c r="H621"/>
      <c r="I621"/>
      <c r="J621"/>
      <c r="K621"/>
      <c r="L621"/>
      <c r="M621"/>
      <c r="N621"/>
      <c r="O621"/>
      <c r="P621"/>
      <c r="Q621"/>
      <c r="R621"/>
      <c r="S621"/>
      <c r="T621"/>
      <c r="U621"/>
      <c r="V621"/>
    </row>
    <row r="622" spans="1:22" x14ac:dyDescent="0.25">
      <c r="A622"/>
      <c r="B622" s="26" t="s">
        <v>73</v>
      </c>
      <c r="C622" s="307">
        <v>158</v>
      </c>
      <c r="D622" s="307">
        <v>10</v>
      </c>
      <c r="E622" s="307">
        <v>168</v>
      </c>
      <c r="F622"/>
      <c r="G622"/>
      <c r="H622"/>
      <c r="I622"/>
      <c r="J622"/>
      <c r="K622"/>
      <c r="L622"/>
      <c r="M622"/>
      <c r="N622"/>
      <c r="O622"/>
      <c r="P622"/>
      <c r="Q622"/>
      <c r="R622"/>
      <c r="S622"/>
      <c r="T622"/>
      <c r="U622"/>
      <c r="V622"/>
    </row>
    <row r="623" spans="1:22" x14ac:dyDescent="0.25">
      <c r="A623"/>
      <c r="B623"/>
      <c r="C623"/>
      <c r="D623"/>
      <c r="E623"/>
      <c r="F623"/>
      <c r="G623"/>
      <c r="H623"/>
      <c r="I623"/>
      <c r="J623"/>
      <c r="K623"/>
      <c r="L623"/>
      <c r="M623"/>
      <c r="N623"/>
      <c r="O623"/>
      <c r="P623"/>
      <c r="Q623"/>
      <c r="R623"/>
      <c r="S623"/>
      <c r="T623"/>
      <c r="U623"/>
      <c r="V623"/>
    </row>
    <row r="624" spans="1:22" x14ac:dyDescent="0.25">
      <c r="A624"/>
      <c r="B624"/>
      <c r="C624"/>
      <c r="D624"/>
      <c r="E624"/>
      <c r="F624"/>
      <c r="G624"/>
      <c r="H624"/>
      <c r="I624"/>
      <c r="J624"/>
      <c r="K624"/>
      <c r="L624"/>
      <c r="M624"/>
      <c r="N624"/>
      <c r="O624"/>
      <c r="P624"/>
      <c r="Q624"/>
      <c r="R624"/>
      <c r="S624"/>
      <c r="T624"/>
      <c r="U624"/>
      <c r="V624"/>
    </row>
    <row r="625" spans="1:22" x14ac:dyDescent="0.25">
      <c r="A625"/>
      <c r="B625"/>
      <c r="C625"/>
      <c r="D625"/>
      <c r="E625"/>
      <c r="F625"/>
      <c r="G625"/>
      <c r="H625"/>
      <c r="I625"/>
      <c r="J625"/>
      <c r="K625"/>
      <c r="L625"/>
      <c r="M625"/>
      <c r="N625"/>
      <c r="O625"/>
      <c r="P625"/>
      <c r="Q625"/>
      <c r="R625"/>
      <c r="S625"/>
      <c r="T625"/>
      <c r="U625"/>
      <c r="V625"/>
    </row>
    <row r="626" spans="1:22" x14ac:dyDescent="0.25">
      <c r="A626"/>
      <c r="B626"/>
      <c r="C626"/>
      <c r="D626"/>
      <c r="E626"/>
      <c r="F626"/>
      <c r="G626"/>
      <c r="H626"/>
      <c r="I626"/>
      <c r="J626"/>
      <c r="K626"/>
      <c r="L626"/>
      <c r="M626"/>
      <c r="N626"/>
      <c r="O626"/>
      <c r="P626"/>
      <c r="Q626"/>
      <c r="R626"/>
      <c r="S626"/>
      <c r="T626"/>
      <c r="U626"/>
      <c r="V626"/>
    </row>
    <row r="627" spans="1:22" x14ac:dyDescent="0.25">
      <c r="A627"/>
      <c r="B627" s="29" t="s">
        <v>3</v>
      </c>
      <c r="C627" t="s">
        <v>74</v>
      </c>
      <c r="D627"/>
      <c r="E627"/>
      <c r="F627"/>
      <c r="G627"/>
      <c r="H627"/>
      <c r="I627"/>
      <c r="J627"/>
      <c r="K627"/>
      <c r="L627"/>
      <c r="M627"/>
      <c r="N627"/>
      <c r="O627"/>
      <c r="P627"/>
      <c r="Q627"/>
      <c r="R627"/>
      <c r="S627"/>
      <c r="T627"/>
      <c r="U627"/>
      <c r="V627"/>
    </row>
    <row r="628" spans="1:22" x14ac:dyDescent="0.25">
      <c r="A628"/>
      <c r="B628" s="29" t="s">
        <v>263</v>
      </c>
      <c r="C628" t="s">
        <v>74</v>
      </c>
      <c r="E628"/>
      <c r="F628"/>
      <c r="G628"/>
      <c r="H628"/>
      <c r="I628"/>
      <c r="J628"/>
      <c r="K628"/>
      <c r="L628"/>
      <c r="M628"/>
      <c r="N628"/>
      <c r="O628"/>
      <c r="P628"/>
      <c r="Q628"/>
      <c r="R628"/>
      <c r="S628"/>
      <c r="T628"/>
      <c r="U628"/>
      <c r="V628"/>
    </row>
    <row r="629" spans="1:22" x14ac:dyDescent="0.25">
      <c r="A629"/>
      <c r="E629"/>
      <c r="F629"/>
      <c r="G629"/>
      <c r="H629"/>
      <c r="I629"/>
      <c r="J629"/>
      <c r="K629"/>
      <c r="L629"/>
      <c r="M629"/>
      <c r="N629"/>
      <c r="O629"/>
      <c r="P629"/>
      <c r="Q629"/>
      <c r="R629"/>
      <c r="S629"/>
      <c r="T629"/>
      <c r="U629"/>
      <c r="V629"/>
    </row>
    <row r="630" spans="1:22" x14ac:dyDescent="0.25">
      <c r="A630"/>
      <c r="B630" s="29" t="s">
        <v>243</v>
      </c>
      <c r="C630" s="29" t="s">
        <v>256</v>
      </c>
      <c r="D630"/>
      <c r="E630"/>
      <c r="F630"/>
      <c r="G630"/>
      <c r="H630"/>
      <c r="I630"/>
      <c r="J630"/>
      <c r="K630"/>
      <c r="L630"/>
      <c r="M630"/>
      <c r="N630"/>
      <c r="O630"/>
      <c r="P630"/>
      <c r="Q630"/>
      <c r="R630"/>
      <c r="S630"/>
      <c r="T630"/>
      <c r="U630"/>
      <c r="V630"/>
    </row>
    <row r="631" spans="1:22" x14ac:dyDescent="0.25">
      <c r="A631"/>
      <c r="B631" s="29" t="s">
        <v>242</v>
      </c>
      <c r="C631" t="s">
        <v>685</v>
      </c>
      <c r="D631" t="s">
        <v>686</v>
      </c>
      <c r="E631" t="s">
        <v>73</v>
      </c>
      <c r="F631"/>
      <c r="G631"/>
      <c r="H631"/>
      <c r="I631"/>
      <c r="J631"/>
      <c r="K631"/>
      <c r="L631"/>
      <c r="M631"/>
      <c r="N631"/>
      <c r="O631"/>
      <c r="P631"/>
      <c r="Q631"/>
      <c r="R631"/>
      <c r="S631"/>
      <c r="T631"/>
      <c r="U631"/>
      <c r="V631"/>
    </row>
    <row r="632" spans="1:22" x14ac:dyDescent="0.25">
      <c r="A632"/>
      <c r="B632" s="26" t="s">
        <v>218</v>
      </c>
      <c r="C632" s="307">
        <v>46155</v>
      </c>
      <c r="D632" s="307">
        <v>1106</v>
      </c>
      <c r="E632" s="307">
        <v>47261</v>
      </c>
      <c r="F632"/>
      <c r="G632"/>
      <c r="H632"/>
      <c r="I632"/>
      <c r="J632"/>
      <c r="K632"/>
      <c r="L632"/>
      <c r="M632"/>
      <c r="N632"/>
      <c r="O632"/>
      <c r="P632"/>
      <c r="Q632"/>
      <c r="R632"/>
      <c r="S632"/>
      <c r="T632"/>
      <c r="U632"/>
      <c r="V632"/>
    </row>
    <row r="633" spans="1:22" x14ac:dyDescent="0.25">
      <c r="A633"/>
      <c r="B633" s="26" t="s">
        <v>226</v>
      </c>
      <c r="C633" s="307">
        <v>36299</v>
      </c>
      <c r="D633" s="307"/>
      <c r="E633" s="307">
        <v>36299</v>
      </c>
      <c r="F633"/>
      <c r="G633"/>
      <c r="H633"/>
      <c r="I633"/>
      <c r="J633"/>
      <c r="K633"/>
      <c r="L633"/>
      <c r="M633"/>
      <c r="N633"/>
      <c r="O633"/>
      <c r="P633"/>
      <c r="Q633"/>
      <c r="R633"/>
      <c r="S633"/>
      <c r="T633"/>
      <c r="U633"/>
      <c r="V633"/>
    </row>
    <row r="634" spans="1:22" x14ac:dyDescent="0.25">
      <c r="A634"/>
      <c r="B634" s="26" t="s">
        <v>73</v>
      </c>
      <c r="C634" s="307">
        <v>82454</v>
      </c>
      <c r="D634" s="307">
        <v>1106</v>
      </c>
      <c r="E634" s="307">
        <v>83560</v>
      </c>
      <c r="F634"/>
      <c r="G634"/>
      <c r="H634"/>
      <c r="I634"/>
      <c r="J634"/>
      <c r="K634"/>
      <c r="L634"/>
      <c r="M634"/>
      <c r="N634"/>
      <c r="O634"/>
      <c r="P634"/>
      <c r="Q634"/>
      <c r="R634"/>
      <c r="S634"/>
      <c r="T634"/>
      <c r="U634"/>
      <c r="V634"/>
    </row>
    <row r="635" spans="1:22" x14ac:dyDescent="0.25">
      <c r="A635"/>
      <c r="B635"/>
      <c r="C635"/>
      <c r="D635"/>
      <c r="E635"/>
      <c r="F635"/>
      <c r="G635"/>
      <c r="H635"/>
      <c r="I635"/>
      <c r="J635"/>
      <c r="K635"/>
      <c r="L635"/>
      <c r="M635"/>
      <c r="N635"/>
      <c r="O635"/>
      <c r="P635"/>
      <c r="Q635"/>
      <c r="R635"/>
      <c r="S635"/>
      <c r="T635"/>
      <c r="U635"/>
      <c r="V635"/>
    </row>
    <row r="636" spans="1:22" x14ac:dyDescent="0.25">
      <c r="A636"/>
      <c r="B636"/>
      <c r="C636"/>
      <c r="D636"/>
      <c r="E636"/>
      <c r="F636"/>
      <c r="G636"/>
      <c r="H636"/>
      <c r="I636"/>
      <c r="J636"/>
      <c r="K636"/>
      <c r="L636"/>
      <c r="M636"/>
      <c r="N636"/>
      <c r="O636"/>
      <c r="P636"/>
      <c r="Q636"/>
      <c r="R636"/>
      <c r="S636"/>
      <c r="T636"/>
      <c r="U636"/>
      <c r="V636"/>
    </row>
    <row r="637" spans="1:22" x14ac:dyDescent="0.25">
      <c r="A637"/>
      <c r="B637"/>
      <c r="C637"/>
      <c r="D637"/>
      <c r="E637"/>
      <c r="F637"/>
      <c r="G637"/>
      <c r="H637"/>
      <c r="I637"/>
      <c r="J637"/>
      <c r="K637"/>
      <c r="L637"/>
      <c r="M637"/>
      <c r="N637"/>
      <c r="O637"/>
      <c r="P637"/>
      <c r="Q637"/>
      <c r="R637"/>
      <c r="S637"/>
      <c r="T637"/>
      <c r="U637"/>
      <c r="V637"/>
    </row>
    <row r="638" spans="1:22" x14ac:dyDescent="0.25">
      <c r="A638"/>
      <c r="B638"/>
      <c r="C638"/>
      <c r="D638"/>
      <c r="E638"/>
      <c r="F638"/>
      <c r="G638"/>
      <c r="H638"/>
      <c r="I638"/>
      <c r="J638"/>
      <c r="K638"/>
      <c r="L638"/>
      <c r="M638"/>
      <c r="N638"/>
      <c r="O638"/>
      <c r="P638"/>
      <c r="Q638"/>
      <c r="R638"/>
      <c r="S638"/>
      <c r="T638"/>
      <c r="U638"/>
      <c r="V638"/>
    </row>
    <row r="639" spans="1:22" x14ac:dyDescent="0.25">
      <c r="A639"/>
      <c r="B639"/>
      <c r="C639"/>
      <c r="D639"/>
      <c r="E639"/>
      <c r="F639"/>
      <c r="G639"/>
      <c r="H639"/>
      <c r="I639"/>
      <c r="J639"/>
      <c r="K639"/>
      <c r="L639"/>
      <c r="M639"/>
      <c r="N639"/>
      <c r="O639"/>
      <c r="P639"/>
      <c r="Q639"/>
      <c r="R639"/>
      <c r="S639"/>
      <c r="T639"/>
      <c r="U639"/>
      <c r="V639"/>
    </row>
    <row r="640" spans="1:22" x14ac:dyDescent="0.25">
      <c r="A640"/>
      <c r="B640"/>
      <c r="C640"/>
      <c r="D640"/>
      <c r="E640"/>
      <c r="F640"/>
      <c r="G640"/>
      <c r="H640"/>
      <c r="I640"/>
      <c r="J640"/>
      <c r="K640"/>
      <c r="L640"/>
      <c r="M640"/>
      <c r="N640"/>
      <c r="O640"/>
      <c r="P640"/>
      <c r="Q640"/>
      <c r="R640"/>
      <c r="S640"/>
      <c r="T640"/>
      <c r="U640"/>
      <c r="V640"/>
    </row>
    <row r="641" spans="1:22" x14ac:dyDescent="0.25">
      <c r="A641"/>
      <c r="B641"/>
      <c r="C641"/>
      <c r="D641"/>
      <c r="E641"/>
      <c r="F641"/>
      <c r="G641"/>
      <c r="H641"/>
      <c r="I641"/>
      <c r="J641"/>
      <c r="K641"/>
      <c r="L641"/>
      <c r="M641"/>
      <c r="N641"/>
      <c r="O641"/>
      <c r="P641"/>
      <c r="Q641"/>
      <c r="R641"/>
      <c r="S641"/>
      <c r="T641"/>
      <c r="U641"/>
      <c r="V641"/>
    </row>
    <row r="642" spans="1:22" x14ac:dyDescent="0.25">
      <c r="A642"/>
      <c r="B642" s="29" t="s">
        <v>3</v>
      </c>
      <c r="C642" t="s">
        <v>74</v>
      </c>
      <c r="D642"/>
      <c r="E642"/>
      <c r="F642"/>
      <c r="G642"/>
      <c r="H642"/>
      <c r="I642"/>
      <c r="J642"/>
      <c r="K642"/>
      <c r="L642"/>
      <c r="M642"/>
      <c r="N642"/>
      <c r="O642"/>
      <c r="P642"/>
      <c r="Q642"/>
      <c r="R642"/>
      <c r="S642"/>
      <c r="T642"/>
      <c r="U642"/>
      <c r="V642"/>
    </row>
    <row r="643" spans="1:22" x14ac:dyDescent="0.25">
      <c r="A643"/>
      <c r="B643" s="29" t="s">
        <v>263</v>
      </c>
      <c r="C643" t="s">
        <v>74</v>
      </c>
      <c r="D643"/>
      <c r="E643"/>
      <c r="F643"/>
      <c r="G643"/>
      <c r="H643"/>
      <c r="I643"/>
      <c r="J643"/>
      <c r="K643"/>
      <c r="L643"/>
      <c r="M643"/>
      <c r="N643"/>
      <c r="O643"/>
      <c r="P643"/>
      <c r="Q643"/>
      <c r="R643"/>
      <c r="S643"/>
      <c r="T643"/>
      <c r="U643"/>
      <c r="V643"/>
    </row>
    <row r="644" spans="1:22" x14ac:dyDescent="0.25">
      <c r="A644"/>
      <c r="B644" s="29" t="s">
        <v>4</v>
      </c>
      <c r="C644" t="s">
        <v>74</v>
      </c>
      <c r="E644"/>
      <c r="F644"/>
      <c r="G644"/>
      <c r="H644"/>
      <c r="I644"/>
      <c r="J644"/>
      <c r="K644"/>
      <c r="L644"/>
      <c r="M644"/>
      <c r="N644"/>
      <c r="O644"/>
      <c r="P644"/>
      <c r="Q644"/>
      <c r="R644"/>
      <c r="S644"/>
      <c r="T644"/>
      <c r="U644"/>
      <c r="V644"/>
    </row>
    <row r="645" spans="1:22" x14ac:dyDescent="0.25">
      <c r="A645"/>
      <c r="E645"/>
      <c r="F645"/>
      <c r="G645"/>
      <c r="H645"/>
      <c r="I645"/>
      <c r="J645"/>
      <c r="K645"/>
      <c r="L645"/>
      <c r="M645"/>
      <c r="N645"/>
      <c r="O645"/>
      <c r="P645"/>
      <c r="Q645"/>
      <c r="R645"/>
      <c r="S645"/>
      <c r="T645"/>
      <c r="U645"/>
      <c r="V645"/>
    </row>
    <row r="646" spans="1:22" x14ac:dyDescent="0.25">
      <c r="A646"/>
      <c r="B646" s="29" t="s">
        <v>243</v>
      </c>
      <c r="C646" s="29" t="s">
        <v>256</v>
      </c>
      <c r="D646"/>
      <c r="E646"/>
      <c r="F646"/>
      <c r="G646"/>
      <c r="H646"/>
      <c r="I646"/>
      <c r="J646"/>
      <c r="K646"/>
      <c r="L646"/>
      <c r="M646"/>
      <c r="N646"/>
      <c r="O646"/>
      <c r="P646"/>
      <c r="Q646"/>
      <c r="R646"/>
      <c r="S646"/>
      <c r="T646"/>
      <c r="U646"/>
      <c r="V646"/>
    </row>
    <row r="647" spans="1:22" x14ac:dyDescent="0.25">
      <c r="A647"/>
      <c r="B647" s="29" t="s">
        <v>242</v>
      </c>
      <c r="C647" t="s">
        <v>685</v>
      </c>
      <c r="D647" t="s">
        <v>686</v>
      </c>
      <c r="E647" t="s">
        <v>73</v>
      </c>
      <c r="F647"/>
      <c r="G647"/>
      <c r="H647"/>
      <c r="I647"/>
      <c r="J647"/>
      <c r="K647"/>
      <c r="L647"/>
      <c r="M647"/>
      <c r="N647"/>
      <c r="O647"/>
      <c r="P647"/>
      <c r="Q647"/>
      <c r="R647"/>
      <c r="S647"/>
      <c r="T647"/>
      <c r="U647"/>
      <c r="V647"/>
    </row>
    <row r="648" spans="1:22" x14ac:dyDescent="0.25">
      <c r="A648"/>
      <c r="B648" s="26" t="s">
        <v>180</v>
      </c>
      <c r="C648" s="307">
        <v>8195</v>
      </c>
      <c r="D648" s="307"/>
      <c r="E648" s="307">
        <v>8195</v>
      </c>
      <c r="F648"/>
      <c r="G648"/>
      <c r="H648"/>
      <c r="I648"/>
      <c r="J648"/>
      <c r="K648"/>
      <c r="L648"/>
      <c r="M648"/>
      <c r="N648"/>
      <c r="O648"/>
      <c r="P648"/>
      <c r="Q648"/>
      <c r="R648"/>
      <c r="S648"/>
      <c r="T648"/>
      <c r="U648"/>
      <c r="V648"/>
    </row>
    <row r="649" spans="1:22" x14ac:dyDescent="0.25">
      <c r="A649"/>
      <c r="B649" s="26" t="s">
        <v>107</v>
      </c>
      <c r="C649" s="307">
        <v>2561</v>
      </c>
      <c r="D649" s="307"/>
      <c r="E649" s="307">
        <v>2561</v>
      </c>
      <c r="F649"/>
      <c r="G649"/>
      <c r="H649"/>
      <c r="I649"/>
      <c r="J649"/>
      <c r="K649"/>
      <c r="L649"/>
      <c r="M649"/>
      <c r="N649"/>
      <c r="O649"/>
      <c r="P649"/>
      <c r="Q649"/>
      <c r="R649"/>
      <c r="S649"/>
      <c r="T649"/>
      <c r="U649"/>
      <c r="V649"/>
    </row>
    <row r="650" spans="1:22" x14ac:dyDescent="0.25">
      <c r="A650"/>
      <c r="B650" s="26" t="s">
        <v>110</v>
      </c>
      <c r="C650" s="307">
        <v>3436</v>
      </c>
      <c r="D650" s="307">
        <v>224</v>
      </c>
      <c r="E650" s="307">
        <v>3660</v>
      </c>
      <c r="F650"/>
      <c r="G650"/>
      <c r="H650"/>
      <c r="I650"/>
      <c r="J650"/>
      <c r="K650"/>
      <c r="L650"/>
      <c r="M650"/>
      <c r="N650"/>
      <c r="O650"/>
      <c r="P650"/>
      <c r="Q650"/>
      <c r="R650"/>
      <c r="S650"/>
      <c r="T650"/>
      <c r="U650"/>
      <c r="V650"/>
    </row>
    <row r="651" spans="1:22" x14ac:dyDescent="0.25">
      <c r="A651"/>
      <c r="B651" s="26" t="s">
        <v>128</v>
      </c>
      <c r="C651" s="307"/>
      <c r="D651" s="307">
        <v>17</v>
      </c>
      <c r="E651" s="307">
        <v>17</v>
      </c>
      <c r="F651"/>
      <c r="G651"/>
      <c r="H651"/>
      <c r="I651"/>
      <c r="J651"/>
      <c r="K651"/>
      <c r="L651"/>
      <c r="M651"/>
      <c r="N651"/>
      <c r="O651"/>
      <c r="P651"/>
      <c r="Q651"/>
      <c r="R651"/>
      <c r="S651"/>
      <c r="T651"/>
      <c r="U651"/>
      <c r="V651"/>
    </row>
    <row r="652" spans="1:22" x14ac:dyDescent="0.25">
      <c r="A652"/>
      <c r="B652" s="26" t="s">
        <v>205</v>
      </c>
      <c r="C652" s="307">
        <v>2830</v>
      </c>
      <c r="D652" s="307"/>
      <c r="E652" s="307">
        <v>2830</v>
      </c>
      <c r="F652"/>
      <c r="G652"/>
      <c r="H652"/>
      <c r="I652"/>
      <c r="J652"/>
      <c r="K652"/>
      <c r="L652"/>
      <c r="M652"/>
      <c r="N652"/>
      <c r="O652"/>
      <c r="P652"/>
      <c r="Q652"/>
      <c r="R652"/>
      <c r="S652"/>
      <c r="T652"/>
      <c r="U652"/>
      <c r="V652"/>
    </row>
    <row r="653" spans="1:22" x14ac:dyDescent="0.25">
      <c r="A653"/>
      <c r="B653" s="26" t="s">
        <v>325</v>
      </c>
      <c r="C653" s="307">
        <v>35</v>
      </c>
      <c r="D653" s="307"/>
      <c r="E653" s="307">
        <v>35</v>
      </c>
      <c r="F653"/>
      <c r="G653"/>
      <c r="H653"/>
      <c r="I653"/>
      <c r="J653"/>
      <c r="K653"/>
      <c r="L653"/>
      <c r="M653"/>
      <c r="N653"/>
      <c r="O653"/>
      <c r="P653"/>
      <c r="Q653"/>
      <c r="R653"/>
      <c r="S653"/>
      <c r="T653"/>
      <c r="U653"/>
      <c r="V653"/>
    </row>
    <row r="654" spans="1:22" x14ac:dyDescent="0.25">
      <c r="A654"/>
      <c r="B654" s="26" t="s">
        <v>186</v>
      </c>
      <c r="C654" s="307">
        <v>10990</v>
      </c>
      <c r="D654" s="307">
        <v>499</v>
      </c>
      <c r="E654" s="307">
        <v>11489</v>
      </c>
      <c r="F654"/>
      <c r="G654"/>
      <c r="H654"/>
      <c r="I654"/>
      <c r="J654"/>
      <c r="K654"/>
      <c r="L654"/>
      <c r="M654"/>
      <c r="N654"/>
      <c r="O654"/>
      <c r="P654"/>
      <c r="Q654"/>
      <c r="R654"/>
      <c r="S654"/>
      <c r="T654"/>
      <c r="U654"/>
      <c r="V654"/>
    </row>
    <row r="655" spans="1:22" x14ac:dyDescent="0.25">
      <c r="A655"/>
      <c r="B655" s="26" t="s">
        <v>187</v>
      </c>
      <c r="C655" s="307">
        <v>792</v>
      </c>
      <c r="D655" s="307"/>
      <c r="E655" s="307">
        <v>792</v>
      </c>
      <c r="F655"/>
      <c r="G655"/>
      <c r="H655"/>
      <c r="I655"/>
      <c r="J655"/>
      <c r="K655"/>
      <c r="L655"/>
      <c r="M655"/>
      <c r="N655"/>
      <c r="O655"/>
      <c r="P655"/>
      <c r="Q655"/>
      <c r="R655"/>
      <c r="S655"/>
      <c r="T655"/>
      <c r="U655"/>
      <c r="V655"/>
    </row>
    <row r="656" spans="1:22" x14ac:dyDescent="0.25">
      <c r="A656"/>
      <c r="B656" s="26" t="s">
        <v>225</v>
      </c>
      <c r="C656" s="307">
        <v>164</v>
      </c>
      <c r="D656" s="307"/>
      <c r="E656" s="307">
        <v>164</v>
      </c>
      <c r="F656"/>
      <c r="G656"/>
      <c r="H656"/>
      <c r="I656"/>
      <c r="J656"/>
      <c r="K656"/>
      <c r="L656"/>
      <c r="M656"/>
      <c r="N656"/>
      <c r="O656"/>
      <c r="P656"/>
      <c r="Q656"/>
      <c r="R656"/>
      <c r="S656"/>
      <c r="T656"/>
      <c r="U656"/>
      <c r="V656"/>
    </row>
    <row r="657" spans="1:22" x14ac:dyDescent="0.25">
      <c r="A657"/>
      <c r="B657" s="26" t="s">
        <v>133</v>
      </c>
      <c r="C657" s="307">
        <v>135</v>
      </c>
      <c r="D657" s="307"/>
      <c r="E657" s="307">
        <v>135</v>
      </c>
      <c r="F657"/>
      <c r="G657"/>
      <c r="H657"/>
      <c r="I657"/>
      <c r="J657"/>
      <c r="K657"/>
      <c r="L657"/>
      <c r="M657"/>
      <c r="N657"/>
      <c r="O657"/>
      <c r="P657"/>
      <c r="Q657"/>
      <c r="R657"/>
      <c r="S657"/>
      <c r="T657"/>
      <c r="U657"/>
      <c r="V657"/>
    </row>
    <row r="658" spans="1:22" x14ac:dyDescent="0.25">
      <c r="A658"/>
      <c r="B658" s="26" t="s">
        <v>188</v>
      </c>
      <c r="C658" s="307">
        <v>21384</v>
      </c>
      <c r="D658" s="307">
        <v>262</v>
      </c>
      <c r="E658" s="307">
        <v>21646</v>
      </c>
      <c r="F658"/>
      <c r="G658"/>
      <c r="H658"/>
      <c r="I658"/>
      <c r="J658"/>
      <c r="K658"/>
      <c r="L658"/>
      <c r="M658"/>
      <c r="N658"/>
      <c r="O658"/>
      <c r="P658"/>
      <c r="Q658"/>
      <c r="R658"/>
      <c r="S658"/>
      <c r="T658"/>
      <c r="U658"/>
      <c r="V658"/>
    </row>
    <row r="659" spans="1:22" x14ac:dyDescent="0.25">
      <c r="A659"/>
      <c r="B659" s="26" t="s">
        <v>214</v>
      </c>
      <c r="C659" s="307">
        <v>506</v>
      </c>
      <c r="D659" s="307"/>
      <c r="E659" s="307">
        <v>506</v>
      </c>
      <c r="F659"/>
      <c r="G659"/>
      <c r="H659"/>
      <c r="I659"/>
      <c r="J659"/>
      <c r="K659"/>
      <c r="L659"/>
      <c r="M659"/>
      <c r="N659"/>
      <c r="O659"/>
      <c r="P659"/>
      <c r="Q659"/>
      <c r="R659"/>
      <c r="S659"/>
      <c r="T659"/>
      <c r="U659"/>
      <c r="V659"/>
    </row>
    <row r="660" spans="1:22" x14ac:dyDescent="0.25">
      <c r="A660"/>
      <c r="B660" s="26" t="s">
        <v>135</v>
      </c>
      <c r="C660" s="307">
        <v>6092</v>
      </c>
      <c r="D660" s="307"/>
      <c r="E660" s="307">
        <v>6092</v>
      </c>
      <c r="F660"/>
      <c r="G660"/>
      <c r="H660"/>
      <c r="I660"/>
      <c r="J660"/>
      <c r="K660"/>
      <c r="L660"/>
      <c r="M660"/>
      <c r="N660"/>
      <c r="O660"/>
      <c r="P660"/>
      <c r="Q660"/>
      <c r="R660"/>
      <c r="S660"/>
      <c r="T660"/>
      <c r="U660"/>
      <c r="V660"/>
    </row>
    <row r="661" spans="1:22" x14ac:dyDescent="0.25">
      <c r="A661"/>
      <c r="B661" s="26" t="s">
        <v>486</v>
      </c>
      <c r="C661" s="307">
        <v>1713</v>
      </c>
      <c r="D661" s="307"/>
      <c r="E661" s="307">
        <v>1713</v>
      </c>
      <c r="F661"/>
      <c r="G661"/>
      <c r="H661"/>
      <c r="I661"/>
      <c r="J661"/>
      <c r="K661"/>
      <c r="L661"/>
      <c r="M661"/>
      <c r="N661"/>
      <c r="P661"/>
      <c r="Q661"/>
      <c r="R661"/>
      <c r="S661"/>
      <c r="T661"/>
      <c r="U661"/>
      <c r="V661"/>
    </row>
    <row r="662" spans="1:22" x14ac:dyDescent="0.25">
      <c r="A662"/>
      <c r="B662" s="26" t="s">
        <v>232</v>
      </c>
      <c r="C662" s="307">
        <v>47</v>
      </c>
      <c r="D662" s="307"/>
      <c r="E662" s="307">
        <v>47</v>
      </c>
      <c r="F662"/>
      <c r="G662"/>
      <c r="H662"/>
      <c r="I662"/>
      <c r="J662"/>
      <c r="K662"/>
      <c r="L662"/>
      <c r="M662"/>
      <c r="N662"/>
      <c r="P662"/>
      <c r="Q662"/>
      <c r="R662"/>
      <c r="S662"/>
      <c r="T662"/>
      <c r="U662"/>
      <c r="V662"/>
    </row>
    <row r="663" spans="1:22" x14ac:dyDescent="0.25">
      <c r="A663"/>
      <c r="B663" s="26" t="s">
        <v>224</v>
      </c>
      <c r="C663" s="307">
        <v>221</v>
      </c>
      <c r="D663" s="307">
        <v>64</v>
      </c>
      <c r="E663" s="307">
        <v>285</v>
      </c>
      <c r="F663"/>
      <c r="G663"/>
      <c r="H663"/>
      <c r="I663"/>
      <c r="J663"/>
      <c r="K663"/>
      <c r="L663"/>
      <c r="M663"/>
      <c r="N663"/>
      <c r="P663"/>
      <c r="Q663"/>
      <c r="R663"/>
      <c r="S663"/>
      <c r="T663"/>
      <c r="U663"/>
      <c r="V663"/>
    </row>
    <row r="664" spans="1:22" x14ac:dyDescent="0.25">
      <c r="A664"/>
      <c r="B664" s="26" t="s">
        <v>223</v>
      </c>
      <c r="C664" s="307">
        <v>453</v>
      </c>
      <c r="D664" s="307">
        <v>40</v>
      </c>
      <c r="E664" s="307">
        <v>493</v>
      </c>
      <c r="F664"/>
      <c r="G664"/>
      <c r="H664"/>
      <c r="I664"/>
      <c r="J664"/>
      <c r="K664"/>
      <c r="L664"/>
      <c r="M664"/>
      <c r="N664"/>
      <c r="P664"/>
      <c r="Q664"/>
      <c r="R664"/>
      <c r="S664"/>
      <c r="T664"/>
      <c r="U664"/>
      <c r="V664"/>
    </row>
    <row r="665" spans="1:22" x14ac:dyDescent="0.25">
      <c r="B665" s="26" t="s">
        <v>158</v>
      </c>
      <c r="C665" s="307">
        <v>22286</v>
      </c>
      <c r="D665" s="307"/>
      <c r="E665" s="307">
        <v>22286</v>
      </c>
      <c r="F665"/>
      <c r="G665"/>
      <c r="H665"/>
      <c r="I665"/>
      <c r="J665"/>
      <c r="K665"/>
      <c r="L665"/>
      <c r="M665"/>
      <c r="N665"/>
      <c r="P665"/>
      <c r="Q665"/>
      <c r="R665"/>
      <c r="S665"/>
      <c r="T665"/>
      <c r="U665"/>
      <c r="V665"/>
    </row>
    <row r="666" spans="1:22" x14ac:dyDescent="0.25">
      <c r="B666" s="26" t="s">
        <v>808</v>
      </c>
      <c r="C666" s="307">
        <v>614</v>
      </c>
      <c r="D666" s="307"/>
      <c r="E666" s="307">
        <v>614</v>
      </c>
      <c r="F666"/>
      <c r="G666"/>
      <c r="H666"/>
      <c r="I666"/>
      <c r="J666"/>
      <c r="K666"/>
      <c r="L666"/>
      <c r="M666"/>
      <c r="N666"/>
    </row>
    <row r="667" spans="1:22" x14ac:dyDescent="0.25">
      <c r="B667" s="26" t="s">
        <v>73</v>
      </c>
      <c r="C667" s="307">
        <v>82454</v>
      </c>
      <c r="D667" s="307">
        <v>1106</v>
      </c>
      <c r="E667" s="307">
        <v>83560</v>
      </c>
      <c r="F667"/>
      <c r="G667"/>
      <c r="H667"/>
      <c r="I667"/>
      <c r="J667"/>
      <c r="K667"/>
      <c r="L667"/>
      <c r="M667"/>
      <c r="N667"/>
    </row>
    <row r="668" spans="1:22" x14ac:dyDescent="0.25">
      <c r="B668"/>
      <c r="C668"/>
      <c r="D668"/>
      <c r="E668"/>
      <c r="F668"/>
      <c r="G668"/>
      <c r="H668"/>
      <c r="I668"/>
      <c r="J668"/>
      <c r="K668"/>
      <c r="L668"/>
      <c r="M668"/>
      <c r="N668"/>
    </row>
    <row r="669" spans="1:22" x14ac:dyDescent="0.25">
      <c r="B669"/>
      <c r="C669"/>
      <c r="D669"/>
      <c r="E669"/>
      <c r="F669"/>
      <c r="G669"/>
      <c r="H669"/>
      <c r="I669"/>
      <c r="J669"/>
      <c r="K669"/>
      <c r="L669"/>
      <c r="M669"/>
      <c r="N669"/>
    </row>
    <row r="670" spans="1:22" x14ac:dyDescent="0.25">
      <c r="B670"/>
      <c r="E670" s="11"/>
    </row>
    <row r="671" spans="1:22" x14ac:dyDescent="0.25">
      <c r="B671"/>
      <c r="E671" s="11"/>
    </row>
    <row r="672" spans="1:22" x14ac:dyDescent="0.25">
      <c r="B672"/>
      <c r="E672" s="11"/>
    </row>
    <row r="673" spans="2:6" x14ac:dyDescent="0.25">
      <c r="B673"/>
      <c r="E673" s="11"/>
    </row>
    <row r="674" spans="2:6" x14ac:dyDescent="0.25">
      <c r="B674"/>
      <c r="C674" s="11"/>
      <c r="D674" s="11"/>
      <c r="E674" s="11"/>
    </row>
    <row r="675" spans="2:6" x14ac:dyDescent="0.25">
      <c r="B675"/>
      <c r="C675" s="11"/>
      <c r="D675" s="11"/>
      <c r="E675" s="11"/>
    </row>
    <row r="676" spans="2:6" x14ac:dyDescent="0.25">
      <c r="B676"/>
      <c r="C676" s="11"/>
      <c r="D676" s="11"/>
      <c r="E676" s="11"/>
    </row>
    <row r="677" spans="2:6" x14ac:dyDescent="0.25">
      <c r="B677"/>
      <c r="C677"/>
      <c r="D677"/>
      <c r="E677"/>
    </row>
    <row r="678" spans="2:6" x14ac:dyDescent="0.25">
      <c r="B678" s="29" t="s">
        <v>3</v>
      </c>
      <c r="C678" t="s">
        <v>74</v>
      </c>
      <c r="D678"/>
      <c r="E678"/>
    </row>
    <row r="679" spans="2:6" x14ac:dyDescent="0.25">
      <c r="B679" s="29" t="s">
        <v>263</v>
      </c>
      <c r="C679" t="s">
        <v>74</v>
      </c>
      <c r="E679"/>
    </row>
    <row r="680" spans="2:6" x14ac:dyDescent="0.25">
      <c r="E680"/>
    </row>
    <row r="681" spans="2:6" x14ac:dyDescent="0.25">
      <c r="B681" s="29" t="s">
        <v>687</v>
      </c>
      <c r="C681" s="29" t="s">
        <v>256</v>
      </c>
      <c r="D681"/>
      <c r="E681"/>
      <c r="F681"/>
    </row>
    <row r="682" spans="2:6" x14ac:dyDescent="0.25">
      <c r="B682" s="29" t="s">
        <v>242</v>
      </c>
      <c r="C682" t="s">
        <v>294</v>
      </c>
      <c r="D682" t="s">
        <v>262</v>
      </c>
      <c r="E682" t="s">
        <v>73</v>
      </c>
      <c r="F682"/>
    </row>
    <row r="683" spans="2:6" x14ac:dyDescent="0.25">
      <c r="B683" s="26" t="s">
        <v>218</v>
      </c>
      <c r="C683" s="307">
        <v>135</v>
      </c>
      <c r="D683" s="307">
        <v>9</v>
      </c>
      <c r="E683" s="307">
        <v>144</v>
      </c>
      <c r="F683"/>
    </row>
    <row r="684" spans="2:6" x14ac:dyDescent="0.25">
      <c r="B684" s="26" t="s">
        <v>226</v>
      </c>
      <c r="C684" s="307">
        <v>31</v>
      </c>
      <c r="D684" s="307"/>
      <c r="E684" s="307">
        <v>31</v>
      </c>
      <c r="F684"/>
    </row>
    <row r="685" spans="2:6" x14ac:dyDescent="0.25">
      <c r="B685" s="26" t="s">
        <v>73</v>
      </c>
      <c r="C685" s="307">
        <v>166</v>
      </c>
      <c r="D685" s="307">
        <v>9</v>
      </c>
      <c r="E685" s="307">
        <v>175</v>
      </c>
      <c r="F685"/>
    </row>
    <row r="686" spans="2:6" x14ac:dyDescent="0.25">
      <c r="B686"/>
      <c r="C686"/>
      <c r="D686"/>
      <c r="E686"/>
    </row>
    <row r="687" spans="2:6" x14ac:dyDescent="0.25">
      <c r="B687"/>
      <c r="C687"/>
      <c r="D687"/>
      <c r="E687"/>
    </row>
    <row r="688" spans="2:6" x14ac:dyDescent="0.25">
      <c r="B688"/>
      <c r="C688"/>
      <c r="D688"/>
      <c r="E688"/>
    </row>
    <row r="689" spans="2:5" x14ac:dyDescent="0.25">
      <c r="B689"/>
      <c r="C689"/>
      <c r="D689"/>
      <c r="E689"/>
    </row>
    <row r="690" spans="2:5" x14ac:dyDescent="0.25">
      <c r="B690"/>
      <c r="C690"/>
      <c r="D690"/>
      <c r="E690"/>
    </row>
    <row r="691" spans="2:5" x14ac:dyDescent="0.25">
      <c r="B691"/>
      <c r="C691"/>
      <c r="D691"/>
      <c r="E691"/>
    </row>
    <row r="692" spans="2:5" x14ac:dyDescent="0.25">
      <c r="B692"/>
      <c r="C692"/>
      <c r="D692"/>
      <c r="E692"/>
    </row>
    <row r="693" spans="2:5" x14ac:dyDescent="0.25">
      <c r="B693"/>
      <c r="C693"/>
      <c r="D693"/>
      <c r="E693"/>
    </row>
    <row r="694" spans="2:5" x14ac:dyDescent="0.25">
      <c r="B694"/>
      <c r="C694"/>
      <c r="D694"/>
      <c r="E694"/>
    </row>
    <row r="695" spans="2:5" x14ac:dyDescent="0.25">
      <c r="B695" s="29" t="s">
        <v>3</v>
      </c>
      <c r="C695" t="s">
        <v>74</v>
      </c>
      <c r="D695"/>
      <c r="E695"/>
    </row>
    <row r="696" spans="2:5" x14ac:dyDescent="0.25">
      <c r="B696" s="29" t="s">
        <v>4</v>
      </c>
      <c r="C696" t="s">
        <v>74</v>
      </c>
      <c r="E696"/>
    </row>
    <row r="697" spans="2:5" x14ac:dyDescent="0.25">
      <c r="E697"/>
    </row>
    <row r="698" spans="2:5" x14ac:dyDescent="0.25">
      <c r="B698" s="29" t="s">
        <v>687</v>
      </c>
      <c r="C698" s="29" t="s">
        <v>256</v>
      </c>
      <c r="D698"/>
      <c r="E698"/>
    </row>
    <row r="699" spans="2:5" x14ac:dyDescent="0.25">
      <c r="B699" s="29" t="s">
        <v>242</v>
      </c>
      <c r="C699" t="s">
        <v>294</v>
      </c>
      <c r="D699" t="s">
        <v>262</v>
      </c>
      <c r="E699" t="s">
        <v>73</v>
      </c>
    </row>
    <row r="700" spans="2:5" x14ac:dyDescent="0.25">
      <c r="B700" s="26" t="s">
        <v>264</v>
      </c>
      <c r="C700" s="307">
        <v>22</v>
      </c>
      <c r="D700" s="307"/>
      <c r="E700" s="307">
        <v>22</v>
      </c>
    </row>
    <row r="701" spans="2:5" x14ac:dyDescent="0.25">
      <c r="B701" s="26" t="s">
        <v>265</v>
      </c>
      <c r="C701" s="307">
        <v>40</v>
      </c>
      <c r="D701" s="307"/>
      <c r="E701" s="307">
        <v>40</v>
      </c>
    </row>
    <row r="702" spans="2:5" x14ac:dyDescent="0.25">
      <c r="B702" s="26" t="s">
        <v>266</v>
      </c>
      <c r="C702" s="307">
        <v>5</v>
      </c>
      <c r="D702" s="307"/>
      <c r="E702" s="307">
        <v>5</v>
      </c>
    </row>
    <row r="703" spans="2:5" x14ac:dyDescent="0.25">
      <c r="B703" s="26" t="s">
        <v>267</v>
      </c>
      <c r="C703" s="307">
        <v>24</v>
      </c>
      <c r="D703" s="307">
        <v>7</v>
      </c>
      <c r="E703" s="307">
        <v>31</v>
      </c>
    </row>
    <row r="704" spans="2:5" x14ac:dyDescent="0.25">
      <c r="B704" s="26" t="s">
        <v>268</v>
      </c>
      <c r="C704" s="307">
        <v>15</v>
      </c>
      <c r="D704" s="307"/>
      <c r="E704" s="307">
        <v>15</v>
      </c>
    </row>
    <row r="705" spans="2:5" x14ac:dyDescent="0.25">
      <c r="B705" s="26" t="s">
        <v>273</v>
      </c>
      <c r="C705" s="307">
        <v>24</v>
      </c>
      <c r="D705" s="307"/>
      <c r="E705" s="307">
        <v>24</v>
      </c>
    </row>
    <row r="706" spans="2:5" x14ac:dyDescent="0.25">
      <c r="B706" s="26" t="s">
        <v>274</v>
      </c>
      <c r="C706" s="307">
        <v>11</v>
      </c>
      <c r="D706" s="307">
        <v>1</v>
      </c>
      <c r="E706" s="307">
        <v>12</v>
      </c>
    </row>
    <row r="707" spans="2:5" x14ac:dyDescent="0.25">
      <c r="B707" s="26" t="s">
        <v>275</v>
      </c>
      <c r="C707" s="307">
        <v>10</v>
      </c>
      <c r="D707" s="307"/>
      <c r="E707" s="307">
        <v>10</v>
      </c>
    </row>
    <row r="708" spans="2:5" x14ac:dyDescent="0.25">
      <c r="B708" s="26" t="s">
        <v>276</v>
      </c>
      <c r="C708" s="307">
        <v>4</v>
      </c>
      <c r="D708" s="307"/>
      <c r="E708" s="307">
        <v>4</v>
      </c>
    </row>
    <row r="709" spans="2:5" x14ac:dyDescent="0.25">
      <c r="B709" s="26" t="s">
        <v>322</v>
      </c>
      <c r="C709" s="307">
        <v>11</v>
      </c>
      <c r="D709" s="307">
        <v>1</v>
      </c>
      <c r="E709" s="307">
        <v>12</v>
      </c>
    </row>
    <row r="710" spans="2:5" x14ac:dyDescent="0.25">
      <c r="B710" s="26" t="s">
        <v>73</v>
      </c>
      <c r="C710" s="307">
        <v>166</v>
      </c>
      <c r="D710" s="307">
        <v>9</v>
      </c>
      <c r="E710" s="307">
        <v>175</v>
      </c>
    </row>
    <row r="711" spans="2:5" x14ac:dyDescent="0.25">
      <c r="B711"/>
      <c r="C711" s="11"/>
      <c r="D711" s="11"/>
      <c r="E711" s="11"/>
    </row>
    <row r="712" spans="2:5" x14ac:dyDescent="0.25">
      <c r="B712"/>
      <c r="C712" s="11"/>
      <c r="D712" s="11"/>
      <c r="E712" s="11"/>
    </row>
    <row r="713" spans="2:5" x14ac:dyDescent="0.25">
      <c r="B713"/>
      <c r="C713" s="11"/>
      <c r="D713" s="11"/>
      <c r="E713" s="11"/>
    </row>
    <row r="714" spans="2:5" x14ac:dyDescent="0.25">
      <c r="B714"/>
      <c r="C714" s="11"/>
      <c r="D714" s="11"/>
      <c r="E714" s="11"/>
    </row>
    <row r="715" spans="2:5" x14ac:dyDescent="0.25">
      <c r="B715"/>
      <c r="C715" s="11"/>
      <c r="D715" s="11"/>
      <c r="E715" s="11"/>
    </row>
    <row r="716" spans="2:5" x14ac:dyDescent="0.25">
      <c r="B716"/>
      <c r="C716" s="11"/>
      <c r="D716" s="11"/>
      <c r="E716" s="11"/>
    </row>
    <row r="717" spans="2:5" x14ac:dyDescent="0.25">
      <c r="B717"/>
      <c r="C717"/>
      <c r="D717" s="11"/>
      <c r="E717" s="11"/>
    </row>
    <row r="718" spans="2:5" x14ac:dyDescent="0.25">
      <c r="B718" s="29" t="s">
        <v>4</v>
      </c>
      <c r="C718" t="s">
        <v>74</v>
      </c>
      <c r="D718"/>
      <c r="E718"/>
    </row>
    <row r="719" spans="2:5" x14ac:dyDescent="0.25">
      <c r="B719" s="29" t="s">
        <v>263</v>
      </c>
      <c r="C719" t="s">
        <v>74</v>
      </c>
      <c r="E719"/>
    </row>
    <row r="720" spans="2:5" x14ac:dyDescent="0.25">
      <c r="E720"/>
    </row>
    <row r="721" spans="2:18" ht="78.75" x14ac:dyDescent="0.25">
      <c r="B721" s="361" t="s">
        <v>242</v>
      </c>
      <c r="C721" s="363" t="s">
        <v>762</v>
      </c>
      <c r="D721" s="363" t="s">
        <v>761</v>
      </c>
      <c r="E721" s="363" t="s">
        <v>688</v>
      </c>
      <c r="F721" s="363" t="s">
        <v>689</v>
      </c>
      <c r="G721"/>
      <c r="H721"/>
      <c r="I721"/>
      <c r="J721"/>
      <c r="K721"/>
      <c r="L721"/>
      <c r="M721"/>
      <c r="N721"/>
      <c r="O721"/>
      <c r="P721"/>
      <c r="Q721"/>
      <c r="R721"/>
    </row>
    <row r="722" spans="2:18" x14ac:dyDescent="0.25">
      <c r="B722" s="26" t="s">
        <v>657</v>
      </c>
      <c r="C722" s="307">
        <v>4</v>
      </c>
      <c r="D722" s="307">
        <v>4228</v>
      </c>
      <c r="E722" s="303">
        <v>1</v>
      </c>
      <c r="F722" s="303">
        <v>0.96263008514664139</v>
      </c>
      <c r="G722"/>
      <c r="H722"/>
      <c r="I722"/>
      <c r="J722"/>
      <c r="K722"/>
      <c r="L722"/>
      <c r="M722"/>
      <c r="N722"/>
      <c r="O722"/>
      <c r="P722"/>
      <c r="Q722"/>
      <c r="R722"/>
    </row>
    <row r="723" spans="2:18" s="362" customFormat="1" x14ac:dyDescent="0.25">
      <c r="B723" s="357" t="s">
        <v>180</v>
      </c>
      <c r="C723" s="307">
        <v>1</v>
      </c>
      <c r="D723" s="307">
        <v>926</v>
      </c>
      <c r="E723" s="303">
        <v>1</v>
      </c>
      <c r="F723" s="303">
        <v>1</v>
      </c>
      <c r="G723"/>
      <c r="H723"/>
      <c r="I723"/>
      <c r="J723"/>
      <c r="K723"/>
      <c r="L723"/>
      <c r="M723"/>
      <c r="N723"/>
      <c r="O723"/>
      <c r="P723"/>
      <c r="Q723"/>
      <c r="R723"/>
    </row>
    <row r="724" spans="2:18" x14ac:dyDescent="0.25">
      <c r="B724" s="358" t="s">
        <v>478</v>
      </c>
      <c r="C724" s="307">
        <v>1</v>
      </c>
      <c r="D724" s="307">
        <v>926</v>
      </c>
      <c r="E724" s="303">
        <v>1</v>
      </c>
      <c r="F724" s="303">
        <v>1</v>
      </c>
      <c r="G724"/>
      <c r="H724"/>
      <c r="I724"/>
      <c r="J724"/>
      <c r="K724"/>
      <c r="L724"/>
      <c r="M724"/>
      <c r="N724"/>
      <c r="O724"/>
      <c r="P724"/>
      <c r="Q724"/>
      <c r="R724"/>
    </row>
    <row r="725" spans="2:18" x14ac:dyDescent="0.25">
      <c r="B725" s="357" t="s">
        <v>186</v>
      </c>
      <c r="C725" s="307">
        <v>2</v>
      </c>
      <c r="D725" s="307">
        <v>1798</v>
      </c>
      <c r="E725" s="303">
        <v>1</v>
      </c>
      <c r="F725" s="303">
        <v>0.91212458286985543</v>
      </c>
      <c r="G725"/>
      <c r="H725"/>
      <c r="I725"/>
      <c r="J725"/>
      <c r="K725"/>
      <c r="L725"/>
      <c r="M725"/>
      <c r="N725"/>
      <c r="O725"/>
      <c r="P725"/>
      <c r="Q725"/>
      <c r="R725"/>
    </row>
    <row r="726" spans="2:18" x14ac:dyDescent="0.25">
      <c r="B726" s="317" t="s">
        <v>467</v>
      </c>
      <c r="C726" s="307">
        <v>2</v>
      </c>
      <c r="D726" s="307">
        <v>1798</v>
      </c>
      <c r="E726" s="303">
        <v>1</v>
      </c>
      <c r="F726" s="303">
        <v>0.91212458286985543</v>
      </c>
      <c r="G726"/>
      <c r="H726"/>
      <c r="I726"/>
      <c r="J726"/>
      <c r="K726"/>
      <c r="L726"/>
      <c r="M726"/>
      <c r="N726"/>
      <c r="O726"/>
      <c r="P726"/>
      <c r="Q726"/>
      <c r="R726"/>
    </row>
    <row r="727" spans="2:18" x14ac:dyDescent="0.25">
      <c r="B727" s="357" t="s">
        <v>188</v>
      </c>
      <c r="C727" s="307">
        <v>1</v>
      </c>
      <c r="D727" s="307">
        <v>1504</v>
      </c>
      <c r="E727" s="303">
        <v>1</v>
      </c>
      <c r="F727" s="303">
        <v>1</v>
      </c>
      <c r="G727"/>
      <c r="H727"/>
      <c r="I727"/>
      <c r="J727"/>
      <c r="K727"/>
      <c r="L727"/>
      <c r="M727"/>
      <c r="N727"/>
      <c r="O727"/>
      <c r="P727"/>
      <c r="Q727"/>
      <c r="R727"/>
    </row>
    <row r="728" spans="2:18" x14ac:dyDescent="0.25">
      <c r="B728" s="358" t="s">
        <v>478</v>
      </c>
      <c r="C728" s="307">
        <v>1</v>
      </c>
      <c r="D728" s="307">
        <v>1504</v>
      </c>
      <c r="E728" s="303">
        <v>1</v>
      </c>
      <c r="F728" s="303">
        <v>1</v>
      </c>
      <c r="G728"/>
      <c r="H728"/>
      <c r="I728"/>
      <c r="J728"/>
      <c r="K728"/>
      <c r="L728"/>
      <c r="M728"/>
      <c r="N728"/>
      <c r="O728"/>
      <c r="P728"/>
      <c r="Q728"/>
      <c r="R728"/>
    </row>
    <row r="729" spans="2:18" x14ac:dyDescent="0.25">
      <c r="B729" s="26" t="s">
        <v>239</v>
      </c>
      <c r="C729" s="307">
        <v>37</v>
      </c>
      <c r="D729" s="307">
        <v>23397</v>
      </c>
      <c r="E729" s="303">
        <v>0.87149634568534429</v>
      </c>
      <c r="F729" s="303">
        <v>0.96003761165961443</v>
      </c>
      <c r="G729"/>
      <c r="H729"/>
      <c r="I729"/>
      <c r="J729"/>
      <c r="K729"/>
      <c r="L729"/>
      <c r="M729"/>
      <c r="N729"/>
      <c r="O729"/>
      <c r="P729"/>
      <c r="Q729"/>
      <c r="R729"/>
    </row>
    <row r="730" spans="2:18" x14ac:dyDescent="0.25">
      <c r="B730" s="357" t="s">
        <v>107</v>
      </c>
      <c r="C730" s="307">
        <v>1</v>
      </c>
      <c r="D730" s="307">
        <v>873</v>
      </c>
      <c r="E730" s="303">
        <v>1</v>
      </c>
      <c r="F730" s="303">
        <v>1</v>
      </c>
      <c r="G730"/>
      <c r="H730"/>
      <c r="I730"/>
      <c r="J730"/>
      <c r="K730"/>
      <c r="L730"/>
      <c r="M730"/>
      <c r="N730"/>
      <c r="O730"/>
      <c r="P730"/>
      <c r="Q730"/>
      <c r="R730"/>
    </row>
    <row r="731" spans="2:18" x14ac:dyDescent="0.25">
      <c r="B731" s="317" t="s">
        <v>467</v>
      </c>
      <c r="C731" s="307">
        <v>1</v>
      </c>
      <c r="D731" s="307">
        <v>873</v>
      </c>
      <c r="E731" s="303">
        <v>1</v>
      </c>
      <c r="F731" s="303">
        <v>1</v>
      </c>
      <c r="G731"/>
      <c r="H731"/>
      <c r="I731"/>
      <c r="J731"/>
      <c r="K731"/>
      <c r="L731"/>
      <c r="M731"/>
      <c r="N731"/>
      <c r="O731"/>
      <c r="P731"/>
      <c r="Q731"/>
      <c r="R731"/>
    </row>
    <row r="732" spans="2:18" x14ac:dyDescent="0.25">
      <c r="B732" s="357" t="s">
        <v>110</v>
      </c>
      <c r="C732" s="307">
        <v>1</v>
      </c>
      <c r="D732" s="307">
        <v>60</v>
      </c>
      <c r="E732" s="303">
        <v>1</v>
      </c>
      <c r="F732" s="303">
        <v>1</v>
      </c>
      <c r="G732"/>
      <c r="H732"/>
      <c r="I732"/>
      <c r="J732"/>
      <c r="K732"/>
      <c r="L732"/>
      <c r="M732"/>
      <c r="N732"/>
      <c r="O732"/>
      <c r="P732"/>
      <c r="Q732"/>
      <c r="R732"/>
    </row>
    <row r="733" spans="2:18" x14ac:dyDescent="0.25">
      <c r="B733" s="317" t="s">
        <v>467</v>
      </c>
      <c r="C733" s="307">
        <v>1</v>
      </c>
      <c r="D733" s="307">
        <v>60</v>
      </c>
      <c r="E733" s="303">
        <v>1</v>
      </c>
      <c r="F733" s="303">
        <v>1</v>
      </c>
      <c r="G733"/>
      <c r="H733"/>
      <c r="I733"/>
      <c r="J733"/>
      <c r="K733"/>
      <c r="L733"/>
      <c r="M733"/>
      <c r="N733"/>
      <c r="O733"/>
      <c r="P733"/>
      <c r="Q733"/>
      <c r="R733"/>
    </row>
    <row r="734" spans="2:18" x14ac:dyDescent="0.25">
      <c r="B734" s="357" t="s">
        <v>325</v>
      </c>
      <c r="C734" s="307">
        <v>1</v>
      </c>
      <c r="D734" s="307">
        <v>35</v>
      </c>
      <c r="E734" s="303">
        <v>1</v>
      </c>
      <c r="F734" s="303">
        <v>0.5714285714285714</v>
      </c>
      <c r="G734"/>
      <c r="H734"/>
      <c r="I734"/>
      <c r="J734"/>
      <c r="K734"/>
      <c r="L734"/>
      <c r="M734"/>
      <c r="N734"/>
      <c r="O734"/>
      <c r="P734"/>
      <c r="Q734"/>
      <c r="R734"/>
    </row>
    <row r="735" spans="2:18" x14ac:dyDescent="0.25">
      <c r="B735" s="317" t="s">
        <v>467</v>
      </c>
      <c r="C735" s="307">
        <v>1</v>
      </c>
      <c r="D735" s="307">
        <v>35</v>
      </c>
      <c r="E735" s="303">
        <v>1</v>
      </c>
      <c r="F735" s="303">
        <v>0.5714285714285714</v>
      </c>
      <c r="G735"/>
      <c r="H735"/>
      <c r="I735"/>
      <c r="J735"/>
      <c r="K735"/>
      <c r="L735"/>
      <c r="M735"/>
      <c r="N735"/>
      <c r="O735"/>
      <c r="P735"/>
      <c r="Q735"/>
      <c r="R735"/>
    </row>
    <row r="736" spans="2:18" x14ac:dyDescent="0.25">
      <c r="B736" s="357" t="s">
        <v>225</v>
      </c>
      <c r="C736" s="307">
        <v>3</v>
      </c>
      <c r="D736" s="307">
        <v>164</v>
      </c>
      <c r="E736" s="303">
        <v>1</v>
      </c>
      <c r="F736" s="303">
        <v>1</v>
      </c>
      <c r="G736"/>
      <c r="H736"/>
      <c r="I736"/>
      <c r="J736"/>
      <c r="K736"/>
      <c r="L736"/>
      <c r="M736"/>
      <c r="N736"/>
      <c r="O736"/>
      <c r="P736"/>
      <c r="Q736"/>
      <c r="R736"/>
    </row>
    <row r="737" spans="2:18" x14ac:dyDescent="0.25">
      <c r="B737" s="317" t="s">
        <v>467</v>
      </c>
      <c r="C737" s="307">
        <v>3</v>
      </c>
      <c r="D737" s="307">
        <v>164</v>
      </c>
      <c r="E737" s="303">
        <v>1</v>
      </c>
      <c r="F737" s="303">
        <v>1</v>
      </c>
      <c r="G737"/>
      <c r="H737"/>
      <c r="I737"/>
      <c r="J737"/>
      <c r="K737"/>
      <c r="L737"/>
      <c r="M737"/>
      <c r="N737"/>
      <c r="O737"/>
      <c r="P737"/>
      <c r="Q737"/>
      <c r="R737"/>
    </row>
    <row r="738" spans="2:18" x14ac:dyDescent="0.25">
      <c r="B738" s="357" t="s">
        <v>133</v>
      </c>
      <c r="C738" s="307">
        <v>1</v>
      </c>
      <c r="D738" s="307">
        <v>84</v>
      </c>
      <c r="E738" s="303">
        <v>1</v>
      </c>
      <c r="F738" s="303">
        <v>1</v>
      </c>
      <c r="G738"/>
      <c r="H738"/>
      <c r="I738"/>
      <c r="J738"/>
      <c r="K738"/>
      <c r="L738"/>
      <c r="M738"/>
      <c r="N738"/>
      <c r="O738"/>
      <c r="P738"/>
      <c r="Q738"/>
      <c r="R738"/>
    </row>
    <row r="739" spans="2:18" x14ac:dyDescent="0.25">
      <c r="B739" s="317" t="s">
        <v>467</v>
      </c>
      <c r="C739" s="307">
        <v>1</v>
      </c>
      <c r="D739" s="307">
        <v>84</v>
      </c>
      <c r="E739" s="303">
        <v>1</v>
      </c>
      <c r="F739" s="303">
        <v>1</v>
      </c>
      <c r="G739"/>
      <c r="H739"/>
      <c r="I739"/>
      <c r="J739"/>
      <c r="K739"/>
      <c r="L739"/>
      <c r="M739"/>
      <c r="N739"/>
      <c r="O739"/>
      <c r="P739"/>
      <c r="Q739"/>
      <c r="R739"/>
    </row>
    <row r="740" spans="2:18" x14ac:dyDescent="0.25">
      <c r="B740" s="357" t="s">
        <v>188</v>
      </c>
      <c r="C740" s="307">
        <v>1</v>
      </c>
      <c r="D740" s="307">
        <v>6516</v>
      </c>
      <c r="E740" s="303">
        <v>0.5496316758747698</v>
      </c>
      <c r="F740" s="303">
        <v>1</v>
      </c>
      <c r="G740"/>
      <c r="H740"/>
      <c r="I740"/>
      <c r="J740"/>
      <c r="K740"/>
      <c r="L740"/>
      <c r="M740"/>
      <c r="N740"/>
      <c r="O740"/>
      <c r="P740"/>
      <c r="Q740"/>
      <c r="R740"/>
    </row>
    <row r="741" spans="2:18" x14ac:dyDescent="0.25">
      <c r="B741" s="317" t="s">
        <v>467</v>
      </c>
      <c r="C741" s="307">
        <v>1</v>
      </c>
      <c r="D741" s="307">
        <v>6516</v>
      </c>
      <c r="E741" s="303">
        <v>0.5496316758747698</v>
      </c>
      <c r="F741" s="303">
        <v>1</v>
      </c>
      <c r="G741"/>
      <c r="H741"/>
      <c r="I741"/>
      <c r="J741"/>
      <c r="K741"/>
      <c r="L741"/>
      <c r="M741"/>
      <c r="N741"/>
      <c r="O741"/>
      <c r="P741"/>
      <c r="Q741"/>
      <c r="R741"/>
    </row>
    <row r="742" spans="2:18" x14ac:dyDescent="0.25">
      <c r="B742" s="357" t="s">
        <v>135</v>
      </c>
      <c r="C742" s="307">
        <v>15</v>
      </c>
      <c r="D742" s="307">
        <v>4366</v>
      </c>
      <c r="E742" s="303">
        <v>1</v>
      </c>
      <c r="F742" s="303">
        <v>0.86898763169949611</v>
      </c>
      <c r="G742"/>
      <c r="H742"/>
      <c r="I742"/>
      <c r="J742"/>
      <c r="K742"/>
      <c r="L742"/>
      <c r="M742"/>
      <c r="N742"/>
      <c r="O742"/>
      <c r="P742"/>
      <c r="Q742"/>
      <c r="R742"/>
    </row>
    <row r="743" spans="2:18" x14ac:dyDescent="0.25">
      <c r="B743" s="317" t="s">
        <v>467</v>
      </c>
      <c r="C743" s="307">
        <v>15</v>
      </c>
      <c r="D743" s="307">
        <v>4366</v>
      </c>
      <c r="E743" s="303">
        <v>1</v>
      </c>
      <c r="F743" s="303">
        <v>0.86898763169949611</v>
      </c>
      <c r="G743"/>
      <c r="H743"/>
      <c r="I743"/>
      <c r="J743"/>
      <c r="K743"/>
      <c r="L743"/>
      <c r="M743"/>
      <c r="N743"/>
      <c r="O743"/>
      <c r="P743"/>
      <c r="Q743"/>
      <c r="R743"/>
    </row>
    <row r="744" spans="2:18" x14ac:dyDescent="0.25">
      <c r="B744" s="357" t="s">
        <v>224</v>
      </c>
      <c r="C744" s="307">
        <v>3</v>
      </c>
      <c r="D744" s="307">
        <v>221</v>
      </c>
      <c r="E744" s="303">
        <v>0.67420814479638014</v>
      </c>
      <c r="F744" s="303">
        <v>0.78733031674208143</v>
      </c>
      <c r="G744"/>
      <c r="H744"/>
      <c r="I744"/>
      <c r="J744"/>
      <c r="K744"/>
      <c r="L744"/>
      <c r="M744"/>
      <c r="N744"/>
      <c r="O744"/>
      <c r="P744"/>
      <c r="Q744"/>
      <c r="R744"/>
    </row>
    <row r="745" spans="2:18" x14ac:dyDescent="0.25">
      <c r="B745" s="317" t="s">
        <v>467</v>
      </c>
      <c r="C745" s="307">
        <v>2</v>
      </c>
      <c r="D745" s="307">
        <v>169</v>
      </c>
      <c r="E745" s="303">
        <v>0.57396449704142016</v>
      </c>
      <c r="F745" s="303">
        <v>0.72189349112426038</v>
      </c>
      <c r="G745"/>
      <c r="H745"/>
      <c r="I745"/>
      <c r="J745"/>
      <c r="K745"/>
      <c r="L745"/>
      <c r="M745"/>
      <c r="N745"/>
      <c r="O745"/>
      <c r="P745"/>
      <c r="Q745"/>
      <c r="R745"/>
    </row>
    <row r="746" spans="2:18" x14ac:dyDescent="0.25">
      <c r="B746" s="358" t="s">
        <v>478</v>
      </c>
      <c r="C746" s="307">
        <v>1</v>
      </c>
      <c r="D746" s="307">
        <v>52</v>
      </c>
      <c r="E746" s="303">
        <v>1</v>
      </c>
      <c r="F746" s="303">
        <v>1</v>
      </c>
      <c r="G746"/>
      <c r="H746"/>
      <c r="I746"/>
      <c r="J746"/>
      <c r="K746"/>
      <c r="L746"/>
      <c r="M746"/>
      <c r="N746"/>
      <c r="O746"/>
      <c r="P746"/>
      <c r="Q746"/>
      <c r="R746"/>
    </row>
    <row r="747" spans="2:18" x14ac:dyDescent="0.25">
      <c r="B747" s="357" t="s">
        <v>158</v>
      </c>
      <c r="C747" s="307">
        <v>11</v>
      </c>
      <c r="D747" s="307">
        <v>11078</v>
      </c>
      <c r="E747" s="303">
        <v>1</v>
      </c>
      <c r="F747" s="303">
        <v>0.97282903051092251</v>
      </c>
      <c r="G747"/>
      <c r="H747"/>
      <c r="I747"/>
      <c r="J747"/>
      <c r="K747"/>
      <c r="L747"/>
      <c r="M747"/>
      <c r="N747"/>
      <c r="O747"/>
      <c r="P747"/>
      <c r="Q747"/>
      <c r="R747"/>
    </row>
    <row r="748" spans="2:18" x14ac:dyDescent="0.25">
      <c r="B748" s="317" t="s">
        <v>467</v>
      </c>
      <c r="C748" s="307">
        <v>11</v>
      </c>
      <c r="D748" s="307">
        <v>11078</v>
      </c>
      <c r="E748" s="303">
        <v>1</v>
      </c>
      <c r="F748" s="303">
        <v>0.97282903051092251</v>
      </c>
      <c r="G748"/>
      <c r="H748"/>
      <c r="I748"/>
      <c r="J748"/>
      <c r="K748"/>
      <c r="L748"/>
      <c r="M748"/>
      <c r="N748"/>
      <c r="O748"/>
      <c r="P748"/>
      <c r="Q748"/>
      <c r="R748"/>
    </row>
    <row r="749" spans="2:18" x14ac:dyDescent="0.25">
      <c r="B749" s="26" t="s">
        <v>235</v>
      </c>
      <c r="C749" s="307">
        <v>18</v>
      </c>
      <c r="D749" s="307">
        <v>6568</v>
      </c>
      <c r="E749" s="303">
        <v>0.93209500609013396</v>
      </c>
      <c r="F749" s="303">
        <v>0.84759439707673567</v>
      </c>
      <c r="G749"/>
      <c r="H749"/>
      <c r="I749"/>
      <c r="J749"/>
      <c r="K749"/>
      <c r="L749"/>
      <c r="M749"/>
      <c r="N749"/>
      <c r="O749"/>
      <c r="P749"/>
      <c r="Q749"/>
      <c r="R749"/>
    </row>
    <row r="750" spans="2:18" x14ac:dyDescent="0.25">
      <c r="B750" s="357" t="s">
        <v>107</v>
      </c>
      <c r="C750" s="307">
        <v>3</v>
      </c>
      <c r="D750" s="307">
        <v>533</v>
      </c>
      <c r="E750" s="303">
        <v>1</v>
      </c>
      <c r="F750" s="303">
        <v>0.83489681050656661</v>
      </c>
      <c r="G750"/>
      <c r="H750"/>
      <c r="I750"/>
      <c r="J750"/>
      <c r="K750"/>
      <c r="L750"/>
      <c r="M750"/>
      <c r="N750"/>
      <c r="O750"/>
      <c r="P750"/>
      <c r="Q750"/>
      <c r="R750"/>
    </row>
    <row r="751" spans="2:18" x14ac:dyDescent="0.25">
      <c r="B751" s="317" t="s">
        <v>467</v>
      </c>
      <c r="C751" s="307">
        <v>2</v>
      </c>
      <c r="D751" s="307">
        <v>488</v>
      </c>
      <c r="E751" s="303">
        <v>1</v>
      </c>
      <c r="F751" s="303">
        <v>0.81967213114754101</v>
      </c>
      <c r="G751"/>
      <c r="H751"/>
      <c r="I751"/>
      <c r="J751"/>
      <c r="K751"/>
      <c r="L751"/>
      <c r="M751"/>
      <c r="N751"/>
      <c r="O751"/>
      <c r="P751"/>
      <c r="Q751"/>
      <c r="R751"/>
    </row>
    <row r="752" spans="2:18" x14ac:dyDescent="0.25">
      <c r="B752" s="317" t="s">
        <v>468</v>
      </c>
      <c r="C752" s="307">
        <v>1</v>
      </c>
      <c r="D752" s="307">
        <v>45</v>
      </c>
      <c r="E752" s="303">
        <v>1</v>
      </c>
      <c r="F752" s="303">
        <v>1</v>
      </c>
      <c r="G752"/>
      <c r="H752"/>
      <c r="I752"/>
      <c r="J752"/>
      <c r="K752"/>
      <c r="L752"/>
      <c r="M752"/>
      <c r="N752"/>
      <c r="O752"/>
      <c r="P752"/>
      <c r="Q752"/>
      <c r="R752"/>
    </row>
    <row r="753" spans="2:18" x14ac:dyDescent="0.25">
      <c r="B753" s="357" t="s">
        <v>110</v>
      </c>
      <c r="C753" s="307">
        <v>2</v>
      </c>
      <c r="D753" s="307">
        <v>697</v>
      </c>
      <c r="E753" s="303">
        <v>1</v>
      </c>
      <c r="F753" s="303">
        <v>0.83213773314203732</v>
      </c>
      <c r="G753"/>
      <c r="H753"/>
      <c r="I753"/>
      <c r="J753"/>
      <c r="K753"/>
      <c r="L753"/>
      <c r="M753"/>
      <c r="N753"/>
      <c r="O753"/>
      <c r="P753"/>
      <c r="Q753"/>
      <c r="R753"/>
    </row>
    <row r="754" spans="2:18" x14ac:dyDescent="0.25">
      <c r="B754" s="317" t="s">
        <v>467</v>
      </c>
      <c r="C754" s="307">
        <v>2</v>
      </c>
      <c r="D754" s="307">
        <v>697</v>
      </c>
      <c r="E754" s="303">
        <v>1</v>
      </c>
      <c r="F754" s="303">
        <v>0.83213773314203732</v>
      </c>
      <c r="G754"/>
      <c r="H754"/>
      <c r="I754"/>
      <c r="J754"/>
      <c r="K754"/>
      <c r="L754"/>
      <c r="M754"/>
      <c r="N754"/>
      <c r="O754"/>
      <c r="P754"/>
      <c r="Q754"/>
      <c r="R754"/>
    </row>
    <row r="755" spans="2:18" x14ac:dyDescent="0.25">
      <c r="B755" s="357" t="s">
        <v>205</v>
      </c>
      <c r="C755" s="307">
        <v>2</v>
      </c>
      <c r="D755" s="307">
        <v>500</v>
      </c>
      <c r="E755" s="303">
        <v>1</v>
      </c>
      <c r="F755" s="303">
        <v>1</v>
      </c>
      <c r="G755"/>
      <c r="H755"/>
      <c r="I755"/>
      <c r="J755"/>
      <c r="K755"/>
      <c r="L755"/>
      <c r="M755"/>
      <c r="N755"/>
      <c r="O755"/>
      <c r="P755"/>
      <c r="Q755"/>
      <c r="R755"/>
    </row>
    <row r="756" spans="2:18" x14ac:dyDescent="0.25">
      <c r="B756" s="317" t="s">
        <v>467</v>
      </c>
      <c r="C756" s="307">
        <v>2</v>
      </c>
      <c r="D756" s="307">
        <v>500</v>
      </c>
      <c r="E756" s="303">
        <v>1</v>
      </c>
      <c r="F756" s="303">
        <v>1</v>
      </c>
      <c r="G756"/>
      <c r="H756"/>
      <c r="I756"/>
      <c r="J756"/>
      <c r="K756"/>
      <c r="L756"/>
      <c r="M756"/>
      <c r="N756"/>
      <c r="O756"/>
      <c r="P756"/>
      <c r="Q756"/>
      <c r="R756"/>
    </row>
    <row r="757" spans="2:18" x14ac:dyDescent="0.25">
      <c r="B757" s="357" t="s">
        <v>187</v>
      </c>
      <c r="C757" s="307">
        <v>2</v>
      </c>
      <c r="D757" s="307">
        <v>628</v>
      </c>
      <c r="E757" s="303">
        <v>0.28980891719745222</v>
      </c>
      <c r="F757" s="303">
        <v>0.28980891719745222</v>
      </c>
      <c r="G757"/>
      <c r="H757"/>
      <c r="I757"/>
      <c r="J757"/>
      <c r="K757"/>
      <c r="L757"/>
      <c r="M757"/>
      <c r="N757"/>
      <c r="O757"/>
      <c r="P757"/>
      <c r="Q757"/>
      <c r="R757"/>
    </row>
    <row r="758" spans="2:18" x14ac:dyDescent="0.25">
      <c r="B758" s="317" t="s">
        <v>467</v>
      </c>
      <c r="C758" s="307">
        <v>1</v>
      </c>
      <c r="D758" s="307">
        <v>182</v>
      </c>
      <c r="E758" s="303">
        <v>1</v>
      </c>
      <c r="F758" s="303">
        <v>1</v>
      </c>
      <c r="G758"/>
      <c r="H758"/>
      <c r="I758"/>
      <c r="J758"/>
      <c r="K758"/>
      <c r="L758"/>
      <c r="M758"/>
      <c r="N758"/>
      <c r="O758"/>
      <c r="P758"/>
      <c r="Q758"/>
      <c r="R758"/>
    </row>
    <row r="759" spans="2:18" x14ac:dyDescent="0.25">
      <c r="B759" s="358" t="s">
        <v>478</v>
      </c>
      <c r="C759" s="307">
        <v>1</v>
      </c>
      <c r="D759" s="307">
        <v>446</v>
      </c>
      <c r="E759" s="303">
        <v>0</v>
      </c>
      <c r="F759" s="303">
        <v>0</v>
      </c>
      <c r="G759"/>
      <c r="H759"/>
      <c r="I759"/>
      <c r="J759"/>
      <c r="K759"/>
      <c r="L759"/>
      <c r="M759"/>
      <c r="N759"/>
      <c r="O759"/>
      <c r="P759"/>
      <c r="Q759"/>
      <c r="R759"/>
    </row>
    <row r="760" spans="2:18" x14ac:dyDescent="0.25">
      <c r="B760" s="357" t="s">
        <v>133</v>
      </c>
      <c r="C760" s="307">
        <v>1</v>
      </c>
      <c r="D760" s="307">
        <v>51</v>
      </c>
      <c r="E760" s="303">
        <v>1</v>
      </c>
      <c r="F760" s="303">
        <v>1</v>
      </c>
      <c r="G760"/>
      <c r="H760"/>
      <c r="I760"/>
      <c r="J760"/>
      <c r="K760"/>
      <c r="L760"/>
      <c r="M760"/>
      <c r="N760"/>
      <c r="O760"/>
      <c r="P760"/>
      <c r="Q760"/>
      <c r="R760"/>
    </row>
    <row r="761" spans="2:18" x14ac:dyDescent="0.25">
      <c r="B761" s="317" t="s">
        <v>467</v>
      </c>
      <c r="C761" s="307">
        <v>1</v>
      </c>
      <c r="D761" s="307">
        <v>51</v>
      </c>
      <c r="E761" s="303">
        <v>1</v>
      </c>
      <c r="F761" s="303">
        <v>1</v>
      </c>
      <c r="G761"/>
      <c r="H761"/>
      <c r="I761"/>
      <c r="J761"/>
      <c r="K761"/>
      <c r="L761"/>
      <c r="M761"/>
      <c r="N761"/>
      <c r="O761"/>
      <c r="P761"/>
      <c r="Q761"/>
      <c r="R761"/>
    </row>
    <row r="762" spans="2:18" x14ac:dyDescent="0.25">
      <c r="B762" s="357" t="s">
        <v>188</v>
      </c>
      <c r="C762" s="307">
        <v>1</v>
      </c>
      <c r="D762" s="307">
        <v>620</v>
      </c>
      <c r="E762" s="303">
        <v>1</v>
      </c>
      <c r="F762" s="303">
        <v>1</v>
      </c>
      <c r="G762"/>
      <c r="H762"/>
      <c r="I762"/>
      <c r="J762"/>
      <c r="K762"/>
      <c r="L762"/>
      <c r="M762"/>
      <c r="N762"/>
      <c r="O762"/>
      <c r="P762"/>
      <c r="Q762"/>
      <c r="R762"/>
    </row>
    <row r="763" spans="2:18" x14ac:dyDescent="0.25">
      <c r="B763" s="317" t="s">
        <v>467</v>
      </c>
      <c r="C763" s="307">
        <v>1</v>
      </c>
      <c r="D763" s="307">
        <v>620</v>
      </c>
      <c r="E763" s="303">
        <v>1</v>
      </c>
      <c r="F763" s="303">
        <v>1</v>
      </c>
      <c r="G763"/>
      <c r="H763"/>
      <c r="I763"/>
      <c r="J763"/>
      <c r="K763"/>
      <c r="L763"/>
      <c r="M763"/>
      <c r="N763"/>
      <c r="O763"/>
      <c r="P763"/>
      <c r="Q763"/>
      <c r="R763"/>
    </row>
    <row r="764" spans="2:18" x14ac:dyDescent="0.25">
      <c r="B764" s="357" t="s">
        <v>135</v>
      </c>
      <c r="C764" s="307">
        <v>4</v>
      </c>
      <c r="D764" s="307">
        <v>1020</v>
      </c>
      <c r="E764" s="303">
        <v>1</v>
      </c>
      <c r="F764" s="303">
        <v>0.92549019607843142</v>
      </c>
      <c r="G764"/>
      <c r="H764"/>
      <c r="I764"/>
      <c r="J764"/>
      <c r="K764"/>
      <c r="L764"/>
      <c r="M764"/>
      <c r="N764"/>
      <c r="O764"/>
      <c r="P764"/>
      <c r="Q764"/>
      <c r="R764"/>
    </row>
    <row r="765" spans="2:18" x14ac:dyDescent="0.25">
      <c r="B765" s="317" t="s">
        <v>467</v>
      </c>
      <c r="C765" s="307">
        <v>4</v>
      </c>
      <c r="D765" s="307">
        <v>1020</v>
      </c>
      <c r="E765" s="303">
        <v>1</v>
      </c>
      <c r="F765" s="303">
        <v>0.92549019607843142</v>
      </c>
      <c r="G765"/>
      <c r="H765"/>
      <c r="I765"/>
      <c r="J765"/>
      <c r="K765"/>
      <c r="L765"/>
      <c r="M765"/>
      <c r="N765"/>
      <c r="O765"/>
      <c r="P765"/>
      <c r="Q765"/>
      <c r="R765"/>
    </row>
    <row r="766" spans="2:18" x14ac:dyDescent="0.25">
      <c r="B766" s="357" t="s">
        <v>158</v>
      </c>
      <c r="C766" s="307">
        <v>3</v>
      </c>
      <c r="D766" s="307">
        <v>2519</v>
      </c>
      <c r="E766" s="303">
        <v>1</v>
      </c>
      <c r="F766" s="303">
        <v>0.89122667725287807</v>
      </c>
      <c r="G766"/>
      <c r="H766"/>
      <c r="I766"/>
      <c r="J766"/>
      <c r="K766"/>
      <c r="L766"/>
      <c r="M766"/>
      <c r="N766"/>
      <c r="O766"/>
      <c r="P766"/>
      <c r="Q766"/>
      <c r="R766"/>
    </row>
    <row r="767" spans="2:18" x14ac:dyDescent="0.25">
      <c r="B767" s="317" t="s">
        <v>467</v>
      </c>
      <c r="C767" s="307">
        <v>3</v>
      </c>
      <c r="D767" s="307">
        <v>2519</v>
      </c>
      <c r="E767" s="303">
        <v>1</v>
      </c>
      <c r="F767" s="303">
        <v>0.89122667725287807</v>
      </c>
      <c r="G767"/>
      <c r="H767"/>
      <c r="I767"/>
      <c r="J767"/>
      <c r="K767"/>
      <c r="L767"/>
      <c r="M767"/>
      <c r="N767"/>
      <c r="O767"/>
      <c r="P767"/>
      <c r="Q767"/>
      <c r="R767"/>
    </row>
    <row r="768" spans="2:18" x14ac:dyDescent="0.25">
      <c r="B768" s="26" t="s">
        <v>237</v>
      </c>
      <c r="C768" s="307">
        <v>36</v>
      </c>
      <c r="D768" s="307">
        <v>18282</v>
      </c>
      <c r="E768" s="303">
        <v>0.98523137512307191</v>
      </c>
      <c r="F768" s="303">
        <v>0.92506290340225361</v>
      </c>
      <c r="G768"/>
      <c r="H768"/>
      <c r="I768"/>
      <c r="J768"/>
      <c r="K768"/>
      <c r="L768"/>
      <c r="M768"/>
      <c r="N768"/>
      <c r="O768"/>
      <c r="P768"/>
      <c r="Q768"/>
      <c r="R768"/>
    </row>
    <row r="769" spans="2:18" x14ac:dyDescent="0.25">
      <c r="B769" s="357" t="s">
        <v>180</v>
      </c>
      <c r="C769" s="307">
        <v>6</v>
      </c>
      <c r="D769" s="307">
        <v>1106</v>
      </c>
      <c r="E769" s="303">
        <v>1</v>
      </c>
      <c r="F769" s="303">
        <v>0.87070524412296568</v>
      </c>
      <c r="G769"/>
      <c r="H769"/>
      <c r="I769"/>
      <c r="J769"/>
      <c r="K769"/>
      <c r="L769"/>
      <c r="M769"/>
      <c r="N769"/>
      <c r="O769"/>
      <c r="P769"/>
      <c r="Q769"/>
      <c r="R769"/>
    </row>
    <row r="770" spans="2:18" x14ac:dyDescent="0.25">
      <c r="B770" s="317" t="s">
        <v>467</v>
      </c>
      <c r="C770" s="307">
        <v>6</v>
      </c>
      <c r="D770" s="307">
        <v>1106</v>
      </c>
      <c r="E770" s="303">
        <v>1</v>
      </c>
      <c r="F770" s="303">
        <v>0.87070524412296568</v>
      </c>
      <c r="G770"/>
      <c r="H770"/>
      <c r="I770"/>
      <c r="J770"/>
      <c r="K770"/>
      <c r="L770"/>
      <c r="M770"/>
      <c r="N770"/>
      <c r="O770"/>
      <c r="P770"/>
      <c r="Q770"/>
      <c r="R770"/>
    </row>
    <row r="771" spans="2:18" x14ac:dyDescent="0.25">
      <c r="B771" s="357" t="s">
        <v>205</v>
      </c>
      <c r="C771" s="307">
        <v>6</v>
      </c>
      <c r="D771" s="307">
        <v>2330</v>
      </c>
      <c r="E771" s="303">
        <v>1</v>
      </c>
      <c r="F771" s="303">
        <v>0.92446351931330473</v>
      </c>
      <c r="G771"/>
      <c r="H771"/>
      <c r="I771"/>
      <c r="J771"/>
      <c r="K771"/>
      <c r="L771"/>
      <c r="M771"/>
      <c r="N771"/>
      <c r="O771"/>
      <c r="P771"/>
      <c r="Q771"/>
      <c r="R771"/>
    </row>
    <row r="772" spans="2:18" x14ac:dyDescent="0.25">
      <c r="B772" s="317" t="s">
        <v>467</v>
      </c>
      <c r="C772" s="307">
        <v>6</v>
      </c>
      <c r="D772" s="307">
        <v>2330</v>
      </c>
      <c r="E772" s="303">
        <v>1</v>
      </c>
      <c r="F772" s="303">
        <v>0.92446351931330473</v>
      </c>
      <c r="G772"/>
      <c r="H772"/>
      <c r="I772"/>
      <c r="J772"/>
      <c r="K772"/>
      <c r="L772"/>
      <c r="M772"/>
      <c r="N772"/>
      <c r="O772"/>
      <c r="P772"/>
      <c r="Q772"/>
      <c r="R772"/>
    </row>
    <row r="773" spans="2:18" x14ac:dyDescent="0.25">
      <c r="B773" s="357" t="s">
        <v>186</v>
      </c>
      <c r="C773" s="307">
        <v>2</v>
      </c>
      <c r="D773" s="307">
        <v>1207</v>
      </c>
      <c r="E773" s="303">
        <v>1</v>
      </c>
      <c r="F773" s="303">
        <v>0.92460646230323118</v>
      </c>
      <c r="G773"/>
      <c r="H773"/>
      <c r="I773"/>
      <c r="J773"/>
      <c r="K773"/>
      <c r="L773"/>
      <c r="M773"/>
      <c r="N773"/>
      <c r="O773"/>
      <c r="P773"/>
      <c r="Q773"/>
      <c r="R773"/>
    </row>
    <row r="774" spans="2:18" x14ac:dyDescent="0.25">
      <c r="B774" s="317" t="s">
        <v>467</v>
      </c>
      <c r="C774" s="307">
        <v>2</v>
      </c>
      <c r="D774" s="307">
        <v>1207</v>
      </c>
      <c r="E774" s="303">
        <v>1</v>
      </c>
      <c r="F774" s="303">
        <v>0.92460646230323118</v>
      </c>
      <c r="G774"/>
      <c r="H774"/>
      <c r="I774"/>
      <c r="J774"/>
      <c r="K774"/>
      <c r="L774"/>
      <c r="M774"/>
      <c r="N774"/>
      <c r="O774"/>
      <c r="P774"/>
      <c r="Q774"/>
      <c r="R774"/>
    </row>
    <row r="775" spans="2:18" x14ac:dyDescent="0.25">
      <c r="B775" s="357" t="s">
        <v>187</v>
      </c>
      <c r="C775" s="307">
        <v>1</v>
      </c>
      <c r="D775" s="307">
        <v>164</v>
      </c>
      <c r="E775" s="303">
        <v>1</v>
      </c>
      <c r="F775" s="303">
        <v>1</v>
      </c>
      <c r="G775"/>
      <c r="H775"/>
      <c r="I775"/>
      <c r="J775"/>
      <c r="K775"/>
      <c r="L775"/>
      <c r="M775"/>
      <c r="N775"/>
      <c r="O775"/>
      <c r="P775"/>
      <c r="Q775"/>
      <c r="R775"/>
    </row>
    <row r="776" spans="2:18" x14ac:dyDescent="0.25">
      <c r="B776" s="317" t="s">
        <v>467</v>
      </c>
      <c r="C776" s="307">
        <v>1</v>
      </c>
      <c r="D776" s="307">
        <v>164</v>
      </c>
      <c r="E776" s="303">
        <v>1</v>
      </c>
      <c r="F776" s="303">
        <v>1</v>
      </c>
      <c r="G776"/>
      <c r="H776"/>
      <c r="I776"/>
      <c r="J776"/>
      <c r="K776"/>
      <c r="L776"/>
      <c r="M776"/>
      <c r="N776"/>
      <c r="O776"/>
      <c r="P776"/>
      <c r="Q776"/>
      <c r="R776"/>
    </row>
    <row r="777" spans="2:18" x14ac:dyDescent="0.25">
      <c r="B777" s="357" t="s">
        <v>188</v>
      </c>
      <c r="C777" s="307">
        <v>7</v>
      </c>
      <c r="D777" s="307">
        <v>4972</v>
      </c>
      <c r="E777" s="303">
        <v>1</v>
      </c>
      <c r="F777" s="303">
        <v>0.91954947707160095</v>
      </c>
      <c r="G777"/>
      <c r="H777"/>
      <c r="I777"/>
      <c r="J777"/>
      <c r="K777"/>
      <c r="L777"/>
      <c r="M777"/>
      <c r="N777"/>
      <c r="O777"/>
      <c r="P777"/>
      <c r="Q777"/>
      <c r="R777"/>
    </row>
    <row r="778" spans="2:18" x14ac:dyDescent="0.25">
      <c r="B778" s="317" t="s">
        <v>467</v>
      </c>
      <c r="C778" s="307">
        <v>7</v>
      </c>
      <c r="D778" s="307">
        <v>4972</v>
      </c>
      <c r="E778" s="303">
        <v>1</v>
      </c>
      <c r="F778" s="303">
        <v>0.91954947707160095</v>
      </c>
      <c r="G778"/>
      <c r="H778"/>
      <c r="I778"/>
      <c r="J778"/>
      <c r="K778"/>
      <c r="L778"/>
      <c r="M778"/>
      <c r="N778"/>
      <c r="O778"/>
      <c r="P778"/>
      <c r="Q778"/>
      <c r="R778"/>
    </row>
    <row r="779" spans="2:18" x14ac:dyDescent="0.25">
      <c r="B779" s="357" t="s">
        <v>214</v>
      </c>
      <c r="C779" s="307">
        <v>2</v>
      </c>
      <c r="D779" s="307">
        <v>379</v>
      </c>
      <c r="E779" s="303">
        <v>0.87335092348284959</v>
      </c>
      <c r="F779" s="303">
        <v>1</v>
      </c>
      <c r="G779"/>
      <c r="H779"/>
      <c r="I779"/>
      <c r="J779"/>
      <c r="K779"/>
      <c r="L779"/>
      <c r="M779"/>
      <c r="N779"/>
      <c r="O779"/>
      <c r="P779"/>
      <c r="Q779"/>
      <c r="R779"/>
    </row>
    <row r="780" spans="2:18" x14ac:dyDescent="0.25">
      <c r="B780" s="317" t="s">
        <v>467</v>
      </c>
      <c r="C780" s="307">
        <v>2</v>
      </c>
      <c r="D780" s="307">
        <v>379</v>
      </c>
      <c r="E780" s="303">
        <v>0.87335092348284959</v>
      </c>
      <c r="F780" s="303">
        <v>1</v>
      </c>
    </row>
    <row r="781" spans="2:18" x14ac:dyDescent="0.25">
      <c r="B781" s="357" t="s">
        <v>486</v>
      </c>
      <c r="C781" s="307">
        <v>2</v>
      </c>
      <c r="D781" s="307">
        <v>798</v>
      </c>
      <c r="E781" s="303">
        <v>1</v>
      </c>
      <c r="F781" s="303">
        <v>0.97744360902255634</v>
      </c>
    </row>
    <row r="782" spans="2:18" x14ac:dyDescent="0.25">
      <c r="B782" s="317" t="s">
        <v>467</v>
      </c>
      <c r="C782" s="307">
        <v>2</v>
      </c>
      <c r="D782" s="307">
        <v>798</v>
      </c>
      <c r="E782" s="303">
        <v>1</v>
      </c>
      <c r="F782" s="303">
        <v>0.97744360902255634</v>
      </c>
    </row>
    <row r="783" spans="2:18" x14ac:dyDescent="0.25">
      <c r="B783" s="357" t="s">
        <v>232</v>
      </c>
      <c r="C783" s="307">
        <v>1</v>
      </c>
      <c r="D783" s="307">
        <v>47</v>
      </c>
      <c r="E783" s="303">
        <v>1</v>
      </c>
      <c r="F783" s="303">
        <v>1</v>
      </c>
    </row>
    <row r="784" spans="2:18" x14ac:dyDescent="0.25">
      <c r="B784" s="317" t="s">
        <v>467</v>
      </c>
      <c r="C784" s="307">
        <v>1</v>
      </c>
      <c r="D784" s="307">
        <v>47</v>
      </c>
      <c r="E784" s="303">
        <v>1</v>
      </c>
      <c r="F784" s="303">
        <v>1</v>
      </c>
    </row>
    <row r="785" spans="2:6" x14ac:dyDescent="0.25">
      <c r="B785" s="357" t="s">
        <v>223</v>
      </c>
      <c r="C785" s="307">
        <v>2</v>
      </c>
      <c r="D785" s="307">
        <v>453</v>
      </c>
      <c r="E785" s="303">
        <v>1</v>
      </c>
      <c r="F785" s="303">
        <v>1</v>
      </c>
    </row>
    <row r="786" spans="2:6" x14ac:dyDescent="0.25">
      <c r="B786" s="317" t="s">
        <v>467</v>
      </c>
      <c r="C786" s="307">
        <v>2</v>
      </c>
      <c r="D786" s="307">
        <v>453</v>
      </c>
      <c r="E786" s="303">
        <v>1</v>
      </c>
      <c r="F786" s="303">
        <v>1</v>
      </c>
    </row>
    <row r="787" spans="2:6" x14ac:dyDescent="0.25">
      <c r="B787" s="357" t="s">
        <v>158</v>
      </c>
      <c r="C787" s="307">
        <v>5</v>
      </c>
      <c r="D787" s="307">
        <v>6212</v>
      </c>
      <c r="E787" s="303">
        <v>1</v>
      </c>
      <c r="F787" s="303">
        <v>0.98583386992916933</v>
      </c>
    </row>
    <row r="788" spans="2:6" x14ac:dyDescent="0.25">
      <c r="B788" s="317" t="s">
        <v>467</v>
      </c>
      <c r="C788" s="307">
        <v>2</v>
      </c>
      <c r="D788" s="307">
        <v>1752</v>
      </c>
      <c r="E788" s="303">
        <v>1</v>
      </c>
      <c r="F788" s="303">
        <v>1</v>
      </c>
    </row>
    <row r="789" spans="2:6" x14ac:dyDescent="0.25">
      <c r="B789" s="317" t="s">
        <v>468</v>
      </c>
      <c r="C789" s="307">
        <v>2</v>
      </c>
      <c r="D789" s="307">
        <v>919</v>
      </c>
      <c r="E789" s="303">
        <v>1</v>
      </c>
      <c r="F789" s="303">
        <v>0.90424374319912948</v>
      </c>
    </row>
    <row r="790" spans="2:6" x14ac:dyDescent="0.25">
      <c r="B790" s="358" t="s">
        <v>478</v>
      </c>
      <c r="C790" s="307">
        <v>1</v>
      </c>
      <c r="D790" s="307">
        <v>3541</v>
      </c>
      <c r="E790" s="303">
        <v>1</v>
      </c>
      <c r="F790" s="303">
        <v>1</v>
      </c>
    </row>
    <row r="791" spans="2:6" x14ac:dyDescent="0.25">
      <c r="B791" s="357" t="s">
        <v>808</v>
      </c>
      <c r="C791" s="307">
        <v>2</v>
      </c>
      <c r="D791" s="307">
        <v>614</v>
      </c>
      <c r="E791" s="303">
        <v>0.6384364820846905</v>
      </c>
      <c r="F791" s="303">
        <v>0.26058631921824105</v>
      </c>
    </row>
    <row r="792" spans="2:6" x14ac:dyDescent="0.25">
      <c r="B792" s="317" t="s">
        <v>467</v>
      </c>
      <c r="C792" s="307">
        <v>2</v>
      </c>
      <c r="D792" s="307">
        <v>614</v>
      </c>
      <c r="E792" s="303">
        <v>0.6384364820846905</v>
      </c>
      <c r="F792" s="303">
        <v>0.26058631921824105</v>
      </c>
    </row>
    <row r="793" spans="2:6" x14ac:dyDescent="0.25">
      <c r="B793" s="26" t="s">
        <v>308</v>
      </c>
      <c r="C793" s="307">
        <v>10</v>
      </c>
      <c r="D793" s="307">
        <v>1106</v>
      </c>
      <c r="E793" s="303">
        <v>0.2603978300180832</v>
      </c>
      <c r="F793" s="303">
        <v>0.16636528028933092</v>
      </c>
    </row>
    <row r="794" spans="2:6" x14ac:dyDescent="0.25">
      <c r="B794" s="357" t="s">
        <v>110</v>
      </c>
      <c r="C794" s="307">
        <v>1</v>
      </c>
      <c r="D794" s="307">
        <v>224</v>
      </c>
      <c r="E794" s="303">
        <v>1</v>
      </c>
      <c r="F794" s="303">
        <v>0.5357142857142857</v>
      </c>
    </row>
    <row r="795" spans="2:6" x14ac:dyDescent="0.25">
      <c r="B795" s="317" t="s">
        <v>467</v>
      </c>
      <c r="C795" s="307">
        <v>1</v>
      </c>
      <c r="D795" s="307">
        <v>224</v>
      </c>
      <c r="E795" s="303">
        <v>1</v>
      </c>
      <c r="F795" s="303">
        <v>0.5357142857142857</v>
      </c>
    </row>
    <row r="796" spans="2:6" x14ac:dyDescent="0.25">
      <c r="B796" s="357" t="s">
        <v>128</v>
      </c>
      <c r="C796" s="307">
        <v>1</v>
      </c>
      <c r="D796" s="307">
        <v>17</v>
      </c>
      <c r="E796" s="303">
        <v>0</v>
      </c>
      <c r="F796" s="303">
        <v>0</v>
      </c>
    </row>
    <row r="797" spans="2:6" x14ac:dyDescent="0.25">
      <c r="B797" s="317" t="s">
        <v>467</v>
      </c>
      <c r="C797" s="307">
        <v>1</v>
      </c>
      <c r="D797" s="307">
        <v>17</v>
      </c>
      <c r="E797" s="303">
        <v>0</v>
      </c>
      <c r="F797" s="303">
        <v>0</v>
      </c>
    </row>
    <row r="798" spans="2:6" x14ac:dyDescent="0.25">
      <c r="B798" s="357" t="s">
        <v>186</v>
      </c>
      <c r="C798" s="307">
        <v>1</v>
      </c>
      <c r="D798" s="307">
        <v>499</v>
      </c>
      <c r="E798" s="303">
        <v>0</v>
      </c>
      <c r="F798" s="303">
        <v>0</v>
      </c>
    </row>
    <row r="799" spans="2:6" x14ac:dyDescent="0.25">
      <c r="B799" s="358" t="s">
        <v>478</v>
      </c>
      <c r="C799" s="307">
        <v>1</v>
      </c>
      <c r="D799" s="307">
        <v>499</v>
      </c>
      <c r="E799" s="303">
        <v>0</v>
      </c>
      <c r="F799" s="303">
        <v>0</v>
      </c>
    </row>
    <row r="800" spans="2:6" x14ac:dyDescent="0.25">
      <c r="B800" s="357" t="s">
        <v>188</v>
      </c>
      <c r="C800" s="307">
        <v>5</v>
      </c>
      <c r="D800" s="307">
        <v>262</v>
      </c>
      <c r="E800" s="303">
        <v>0</v>
      </c>
      <c r="F800" s="303">
        <v>0</v>
      </c>
    </row>
    <row r="801" spans="2:6" x14ac:dyDescent="0.25">
      <c r="B801" s="358" t="s">
        <v>478</v>
      </c>
      <c r="C801" s="307">
        <v>5</v>
      </c>
      <c r="D801" s="307">
        <v>262</v>
      </c>
      <c r="E801" s="303">
        <v>0</v>
      </c>
      <c r="F801" s="303">
        <v>0</v>
      </c>
    </row>
    <row r="802" spans="2:6" x14ac:dyDescent="0.25">
      <c r="B802" s="357" t="s">
        <v>224</v>
      </c>
      <c r="C802" s="307">
        <v>1</v>
      </c>
      <c r="D802" s="307">
        <v>64</v>
      </c>
      <c r="E802" s="303">
        <v>1</v>
      </c>
      <c r="F802" s="303">
        <v>1</v>
      </c>
    </row>
    <row r="803" spans="2:6" x14ac:dyDescent="0.25">
      <c r="B803" s="358" t="s">
        <v>478</v>
      </c>
      <c r="C803" s="307">
        <v>1</v>
      </c>
      <c r="D803" s="307">
        <v>64</v>
      </c>
      <c r="E803" s="303">
        <v>1</v>
      </c>
      <c r="F803" s="303">
        <v>1</v>
      </c>
    </row>
    <row r="804" spans="2:6" x14ac:dyDescent="0.25">
      <c r="B804" s="357" t="s">
        <v>223</v>
      </c>
      <c r="C804" s="307">
        <v>1</v>
      </c>
      <c r="D804" s="307">
        <v>40</v>
      </c>
      <c r="E804" s="303">
        <v>0</v>
      </c>
      <c r="F804" s="303">
        <v>0</v>
      </c>
    </row>
    <row r="805" spans="2:6" x14ac:dyDescent="0.25">
      <c r="B805" s="358" t="s">
        <v>478</v>
      </c>
      <c r="C805" s="307">
        <v>1</v>
      </c>
      <c r="D805" s="307">
        <v>40</v>
      </c>
      <c r="E805" s="303">
        <v>0</v>
      </c>
      <c r="F805" s="303">
        <v>0</v>
      </c>
    </row>
    <row r="806" spans="2:6" x14ac:dyDescent="0.25">
      <c r="B806" s="26" t="s">
        <v>424</v>
      </c>
      <c r="C806" s="307">
        <v>7</v>
      </c>
      <c r="D806" s="307">
        <v>4645</v>
      </c>
      <c r="E806" s="303">
        <v>0.98227484750627925</v>
      </c>
      <c r="F806" s="303">
        <v>0.86824542518837455</v>
      </c>
    </row>
    <row r="807" spans="2:6" x14ac:dyDescent="0.25">
      <c r="B807" s="357" t="s">
        <v>186</v>
      </c>
      <c r="C807" s="307">
        <v>3</v>
      </c>
      <c r="D807" s="307">
        <v>3603</v>
      </c>
      <c r="E807" s="303">
        <v>0.97714867240262748</v>
      </c>
      <c r="F807" s="303">
        <v>0.88093255620316402</v>
      </c>
    </row>
    <row r="808" spans="2:6" x14ac:dyDescent="0.25">
      <c r="B808" s="317" t="s">
        <v>467</v>
      </c>
      <c r="C808" s="307">
        <v>3</v>
      </c>
      <c r="D808" s="307">
        <v>3603</v>
      </c>
      <c r="E808" s="303">
        <v>0.97714867240262748</v>
      </c>
      <c r="F808" s="303">
        <v>0.88093255620316402</v>
      </c>
    </row>
    <row r="809" spans="2:6" x14ac:dyDescent="0.25">
      <c r="B809" s="357" t="s">
        <v>214</v>
      </c>
      <c r="C809" s="307">
        <v>1</v>
      </c>
      <c r="D809" s="307">
        <v>127</v>
      </c>
      <c r="E809" s="303">
        <v>1</v>
      </c>
      <c r="F809" s="303">
        <v>1</v>
      </c>
    </row>
    <row r="810" spans="2:6" x14ac:dyDescent="0.25">
      <c r="B810" s="317" t="s">
        <v>467</v>
      </c>
      <c r="C810" s="307">
        <v>1</v>
      </c>
      <c r="D810" s="307">
        <v>127</v>
      </c>
      <c r="E810" s="303">
        <v>1</v>
      </c>
      <c r="F810" s="303">
        <v>1</v>
      </c>
    </row>
    <row r="811" spans="2:6" x14ac:dyDescent="0.25">
      <c r="B811" s="357" t="s">
        <v>486</v>
      </c>
      <c r="C811" s="307">
        <v>3</v>
      </c>
      <c r="D811" s="307">
        <v>915</v>
      </c>
      <c r="E811" s="303">
        <v>1</v>
      </c>
      <c r="F811" s="303">
        <v>0.8</v>
      </c>
    </row>
    <row r="812" spans="2:6" x14ac:dyDescent="0.25">
      <c r="B812" s="317" t="s">
        <v>467</v>
      </c>
      <c r="C812" s="307">
        <v>3</v>
      </c>
      <c r="D812" s="307">
        <v>915</v>
      </c>
      <c r="E812" s="303">
        <v>1</v>
      </c>
      <c r="F812" s="303">
        <v>0.8</v>
      </c>
    </row>
    <row r="813" spans="2:6" x14ac:dyDescent="0.25">
      <c r="B813" s="26" t="s">
        <v>284</v>
      </c>
      <c r="C813" s="307">
        <v>35</v>
      </c>
      <c r="D813" s="307">
        <v>7017</v>
      </c>
      <c r="E813" s="303">
        <v>1</v>
      </c>
      <c r="F813" s="303">
        <v>0.84936582585150344</v>
      </c>
    </row>
    <row r="814" spans="2:6" x14ac:dyDescent="0.25">
      <c r="B814" s="357" t="s">
        <v>107</v>
      </c>
      <c r="C814" s="307">
        <v>2</v>
      </c>
      <c r="D814" s="307">
        <v>1155</v>
      </c>
      <c r="E814" s="303">
        <v>1</v>
      </c>
      <c r="F814" s="303">
        <v>0.74458874458874458</v>
      </c>
    </row>
    <row r="815" spans="2:6" x14ac:dyDescent="0.25">
      <c r="B815" s="317" t="s">
        <v>467</v>
      </c>
      <c r="C815" s="307">
        <v>2</v>
      </c>
      <c r="D815" s="307">
        <v>1155</v>
      </c>
      <c r="E815" s="303">
        <v>1</v>
      </c>
      <c r="F815" s="303">
        <v>0.74458874458874458</v>
      </c>
    </row>
    <row r="816" spans="2:6" x14ac:dyDescent="0.25">
      <c r="B816" s="357" t="s">
        <v>110</v>
      </c>
      <c r="C816" s="307">
        <v>18</v>
      </c>
      <c r="D816" s="307">
        <v>2679</v>
      </c>
      <c r="E816" s="303">
        <v>1</v>
      </c>
      <c r="F816" s="303">
        <v>0.80403135498320266</v>
      </c>
    </row>
    <row r="817" spans="2:6" x14ac:dyDescent="0.25">
      <c r="B817" s="317" t="s">
        <v>467</v>
      </c>
      <c r="C817" s="307">
        <v>18</v>
      </c>
      <c r="D817" s="307">
        <v>2679</v>
      </c>
      <c r="E817" s="303">
        <v>1</v>
      </c>
      <c r="F817" s="303">
        <v>0.80403135498320266</v>
      </c>
    </row>
    <row r="818" spans="2:6" x14ac:dyDescent="0.25">
      <c r="B818" s="357" t="s">
        <v>135</v>
      </c>
      <c r="C818" s="307">
        <v>7</v>
      </c>
      <c r="D818" s="307">
        <v>706</v>
      </c>
      <c r="E818" s="303">
        <v>1</v>
      </c>
      <c r="F818" s="303">
        <v>0.95750708215297453</v>
      </c>
    </row>
    <row r="819" spans="2:6" x14ac:dyDescent="0.25">
      <c r="B819" s="317" t="s">
        <v>467</v>
      </c>
      <c r="C819" s="307">
        <v>7</v>
      </c>
      <c r="D819" s="307">
        <v>706</v>
      </c>
      <c r="E819" s="303">
        <v>1</v>
      </c>
      <c r="F819" s="303">
        <v>0.95750708215297453</v>
      </c>
    </row>
    <row r="820" spans="2:6" x14ac:dyDescent="0.25">
      <c r="B820" s="357" t="s">
        <v>158</v>
      </c>
      <c r="C820" s="307">
        <v>8</v>
      </c>
      <c r="D820" s="307">
        <v>2477</v>
      </c>
      <c r="E820" s="303">
        <v>1</v>
      </c>
      <c r="F820" s="303">
        <v>0.91643116673395231</v>
      </c>
    </row>
    <row r="821" spans="2:6" x14ac:dyDescent="0.25">
      <c r="B821" s="317" t="s">
        <v>467</v>
      </c>
      <c r="C821" s="307">
        <v>8</v>
      </c>
      <c r="D821" s="307">
        <v>2477</v>
      </c>
      <c r="E821" s="303">
        <v>1</v>
      </c>
      <c r="F821" s="303">
        <v>0.91643116673395231</v>
      </c>
    </row>
    <row r="822" spans="2:6" x14ac:dyDescent="0.25">
      <c r="B822" s="26" t="s">
        <v>238</v>
      </c>
      <c r="C822" s="307">
        <v>16</v>
      </c>
      <c r="D822" s="307">
        <v>8795</v>
      </c>
      <c r="E822" s="303">
        <v>1</v>
      </c>
      <c r="F822" s="303">
        <v>0.76952814098919842</v>
      </c>
    </row>
    <row r="823" spans="2:6" x14ac:dyDescent="0.25">
      <c r="B823" s="357" t="s">
        <v>180</v>
      </c>
      <c r="C823" s="307">
        <v>5</v>
      </c>
      <c r="D823" s="307">
        <v>6163</v>
      </c>
      <c r="E823" s="303">
        <v>1</v>
      </c>
      <c r="F823" s="303">
        <v>0.74736329709557037</v>
      </c>
    </row>
    <row r="824" spans="2:6" x14ac:dyDescent="0.25">
      <c r="B824" s="317" t="s">
        <v>467</v>
      </c>
      <c r="C824" s="307">
        <v>5</v>
      </c>
      <c r="D824" s="307">
        <v>6163</v>
      </c>
      <c r="E824" s="303">
        <v>1</v>
      </c>
      <c r="F824" s="303">
        <v>0.74736329709557037</v>
      </c>
    </row>
    <row r="825" spans="2:6" x14ac:dyDescent="0.25">
      <c r="B825" s="357" t="s">
        <v>188</v>
      </c>
      <c r="C825" s="307">
        <v>11</v>
      </c>
      <c r="D825" s="307">
        <v>2632</v>
      </c>
      <c r="E825" s="303">
        <v>1</v>
      </c>
      <c r="F825" s="303">
        <v>0.8214285714285714</v>
      </c>
    </row>
    <row r="826" spans="2:6" x14ac:dyDescent="0.25">
      <c r="B826" s="317" t="s">
        <v>467</v>
      </c>
      <c r="C826" s="307">
        <v>10</v>
      </c>
      <c r="D826" s="307">
        <v>2496</v>
      </c>
      <c r="E826" s="303">
        <v>1</v>
      </c>
      <c r="F826" s="303">
        <v>0.81169871794871795</v>
      </c>
    </row>
    <row r="827" spans="2:6" x14ac:dyDescent="0.25">
      <c r="B827" s="317" t="s">
        <v>468</v>
      </c>
      <c r="C827" s="307">
        <v>1</v>
      </c>
      <c r="D827" s="307">
        <v>136</v>
      </c>
      <c r="E827" s="303">
        <v>1</v>
      </c>
      <c r="F827" s="303">
        <v>1</v>
      </c>
    </row>
    <row r="828" spans="2:6" x14ac:dyDescent="0.25">
      <c r="B828" s="26" t="s">
        <v>293</v>
      </c>
      <c r="C828" s="307">
        <v>12</v>
      </c>
      <c r="D828" s="307">
        <v>9522</v>
      </c>
      <c r="E828" s="303">
        <v>1</v>
      </c>
      <c r="F828" s="303">
        <v>0.90779248057130857</v>
      </c>
    </row>
    <row r="829" spans="2:6" x14ac:dyDescent="0.25">
      <c r="B829" s="357" t="s">
        <v>186</v>
      </c>
      <c r="C829" s="307">
        <v>4</v>
      </c>
      <c r="D829" s="307">
        <v>4382</v>
      </c>
      <c r="E829" s="303">
        <v>1</v>
      </c>
      <c r="F829" s="303">
        <v>0.83546325878594252</v>
      </c>
    </row>
    <row r="830" spans="2:6" x14ac:dyDescent="0.25">
      <c r="B830" s="317" t="s">
        <v>467</v>
      </c>
      <c r="C830" s="307">
        <v>4</v>
      </c>
      <c r="D830" s="307">
        <v>4382</v>
      </c>
      <c r="E830" s="303">
        <v>1</v>
      </c>
      <c r="F830" s="303">
        <v>0.83546325878594252</v>
      </c>
    </row>
    <row r="831" spans="2:6" x14ac:dyDescent="0.25">
      <c r="B831" s="357" t="s">
        <v>188</v>
      </c>
      <c r="C831" s="307">
        <v>8</v>
      </c>
      <c r="D831" s="307">
        <v>5140</v>
      </c>
      <c r="E831" s="303">
        <v>1</v>
      </c>
      <c r="F831" s="303">
        <v>0.96945525291828794</v>
      </c>
    </row>
    <row r="832" spans="2:6" x14ac:dyDescent="0.25">
      <c r="B832" s="317" t="s">
        <v>467</v>
      </c>
      <c r="C832" s="307">
        <v>4</v>
      </c>
      <c r="D832" s="307">
        <v>3764</v>
      </c>
      <c r="E832" s="303">
        <v>1</v>
      </c>
      <c r="F832" s="303">
        <v>1</v>
      </c>
    </row>
    <row r="833" spans="2:6" x14ac:dyDescent="0.25">
      <c r="B833" s="317" t="s">
        <v>468</v>
      </c>
      <c r="C833" s="307">
        <v>3</v>
      </c>
      <c r="D833" s="307">
        <v>1050</v>
      </c>
      <c r="E833" s="303">
        <v>1</v>
      </c>
      <c r="F833" s="303">
        <v>0.8504761904761905</v>
      </c>
    </row>
    <row r="834" spans="2:6" x14ac:dyDescent="0.25">
      <c r="B834" s="358" t="s">
        <v>478</v>
      </c>
      <c r="C834" s="307">
        <v>1</v>
      </c>
      <c r="D834" s="307">
        <v>326</v>
      </c>
      <c r="E834" s="303">
        <v>1</v>
      </c>
      <c r="F834" s="303">
        <v>1</v>
      </c>
    </row>
    <row r="835" spans="2:6" x14ac:dyDescent="0.25">
      <c r="B835" s="26" t="s">
        <v>73</v>
      </c>
      <c r="C835" s="307">
        <v>175</v>
      </c>
      <c r="D835" s="307">
        <v>83560</v>
      </c>
      <c r="E835" s="303">
        <v>0.94467528322961547</v>
      </c>
      <c r="F835" s="303">
        <v>0.89277166108185735</v>
      </c>
    </row>
    <row r="836" spans="2:6" x14ac:dyDescent="0.25">
      <c r="B836"/>
      <c r="C836"/>
      <c r="D836"/>
      <c r="E836"/>
      <c r="F836"/>
    </row>
    <row r="837" spans="2:6" x14ac:dyDescent="0.25">
      <c r="B837"/>
      <c r="C837"/>
      <c r="D837"/>
      <c r="E837"/>
      <c r="F837"/>
    </row>
    <row r="838" spans="2:6" x14ac:dyDescent="0.25">
      <c r="B838"/>
      <c r="C838"/>
      <c r="D838"/>
      <c r="E838"/>
      <c r="F838"/>
    </row>
    <row r="839" spans="2:6" x14ac:dyDescent="0.25">
      <c r="B839"/>
      <c r="C839"/>
      <c r="D839"/>
      <c r="E839"/>
      <c r="F839"/>
    </row>
    <row r="840" spans="2:6" x14ac:dyDescent="0.25">
      <c r="B840"/>
      <c r="C840"/>
      <c r="D840"/>
      <c r="E840"/>
      <c r="F840"/>
    </row>
    <row r="841" spans="2:6" x14ac:dyDescent="0.25">
      <c r="B841"/>
      <c r="C841"/>
      <c r="D841"/>
      <c r="E841"/>
      <c r="F841"/>
    </row>
    <row r="842" spans="2:6" x14ac:dyDescent="0.25">
      <c r="B842"/>
      <c r="C842"/>
      <c r="D842"/>
      <c r="E842"/>
      <c r="F842"/>
    </row>
    <row r="843" spans="2:6" x14ac:dyDescent="0.25">
      <c r="B843"/>
      <c r="C843"/>
      <c r="D843"/>
      <c r="E843"/>
      <c r="F843"/>
    </row>
    <row r="844" spans="2:6" x14ac:dyDescent="0.25">
      <c r="B844"/>
      <c r="C844"/>
      <c r="D844"/>
      <c r="E844"/>
      <c r="F844"/>
    </row>
    <row r="845" spans="2:6" x14ac:dyDescent="0.25">
      <c r="B845"/>
      <c r="C845"/>
      <c r="D845"/>
      <c r="E845"/>
      <c r="F845"/>
    </row>
    <row r="846" spans="2:6" x14ac:dyDescent="0.25">
      <c r="B846"/>
      <c r="C846"/>
      <c r="D846"/>
      <c r="E846"/>
      <c r="F846"/>
    </row>
    <row r="847" spans="2:6" x14ac:dyDescent="0.25">
      <c r="B847"/>
      <c r="C847"/>
      <c r="D847"/>
      <c r="E847"/>
      <c r="F847"/>
    </row>
    <row r="848" spans="2:6" x14ac:dyDescent="0.25">
      <c r="B848"/>
      <c r="C848"/>
      <c r="D848"/>
      <c r="E848"/>
      <c r="F848"/>
    </row>
    <row r="849" spans="2:6" x14ac:dyDescent="0.25">
      <c r="B849"/>
      <c r="C849"/>
      <c r="D849"/>
      <c r="E849"/>
      <c r="F849"/>
    </row>
    <row r="850" spans="2:6" x14ac:dyDescent="0.25">
      <c r="B850"/>
      <c r="C850"/>
      <c r="D850"/>
      <c r="E850"/>
      <c r="F850"/>
    </row>
    <row r="851" spans="2:6" x14ac:dyDescent="0.25">
      <c r="B851"/>
      <c r="C851"/>
      <c r="D851"/>
      <c r="E851"/>
      <c r="F851"/>
    </row>
    <row r="852" spans="2:6" x14ac:dyDescent="0.25">
      <c r="B852"/>
      <c r="C852"/>
      <c r="D852"/>
      <c r="E852"/>
      <c r="F852"/>
    </row>
    <row r="853" spans="2:6" x14ac:dyDescent="0.25">
      <c r="B853"/>
      <c r="C853"/>
      <c r="D853"/>
      <c r="E853"/>
      <c r="F853"/>
    </row>
    <row r="854" spans="2:6" x14ac:dyDescent="0.25">
      <c r="B854"/>
      <c r="C854"/>
      <c r="D854"/>
      <c r="E854"/>
      <c r="F854"/>
    </row>
    <row r="855" spans="2:6" x14ac:dyDescent="0.25">
      <c r="B855"/>
      <c r="C855"/>
      <c r="D855"/>
      <c r="E855"/>
      <c r="F855"/>
    </row>
    <row r="856" spans="2:6" x14ac:dyDescent="0.25">
      <c r="B856"/>
      <c r="C856"/>
      <c r="D856"/>
      <c r="E856"/>
      <c r="F856"/>
    </row>
    <row r="857" spans="2:6" x14ac:dyDescent="0.25">
      <c r="B857"/>
      <c r="C857"/>
      <c r="D857"/>
      <c r="E857"/>
      <c r="F857"/>
    </row>
    <row r="858" spans="2:6" x14ac:dyDescent="0.25">
      <c r="B858"/>
      <c r="C858"/>
      <c r="D858"/>
      <c r="E858"/>
      <c r="F858"/>
    </row>
    <row r="859" spans="2:6" x14ac:dyDescent="0.25">
      <c r="B859"/>
      <c r="C859"/>
      <c r="D859"/>
      <c r="E859"/>
      <c r="F859"/>
    </row>
    <row r="860" spans="2:6" x14ac:dyDescent="0.25">
      <c r="B860"/>
      <c r="C860"/>
      <c r="D860"/>
      <c r="E860"/>
      <c r="F860"/>
    </row>
    <row r="861" spans="2:6" x14ac:dyDescent="0.25">
      <c r="B861"/>
      <c r="C861"/>
      <c r="D861"/>
      <c r="E861"/>
      <c r="F861"/>
    </row>
    <row r="862" spans="2:6" x14ac:dyDescent="0.25">
      <c r="B862"/>
      <c r="C862"/>
      <c r="D862"/>
      <c r="E862"/>
      <c r="F862"/>
    </row>
    <row r="863" spans="2:6" x14ac:dyDescent="0.25">
      <c r="B863"/>
      <c r="C863"/>
      <c r="D863"/>
      <c r="E863"/>
      <c r="F863"/>
    </row>
    <row r="864" spans="2:6" x14ac:dyDescent="0.25">
      <c r="B864"/>
      <c r="C864"/>
      <c r="D864"/>
      <c r="E864"/>
      <c r="F864"/>
    </row>
    <row r="865" spans="2:6" x14ac:dyDescent="0.25">
      <c r="B865"/>
      <c r="C865"/>
      <c r="D865"/>
      <c r="E865"/>
      <c r="F865"/>
    </row>
    <row r="866" spans="2:6" x14ac:dyDescent="0.25">
      <c r="B866"/>
      <c r="C866"/>
      <c r="D866"/>
      <c r="E866"/>
      <c r="F866"/>
    </row>
    <row r="867" spans="2:6" x14ac:dyDescent="0.25">
      <c r="B867"/>
      <c r="C867"/>
      <c r="D867"/>
      <c r="E867"/>
      <c r="F867"/>
    </row>
    <row r="868" spans="2:6" x14ac:dyDescent="0.25">
      <c r="B868"/>
      <c r="C868"/>
      <c r="D868"/>
      <c r="E868"/>
      <c r="F868"/>
    </row>
    <row r="869" spans="2:6" x14ac:dyDescent="0.25">
      <c r="B869"/>
      <c r="C869"/>
      <c r="D869"/>
      <c r="E869"/>
      <c r="F869"/>
    </row>
    <row r="870" spans="2:6" x14ac:dyDescent="0.25">
      <c r="B870"/>
      <c r="C870"/>
      <c r="D870"/>
      <c r="E870"/>
      <c r="F870"/>
    </row>
    <row r="871" spans="2:6" x14ac:dyDescent="0.25">
      <c r="B871"/>
      <c r="C871"/>
      <c r="D871"/>
      <c r="E871"/>
      <c r="F871"/>
    </row>
    <row r="872" spans="2:6" x14ac:dyDescent="0.25">
      <c r="B872"/>
      <c r="C872"/>
      <c r="D872"/>
      <c r="E872"/>
      <c r="F872"/>
    </row>
    <row r="873" spans="2:6" x14ac:dyDescent="0.25">
      <c r="B873"/>
      <c r="C873"/>
      <c r="D873"/>
      <c r="E873"/>
      <c r="F873"/>
    </row>
    <row r="874" spans="2:6" x14ac:dyDescent="0.25">
      <c r="B874"/>
      <c r="C874"/>
      <c r="D874"/>
      <c r="E874"/>
      <c r="F874"/>
    </row>
    <row r="875" spans="2:6" x14ac:dyDescent="0.25">
      <c r="B875"/>
      <c r="C875"/>
      <c r="D875"/>
      <c r="E875"/>
      <c r="F875"/>
    </row>
    <row r="876" spans="2:6" x14ac:dyDescent="0.25">
      <c r="B876"/>
      <c r="C876"/>
      <c r="D876"/>
      <c r="E876"/>
      <c r="F876"/>
    </row>
    <row r="877" spans="2:6" x14ac:dyDescent="0.25">
      <c r="B877"/>
      <c r="C877"/>
      <c r="D877"/>
      <c r="E877"/>
      <c r="F877"/>
    </row>
    <row r="878" spans="2:6" x14ac:dyDescent="0.25">
      <c r="B878"/>
      <c r="C878"/>
      <c r="D878"/>
      <c r="E878"/>
      <c r="F878"/>
    </row>
    <row r="879" spans="2:6" x14ac:dyDescent="0.25">
      <c r="B879"/>
      <c r="C879"/>
      <c r="D879"/>
      <c r="E879"/>
      <c r="F879"/>
    </row>
    <row r="880" spans="2:6" x14ac:dyDescent="0.25">
      <c r="B880"/>
      <c r="C880"/>
      <c r="D880"/>
      <c r="E880"/>
      <c r="F880"/>
    </row>
    <row r="881" spans="2:6" x14ac:dyDescent="0.25">
      <c r="B881"/>
      <c r="C881"/>
      <c r="D881"/>
      <c r="E881"/>
      <c r="F881"/>
    </row>
    <row r="882" spans="2:6" x14ac:dyDescent="0.25">
      <c r="B882"/>
      <c r="C882"/>
      <c r="D882"/>
      <c r="E882"/>
      <c r="F882"/>
    </row>
    <row r="883" spans="2:6" x14ac:dyDescent="0.25">
      <c r="B883"/>
      <c r="C883"/>
      <c r="D883"/>
      <c r="E883"/>
      <c r="F883"/>
    </row>
    <row r="884" spans="2:6" x14ac:dyDescent="0.25">
      <c r="B884"/>
      <c r="C884"/>
      <c r="D884"/>
      <c r="E884"/>
      <c r="F884"/>
    </row>
    <row r="885" spans="2:6" x14ac:dyDescent="0.25">
      <c r="B885"/>
      <c r="C885"/>
      <c r="D885"/>
      <c r="E885"/>
      <c r="F885"/>
    </row>
    <row r="886" spans="2:6" x14ac:dyDescent="0.25">
      <c r="B886"/>
      <c r="C886"/>
      <c r="D886"/>
      <c r="E886"/>
      <c r="F886"/>
    </row>
    <row r="887" spans="2:6" x14ac:dyDescent="0.25">
      <c r="B887"/>
      <c r="C887"/>
      <c r="D887"/>
      <c r="E887"/>
      <c r="F887"/>
    </row>
    <row r="888" spans="2:6" x14ac:dyDescent="0.25">
      <c r="B888"/>
      <c r="C888"/>
      <c r="D888"/>
      <c r="E888"/>
      <c r="F888"/>
    </row>
    <row r="889" spans="2:6" x14ac:dyDescent="0.25">
      <c r="B889"/>
      <c r="C889"/>
      <c r="D889"/>
      <c r="E889"/>
      <c r="F889"/>
    </row>
  </sheetData>
  <sheetProtection formatCells="0" formatColumns="0" formatRows="0" sort="0" autoFilter="0" pivotTables="0"/>
  <mergeCells count="2">
    <mergeCell ref="B2:N2"/>
    <mergeCell ref="B5:N5"/>
  </mergeCells>
  <pageMargins left="0.7" right="0.7" top="0.75" bottom="0.75" header="0.3" footer="0.3"/>
  <pageSetup orientation="portrait" r:id="rId30"/>
  <drawing r:id="rId3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198"/>
  <sheetViews>
    <sheetView showGridLines="0" topLeftCell="A27" zoomScale="75" zoomScaleNormal="75" workbookViewId="0">
      <selection activeCell="C64" sqref="C64"/>
    </sheetView>
  </sheetViews>
  <sheetFormatPr defaultColWidth="9.7109375" defaultRowHeight="15.75" x14ac:dyDescent="0.25"/>
  <cols>
    <col min="1" max="1" width="9.7109375" style="67"/>
    <col min="2" max="2" width="47.7109375" style="68" customWidth="1"/>
    <col min="3" max="3" width="17.7109375" style="69" customWidth="1"/>
    <col min="4" max="4" width="11.7109375" style="67" customWidth="1"/>
    <col min="5" max="5" width="9.85546875" style="67" customWidth="1"/>
    <col min="6" max="6" width="12.140625" style="67" customWidth="1"/>
    <col min="7" max="7" width="10.42578125" style="67" bestFit="1" customWidth="1"/>
    <col min="8" max="13" width="9.85546875" style="67" customWidth="1"/>
    <col min="14" max="14" width="11.7109375" style="67" bestFit="1" customWidth="1"/>
    <col min="15" max="17" width="9.7109375" style="67"/>
    <col min="18" max="18" width="12.7109375" style="67" customWidth="1"/>
    <col min="19" max="19" width="16.7109375" style="67" customWidth="1"/>
    <col min="20" max="16384" width="9.7109375" style="67"/>
  </cols>
  <sheetData>
    <row r="2" spans="2:13" ht="38.450000000000003" customHeight="1" x14ac:dyDescent="0.25">
      <c r="B2" s="749" t="s">
        <v>329</v>
      </c>
      <c r="C2" s="750"/>
      <c r="D2" s="750"/>
      <c r="E2" s="750"/>
      <c r="F2" s="750"/>
      <c r="G2" s="750"/>
      <c r="H2" s="750"/>
      <c r="I2" s="750"/>
      <c r="J2" s="750"/>
      <c r="K2" s="750"/>
      <c r="L2" s="750"/>
      <c r="M2" s="751"/>
    </row>
    <row r="4" spans="2:13" ht="16.5" thickBot="1" x14ac:dyDescent="0.3"/>
    <row r="5" spans="2:13" ht="16.5" thickBot="1" x14ac:dyDescent="0.3">
      <c r="B5" s="747" t="s">
        <v>330</v>
      </c>
      <c r="C5" s="748"/>
    </row>
    <row r="6" spans="2:13" x14ac:dyDescent="0.25">
      <c r="B6" s="608" t="s">
        <v>331</v>
      </c>
      <c r="C6" s="609" t="s">
        <v>74</v>
      </c>
    </row>
    <row r="7" spans="2:13" x14ac:dyDescent="0.25">
      <c r="B7" s="67"/>
      <c r="C7" s="67"/>
    </row>
    <row r="8" spans="2:13" ht="30" x14ac:dyDescent="0.25">
      <c r="B8" s="610" t="s">
        <v>332</v>
      </c>
      <c r="C8" s="611"/>
      <c r="D8" s="70"/>
      <c r="E8" s="70"/>
      <c r="F8" s="70"/>
      <c r="G8" s="70"/>
      <c r="H8" s="70"/>
    </row>
    <row r="9" spans="2:13" x14ac:dyDescent="0.25">
      <c r="B9" s="610" t="s">
        <v>333</v>
      </c>
      <c r="C9" s="612" t="s">
        <v>2</v>
      </c>
      <c r="D9" s="70"/>
      <c r="E9" s="70"/>
      <c r="F9" s="70"/>
      <c r="G9" s="70"/>
      <c r="H9" s="70"/>
    </row>
    <row r="10" spans="2:13" x14ac:dyDescent="0.25">
      <c r="B10" s="613" t="s">
        <v>334</v>
      </c>
      <c r="C10" s="614">
        <v>4322539</v>
      </c>
      <c r="D10" s="70"/>
      <c r="E10" s="70"/>
      <c r="F10" s="70"/>
      <c r="G10" s="70"/>
      <c r="H10" s="70"/>
    </row>
    <row r="11" spans="2:13" x14ac:dyDescent="0.25">
      <c r="B11" s="615" t="s">
        <v>335</v>
      </c>
      <c r="C11" s="616">
        <v>338770</v>
      </c>
      <c r="D11" s="70"/>
      <c r="E11" s="70"/>
      <c r="F11" s="70"/>
      <c r="G11" s="70"/>
      <c r="H11" s="70"/>
    </row>
    <row r="12" spans="2:13" x14ac:dyDescent="0.25">
      <c r="B12" s="615" t="s">
        <v>336</v>
      </c>
      <c r="C12" s="616">
        <v>3761179</v>
      </c>
      <c r="D12" s="70"/>
      <c r="E12" s="70"/>
      <c r="F12" s="70"/>
      <c r="G12" s="70"/>
      <c r="H12" s="70"/>
    </row>
    <row r="13" spans="2:13" x14ac:dyDescent="0.25">
      <c r="B13" s="615" t="s">
        <v>337</v>
      </c>
      <c r="C13" s="616">
        <v>2195052.61</v>
      </c>
      <c r="D13" s="70"/>
      <c r="E13" s="70"/>
      <c r="F13" s="70"/>
      <c r="G13" s="70"/>
      <c r="H13" s="70"/>
    </row>
    <row r="14" spans="2:13" x14ac:dyDescent="0.25">
      <c r="B14" s="615" t="s">
        <v>338</v>
      </c>
      <c r="C14" s="616">
        <v>292113</v>
      </c>
      <c r="D14" s="70"/>
      <c r="E14" s="70"/>
      <c r="F14" s="70"/>
      <c r="G14" s="70"/>
      <c r="H14" s="70"/>
    </row>
    <row r="15" spans="2:13" x14ac:dyDescent="0.25">
      <c r="B15" s="615" t="s">
        <v>339</v>
      </c>
      <c r="C15" s="616">
        <v>515029</v>
      </c>
      <c r="D15" s="70"/>
      <c r="E15" s="70"/>
      <c r="F15" s="70"/>
      <c r="G15" s="70"/>
      <c r="H15" s="70"/>
    </row>
    <row r="16" spans="2:13" x14ac:dyDescent="0.25">
      <c r="B16" s="615" t="s">
        <v>340</v>
      </c>
      <c r="C16" s="616">
        <v>197000</v>
      </c>
      <c r="D16" s="70"/>
      <c r="E16" s="70"/>
      <c r="F16" s="70"/>
      <c r="G16" s="70"/>
      <c r="H16" s="70"/>
    </row>
    <row r="17" spans="2:8" x14ac:dyDescent="0.25">
      <c r="B17" s="615" t="s">
        <v>437</v>
      </c>
      <c r="C17" s="616">
        <v>245165</v>
      </c>
      <c r="D17" s="70"/>
      <c r="E17" s="70"/>
      <c r="F17" s="70"/>
      <c r="G17" s="70"/>
      <c r="H17" s="70"/>
    </row>
    <row r="18" spans="2:8" x14ac:dyDescent="0.25">
      <c r="B18" s="615" t="s">
        <v>341</v>
      </c>
      <c r="C18" s="616">
        <v>156270</v>
      </c>
      <c r="D18" s="70"/>
      <c r="E18" s="70"/>
      <c r="F18" s="70"/>
      <c r="G18" s="70"/>
      <c r="H18" s="70"/>
    </row>
    <row r="19" spans="2:8" x14ac:dyDescent="0.25">
      <c r="B19" s="615" t="s">
        <v>342</v>
      </c>
      <c r="C19" s="616">
        <v>191487</v>
      </c>
      <c r="D19" s="70"/>
      <c r="E19" s="70"/>
      <c r="F19" s="70"/>
      <c r="G19" s="70"/>
      <c r="H19" s="70"/>
    </row>
    <row r="20" spans="2:8" x14ac:dyDescent="0.25">
      <c r="B20" s="615" t="s">
        <v>492</v>
      </c>
      <c r="C20" s="616">
        <v>750000</v>
      </c>
      <c r="D20" s="70"/>
      <c r="E20" s="70"/>
      <c r="F20" s="70"/>
      <c r="G20" s="70"/>
      <c r="H20" s="70"/>
    </row>
    <row r="21" spans="2:8" x14ac:dyDescent="0.25">
      <c r="B21" s="615" t="s">
        <v>494</v>
      </c>
      <c r="C21" s="616">
        <v>17000</v>
      </c>
      <c r="D21" s="70"/>
      <c r="E21" s="70"/>
      <c r="F21" s="70"/>
    </row>
    <row r="22" spans="2:8" x14ac:dyDescent="0.25">
      <c r="B22" s="615" t="s">
        <v>497</v>
      </c>
      <c r="C22" s="616">
        <v>80400</v>
      </c>
    </row>
    <row r="23" spans="2:8" x14ac:dyDescent="0.25">
      <c r="B23" s="615" t="s">
        <v>633</v>
      </c>
      <c r="C23" s="616">
        <v>43482</v>
      </c>
    </row>
    <row r="24" spans="2:8" x14ac:dyDescent="0.25">
      <c r="B24" s="615" t="s">
        <v>716</v>
      </c>
      <c r="C24" s="616">
        <v>1520909.0013263728</v>
      </c>
    </row>
    <row r="25" spans="2:8" x14ac:dyDescent="0.25">
      <c r="B25" s="615" t="s">
        <v>412</v>
      </c>
      <c r="C25" s="616">
        <v>346135</v>
      </c>
    </row>
    <row r="26" spans="2:8" x14ac:dyDescent="0.25">
      <c r="B26" s="617" t="s">
        <v>73</v>
      </c>
      <c r="C26" s="618">
        <v>14972530.611326372</v>
      </c>
      <c r="D26" s="72"/>
      <c r="E26" s="72"/>
    </row>
    <row r="27" spans="2:8" x14ac:dyDescent="0.25">
      <c r="B27"/>
      <c r="C27"/>
      <c r="D27" s="72"/>
      <c r="E27" s="72"/>
    </row>
    <row r="28" spans="2:8" ht="47.25" x14ac:dyDescent="0.25">
      <c r="B28" s="71" t="s">
        <v>343</v>
      </c>
      <c r="C28" s="71"/>
      <c r="D28" s="72"/>
      <c r="E28" s="72"/>
    </row>
    <row r="29" spans="2:8" x14ac:dyDescent="0.25">
      <c r="B29" s="71"/>
      <c r="C29" s="71"/>
      <c r="D29" s="72"/>
      <c r="E29" s="72"/>
    </row>
    <row r="30" spans="2:8" x14ac:dyDescent="0.25">
      <c r="B30" s="71"/>
      <c r="C30" s="71"/>
      <c r="D30" s="72"/>
      <c r="E30" s="72"/>
    </row>
    <row r="31" spans="2:8" s="283" customFormat="1" ht="16.5" thickBot="1" x14ac:dyDescent="0.3">
      <c r="B31" s="294" t="s">
        <v>396</v>
      </c>
      <c r="C31" s="284" t="s">
        <v>269</v>
      </c>
    </row>
    <row r="32" spans="2:8" s="283" customFormat="1" ht="16.5" thickBot="1" x14ac:dyDescent="0.3">
      <c r="B32" s="753" t="s">
        <v>663</v>
      </c>
      <c r="C32" s="754"/>
    </row>
    <row r="33" spans="2:8" s="283" customFormat="1" ht="30" x14ac:dyDescent="0.25">
      <c r="B33" s="295" t="s">
        <v>664</v>
      </c>
      <c r="C33" s="285"/>
      <c r="D33"/>
      <c r="E33"/>
      <c r="F33"/>
      <c r="G33"/>
      <c r="H33" s="286"/>
    </row>
    <row r="34" spans="2:8" s="283" customFormat="1" x14ac:dyDescent="0.25">
      <c r="B34" s="295" t="s">
        <v>333</v>
      </c>
      <c r="C34" s="287" t="s">
        <v>2</v>
      </c>
      <c r="D34"/>
      <c r="E34"/>
      <c r="F34"/>
      <c r="G34"/>
      <c r="H34" s="286"/>
    </row>
    <row r="35" spans="2:8" s="283" customFormat="1" x14ac:dyDescent="0.25">
      <c r="B35" s="288" t="s">
        <v>334</v>
      </c>
      <c r="C35" s="289">
        <v>723675.93633648218</v>
      </c>
      <c r="D35"/>
      <c r="E35"/>
      <c r="F35"/>
      <c r="G35"/>
      <c r="H35" s="286"/>
    </row>
    <row r="36" spans="2:8" s="283" customFormat="1" x14ac:dyDescent="0.25">
      <c r="B36" s="290" t="s">
        <v>336</v>
      </c>
      <c r="C36" s="291">
        <v>585345.41666666674</v>
      </c>
      <c r="D36"/>
      <c r="E36"/>
      <c r="F36"/>
      <c r="G36"/>
      <c r="H36" s="286"/>
    </row>
    <row r="37" spans="2:8" s="283" customFormat="1" x14ac:dyDescent="0.25">
      <c r="B37" s="290" t="s">
        <v>337</v>
      </c>
      <c r="C37" s="291">
        <v>1022388.1533101045</v>
      </c>
      <c r="D37"/>
      <c r="E37"/>
      <c r="F37"/>
      <c r="G37"/>
      <c r="H37" s="286"/>
    </row>
    <row r="38" spans="2:8" s="283" customFormat="1" x14ac:dyDescent="0.25">
      <c r="B38" s="290" t="s">
        <v>342</v>
      </c>
      <c r="C38" s="291">
        <v>37538.200440528635</v>
      </c>
      <c r="D38"/>
      <c r="E38"/>
      <c r="F38"/>
      <c r="G38"/>
      <c r="H38" s="286"/>
    </row>
    <row r="39" spans="2:8" s="283" customFormat="1" x14ac:dyDescent="0.25">
      <c r="B39" s="290" t="s">
        <v>633</v>
      </c>
      <c r="C39" s="291">
        <v>43482</v>
      </c>
      <c r="D39"/>
      <c r="E39"/>
      <c r="F39"/>
      <c r="G39"/>
      <c r="H39" s="286"/>
    </row>
    <row r="40" spans="2:8" s="283" customFormat="1" x14ac:dyDescent="0.25">
      <c r="B40" s="290" t="s">
        <v>339</v>
      </c>
      <c r="C40" s="291">
        <v>100963.83480176212</v>
      </c>
      <c r="D40"/>
      <c r="E40"/>
      <c r="F40"/>
      <c r="G40"/>
      <c r="H40" s="286"/>
    </row>
    <row r="41" spans="2:8" s="283" customFormat="1" x14ac:dyDescent="0.25">
      <c r="B41" s="290" t="s">
        <v>494</v>
      </c>
      <c r="C41" s="291">
        <v>17000</v>
      </c>
      <c r="D41"/>
      <c r="E41"/>
      <c r="F41"/>
      <c r="G41"/>
      <c r="H41" s="286"/>
    </row>
    <row r="42" spans="2:8" s="283" customFormat="1" x14ac:dyDescent="0.25">
      <c r="B42" s="290" t="s">
        <v>437</v>
      </c>
      <c r="C42" s="291">
        <v>79925.586080586087</v>
      </c>
      <c r="D42"/>
      <c r="E42"/>
      <c r="F42"/>
      <c r="G42"/>
      <c r="H42" s="286"/>
    </row>
    <row r="43" spans="2:8" s="283" customFormat="1" x14ac:dyDescent="0.25">
      <c r="B43" s="290" t="s">
        <v>341</v>
      </c>
      <c r="C43" s="291">
        <v>50000</v>
      </c>
      <c r="D43"/>
      <c r="E43"/>
      <c r="F43"/>
      <c r="G43"/>
      <c r="H43" s="286"/>
    </row>
    <row r="44" spans="2:8" s="283" customFormat="1" x14ac:dyDescent="0.25">
      <c r="B44" s="290" t="s">
        <v>412</v>
      </c>
      <c r="C44" s="291">
        <v>78945</v>
      </c>
      <c r="D44"/>
      <c r="E44"/>
      <c r="F44"/>
      <c r="G44"/>
      <c r="H44" s="286"/>
    </row>
    <row r="45" spans="2:8" s="283" customFormat="1" x14ac:dyDescent="0.25">
      <c r="B45" s="292" t="s">
        <v>73</v>
      </c>
      <c r="C45" s="293">
        <v>2739264.12763613</v>
      </c>
      <c r="D45"/>
      <c r="E45"/>
      <c r="F45"/>
      <c r="G45"/>
      <c r="H45" s="286"/>
    </row>
    <row r="46" spans="2:8" x14ac:dyDescent="0.25">
      <c r="B46"/>
      <c r="C46"/>
      <c r="D46" s="72"/>
      <c r="E46" s="72"/>
    </row>
    <row r="47" spans="2:8" x14ac:dyDescent="0.25">
      <c r="B47"/>
      <c r="C47"/>
      <c r="D47" s="72"/>
      <c r="E47" s="72"/>
    </row>
    <row r="48" spans="2:8" x14ac:dyDescent="0.25">
      <c r="B48" s="296"/>
      <c r="C48" s="297"/>
      <c r="D48" s="72"/>
      <c r="E48" s="72"/>
    </row>
    <row r="49" spans="2:8" x14ac:dyDescent="0.25">
      <c r="B49" s="296"/>
      <c r="C49" s="297"/>
      <c r="D49" s="72"/>
      <c r="E49" s="72"/>
    </row>
    <row r="50" spans="2:8" x14ac:dyDescent="0.25">
      <c r="B50" s="296"/>
      <c r="C50" s="297"/>
      <c r="D50" s="72"/>
      <c r="E50" s="72"/>
    </row>
    <row r="51" spans="2:8" x14ac:dyDescent="0.25">
      <c r="B51" s="296"/>
      <c r="C51" s="297"/>
      <c r="D51" s="72"/>
      <c r="E51" s="72"/>
    </row>
    <row r="52" spans="2:8" x14ac:dyDescent="0.25">
      <c r="B52" s="71"/>
      <c r="C52" s="71"/>
      <c r="D52" s="72"/>
      <c r="E52" s="72"/>
    </row>
    <row r="53" spans="2:8" x14ac:dyDescent="0.25">
      <c r="B53" s="71"/>
      <c r="C53" s="71"/>
      <c r="D53" s="72"/>
      <c r="E53" s="72"/>
    </row>
    <row r="54" spans="2:8" ht="16.5" thickBot="1" x14ac:dyDescent="0.3">
      <c r="B54" s="640" t="s">
        <v>333</v>
      </c>
      <c r="C54" s="609" t="s">
        <v>269</v>
      </c>
    </row>
    <row r="55" spans="2:8" ht="16.5" thickBot="1" x14ac:dyDescent="0.3">
      <c r="B55" s="747" t="s">
        <v>344</v>
      </c>
      <c r="C55" s="748"/>
    </row>
    <row r="56" spans="2:8" ht="30" x14ac:dyDescent="0.25">
      <c r="B56" s="610" t="s">
        <v>332</v>
      </c>
      <c r="C56" s="611"/>
      <c r="D56" s="70"/>
      <c r="E56" s="70"/>
      <c r="F56" s="73"/>
      <c r="G56" s="70"/>
      <c r="H56" s="70"/>
    </row>
    <row r="57" spans="2:8" x14ac:dyDescent="0.25">
      <c r="B57" s="622" t="s">
        <v>331</v>
      </c>
      <c r="C57" s="612" t="s">
        <v>2</v>
      </c>
      <c r="D57" s="70"/>
      <c r="E57" s="70"/>
      <c r="F57" s="70"/>
      <c r="G57" s="70"/>
      <c r="H57" s="70"/>
    </row>
    <row r="58" spans="2:8" x14ac:dyDescent="0.25">
      <c r="B58" s="613">
        <v>2012</v>
      </c>
      <c r="C58" s="614">
        <v>3335112.61</v>
      </c>
      <c r="D58" s="70"/>
      <c r="E58" s="70"/>
      <c r="F58" s="70"/>
      <c r="G58" s="70"/>
      <c r="H58" s="70"/>
    </row>
    <row r="59" spans="2:8" x14ac:dyDescent="0.25">
      <c r="B59" s="615">
        <v>2013</v>
      </c>
      <c r="C59" s="616">
        <v>4596720</v>
      </c>
      <c r="D59" s="70"/>
      <c r="E59" s="70"/>
      <c r="F59" s="70"/>
      <c r="G59" s="70"/>
      <c r="H59" s="70"/>
    </row>
    <row r="60" spans="2:8" x14ac:dyDescent="0.25">
      <c r="B60" s="615">
        <v>2014</v>
      </c>
      <c r="C60" s="616">
        <v>5504514.0013263728</v>
      </c>
      <c r="D60" s="70"/>
      <c r="E60" s="70"/>
      <c r="F60" s="70"/>
      <c r="G60" s="70"/>
      <c r="H60" s="70"/>
    </row>
    <row r="61" spans="2:8" x14ac:dyDescent="0.25">
      <c r="B61" s="615">
        <v>2015</v>
      </c>
      <c r="C61" s="616">
        <v>1536184</v>
      </c>
      <c r="D61" s="70"/>
      <c r="E61" s="70"/>
      <c r="F61" s="70"/>
      <c r="G61" s="70"/>
      <c r="H61" s="70"/>
    </row>
    <row r="62" spans="2:8" x14ac:dyDescent="0.25">
      <c r="B62" s="617" t="s">
        <v>73</v>
      </c>
      <c r="C62" s="618">
        <v>14972530.611326372</v>
      </c>
      <c r="D62" s="70"/>
      <c r="E62" s="70"/>
      <c r="F62" s="70"/>
      <c r="G62" s="70"/>
      <c r="H62" s="70"/>
    </row>
    <row r="63" spans="2:8" x14ac:dyDescent="0.25">
      <c r="B63" s="70"/>
      <c r="C63" s="70"/>
      <c r="D63" s="70"/>
      <c r="E63" s="70"/>
      <c r="F63" s="70"/>
      <c r="G63" s="70"/>
      <c r="H63" s="70"/>
    </row>
    <row r="64" spans="2:8" x14ac:dyDescent="0.25">
      <c r="B64" s="70"/>
      <c r="C64" s="70"/>
      <c r="D64" s="70"/>
      <c r="E64" s="70"/>
      <c r="F64" s="70"/>
      <c r="G64" s="70"/>
      <c r="H64" s="70"/>
    </row>
    <row r="65" spans="2:21" x14ac:dyDescent="0.25">
      <c r="B65" s="70"/>
      <c r="C65" s="70"/>
      <c r="D65" s="70"/>
      <c r="E65" s="70"/>
      <c r="F65" s="70"/>
      <c r="G65" s="70"/>
      <c r="H65" s="70"/>
    </row>
    <row r="66" spans="2:21" x14ac:dyDescent="0.25">
      <c r="B66" s="70"/>
      <c r="C66" s="70"/>
      <c r="D66" s="70"/>
      <c r="E66" s="70"/>
      <c r="F66" s="70"/>
      <c r="G66" s="70"/>
      <c r="H66" s="70"/>
    </row>
    <row r="67" spans="2:21" ht="16.5" thickBot="1" x14ac:dyDescent="0.3">
      <c r="B67"/>
      <c r="C67"/>
      <c r="D67" s="70"/>
      <c r="E67" s="70"/>
      <c r="F67" s="70"/>
      <c r="G67" s="70"/>
      <c r="H67" s="70"/>
    </row>
    <row r="68" spans="2:21" ht="16.5" thickBot="1" x14ac:dyDescent="0.3">
      <c r="B68" s="747" t="s">
        <v>345</v>
      </c>
      <c r="C68" s="748"/>
    </row>
    <row r="69" spans="2:21" x14ac:dyDescent="0.25">
      <c r="B69" s="619"/>
      <c r="C69" s="610" t="s">
        <v>333</v>
      </c>
      <c r="D69" s="620"/>
      <c r="E69" s="620"/>
      <c r="F69" s="620"/>
      <c r="G69" s="620"/>
      <c r="H69" s="620"/>
      <c r="I69" s="620"/>
      <c r="J69" s="620"/>
      <c r="K69" s="620"/>
      <c r="L69" s="620"/>
      <c r="M69" s="620"/>
      <c r="N69" s="620"/>
      <c r="O69" s="620"/>
      <c r="P69" s="620"/>
      <c r="Q69" s="620"/>
      <c r="R69" s="620"/>
      <c r="S69" s="621"/>
      <c r="T69" s="70"/>
      <c r="U69" s="70"/>
    </row>
    <row r="70" spans="2:21" x14ac:dyDescent="0.25">
      <c r="B70" s="622" t="s">
        <v>75</v>
      </c>
      <c r="C70" s="613" t="s">
        <v>334</v>
      </c>
      <c r="D70" s="623" t="s">
        <v>335</v>
      </c>
      <c r="E70" s="623" t="s">
        <v>336</v>
      </c>
      <c r="F70" s="623" t="s">
        <v>337</v>
      </c>
      <c r="G70" s="623" t="s">
        <v>338</v>
      </c>
      <c r="H70" s="623" t="s">
        <v>339</v>
      </c>
      <c r="I70" s="623" t="s">
        <v>340</v>
      </c>
      <c r="J70" s="623" t="s">
        <v>437</v>
      </c>
      <c r="K70" s="623" t="s">
        <v>341</v>
      </c>
      <c r="L70" s="623" t="s">
        <v>342</v>
      </c>
      <c r="M70" s="623" t="s">
        <v>492</v>
      </c>
      <c r="N70" s="623" t="s">
        <v>494</v>
      </c>
      <c r="O70" s="623" t="s">
        <v>497</v>
      </c>
      <c r="P70" s="623" t="s">
        <v>633</v>
      </c>
      <c r="Q70" s="623" t="s">
        <v>716</v>
      </c>
      <c r="R70" s="623" t="s">
        <v>412</v>
      </c>
      <c r="S70" s="612" t="s">
        <v>73</v>
      </c>
      <c r="T70" s="70"/>
      <c r="U70" s="70"/>
    </row>
    <row r="71" spans="2:21" x14ac:dyDescent="0.25">
      <c r="B71" s="613" t="s">
        <v>717</v>
      </c>
      <c r="C71" s="624">
        <v>2174530.0636635181</v>
      </c>
      <c r="D71" s="625">
        <v>338770</v>
      </c>
      <c r="E71" s="625">
        <v>1067394.5833333333</v>
      </c>
      <c r="F71" s="625">
        <v>1172664.4566898956</v>
      </c>
      <c r="G71" s="625">
        <v>292113</v>
      </c>
      <c r="H71" s="625">
        <v>414065.16519823787</v>
      </c>
      <c r="I71" s="625">
        <v>197000</v>
      </c>
      <c r="J71" s="625">
        <v>165239.41391941393</v>
      </c>
      <c r="K71" s="625">
        <v>106270</v>
      </c>
      <c r="L71" s="625">
        <v>153948.79955947137</v>
      </c>
      <c r="M71" s="625">
        <v>0</v>
      </c>
      <c r="N71" s="625">
        <v>0</v>
      </c>
      <c r="O71" s="625">
        <v>0</v>
      </c>
      <c r="P71" s="625">
        <v>0</v>
      </c>
      <c r="Q71" s="625">
        <v>0</v>
      </c>
      <c r="R71" s="625">
        <v>0</v>
      </c>
      <c r="S71" s="614">
        <v>6081995.4823638694</v>
      </c>
      <c r="T71" s="70"/>
      <c r="U71" s="70"/>
    </row>
    <row r="72" spans="2:21" x14ac:dyDescent="0.25">
      <c r="B72" s="615" t="s">
        <v>718</v>
      </c>
      <c r="C72" s="626">
        <v>1331418.2826844642</v>
      </c>
      <c r="D72" s="627">
        <v>0</v>
      </c>
      <c r="E72" s="627">
        <v>968695.31498302927</v>
      </c>
      <c r="F72" s="627">
        <v>1022388.1533101045</v>
      </c>
      <c r="G72" s="627">
        <v>0</v>
      </c>
      <c r="H72" s="627">
        <v>100963.83480176212</v>
      </c>
      <c r="I72" s="627">
        <v>0</v>
      </c>
      <c r="J72" s="627">
        <v>79925.586080586087</v>
      </c>
      <c r="K72" s="627">
        <v>50000</v>
      </c>
      <c r="L72" s="627">
        <v>37538.200440528635</v>
      </c>
      <c r="M72" s="627">
        <v>564560.43956043955</v>
      </c>
      <c r="N72" s="627">
        <v>17000</v>
      </c>
      <c r="O72" s="627">
        <v>80400</v>
      </c>
      <c r="P72" s="627">
        <v>43482</v>
      </c>
      <c r="Q72" s="627">
        <v>939498.21854084812</v>
      </c>
      <c r="R72" s="627">
        <v>161000.81218274112</v>
      </c>
      <c r="S72" s="616">
        <v>5396870.8425845038</v>
      </c>
    </row>
    <row r="73" spans="2:21" x14ac:dyDescent="0.25">
      <c r="B73" s="628" t="s">
        <v>754</v>
      </c>
      <c r="C73" s="629">
        <v>816590.65365201782</v>
      </c>
      <c r="D73" s="630">
        <v>0</v>
      </c>
      <c r="E73" s="630">
        <v>1725089.1016836374</v>
      </c>
      <c r="F73" s="630">
        <v>0</v>
      </c>
      <c r="G73" s="630">
        <v>0</v>
      </c>
      <c r="H73" s="630">
        <v>0</v>
      </c>
      <c r="I73" s="630">
        <v>0</v>
      </c>
      <c r="J73" s="630">
        <v>0</v>
      </c>
      <c r="K73" s="630">
        <v>0</v>
      </c>
      <c r="L73" s="630">
        <v>0</v>
      </c>
      <c r="M73" s="630">
        <v>185439.56043956045</v>
      </c>
      <c r="N73" s="630">
        <v>0</v>
      </c>
      <c r="O73" s="630">
        <v>0</v>
      </c>
      <c r="P73" s="630">
        <v>0</v>
      </c>
      <c r="Q73" s="630">
        <v>581410.78278552473</v>
      </c>
      <c r="R73" s="630">
        <v>185134.18781725888</v>
      </c>
      <c r="S73" s="631">
        <v>3493664.286377999</v>
      </c>
    </row>
    <row r="90" spans="2:8" ht="16.5" thickBot="1" x14ac:dyDescent="0.3"/>
    <row r="91" spans="2:8" ht="16.5" thickBot="1" x14ac:dyDescent="0.3">
      <c r="B91" s="747" t="s">
        <v>346</v>
      </c>
      <c r="C91" s="748"/>
    </row>
    <row r="92" spans="2:8" x14ac:dyDescent="0.25">
      <c r="B92" s="608" t="s">
        <v>331</v>
      </c>
      <c r="C92" s="609" t="s">
        <v>74</v>
      </c>
      <c r="D92" s="70"/>
      <c r="E92" s="70"/>
      <c r="F92" s="70"/>
      <c r="G92" s="70"/>
      <c r="H92" s="70"/>
    </row>
    <row r="93" spans="2:8" x14ac:dyDescent="0.25">
      <c r="D93" s="70"/>
      <c r="E93" s="70"/>
      <c r="F93" s="70"/>
      <c r="G93" s="70"/>
      <c r="H93" s="70"/>
    </row>
    <row r="94" spans="2:8" x14ac:dyDescent="0.25">
      <c r="B94" s="610" t="s">
        <v>75</v>
      </c>
      <c r="C94" s="612" t="s">
        <v>2</v>
      </c>
      <c r="D94" s="70"/>
      <c r="E94" s="73"/>
      <c r="F94" s="70"/>
      <c r="G94" s="70"/>
      <c r="H94" s="70"/>
    </row>
    <row r="95" spans="2:8" x14ac:dyDescent="0.25">
      <c r="B95" s="613" t="s">
        <v>347</v>
      </c>
      <c r="C95" s="642">
        <v>0.16593350534053763</v>
      </c>
      <c r="D95" s="70"/>
      <c r="E95" s="70"/>
      <c r="F95" s="70"/>
      <c r="G95" s="70"/>
      <c r="H95" s="70"/>
    </row>
    <row r="96" spans="2:8" x14ac:dyDescent="0.25">
      <c r="B96" s="615" t="s">
        <v>348</v>
      </c>
      <c r="C96" s="644">
        <v>0.55868231804587043</v>
      </c>
      <c r="D96" s="70"/>
      <c r="E96" s="70"/>
      <c r="F96" s="70"/>
      <c r="G96" s="70"/>
      <c r="H96" s="70"/>
    </row>
    <row r="97" spans="2:8" x14ac:dyDescent="0.25">
      <c r="B97" s="628" t="s">
        <v>349</v>
      </c>
      <c r="C97" s="646">
        <v>0.28535852944395074</v>
      </c>
      <c r="D97" s="70"/>
      <c r="E97" s="70"/>
      <c r="F97" s="70"/>
      <c r="G97" s="70"/>
      <c r="H97" s="70"/>
    </row>
    <row r="98" spans="2:8" x14ac:dyDescent="0.25">
      <c r="B98" s="74"/>
      <c r="C98" s="75"/>
      <c r="D98" s="70"/>
      <c r="E98" s="70"/>
      <c r="F98" s="70"/>
      <c r="G98" s="70"/>
      <c r="H98" s="70"/>
    </row>
    <row r="99" spans="2:8" x14ac:dyDescent="0.25">
      <c r="B99" s="74"/>
      <c r="C99" s="75"/>
      <c r="D99" s="70"/>
      <c r="E99" s="70"/>
      <c r="F99" s="70"/>
      <c r="G99" s="70"/>
      <c r="H99" s="70"/>
    </row>
    <row r="100" spans="2:8" x14ac:dyDescent="0.25">
      <c r="B100" s="74"/>
      <c r="C100" s="75"/>
      <c r="D100" s="70"/>
      <c r="E100" s="70"/>
      <c r="F100" s="70"/>
      <c r="G100" s="70"/>
      <c r="H100" s="70"/>
    </row>
    <row r="104" spans="2:8" ht="16.5" thickBot="1" x14ac:dyDescent="0.3">
      <c r="D104" s="70"/>
      <c r="E104" s="70"/>
      <c r="F104" s="70"/>
      <c r="G104" s="70"/>
      <c r="H104" s="70"/>
    </row>
    <row r="105" spans="2:8" ht="16.5" thickBot="1" x14ac:dyDescent="0.3">
      <c r="B105" s="747" t="s">
        <v>346</v>
      </c>
      <c r="C105" s="748"/>
      <c r="D105" s="70"/>
      <c r="E105" s="70"/>
      <c r="F105" s="70"/>
      <c r="G105" s="70"/>
      <c r="H105" s="70"/>
    </row>
    <row r="106" spans="2:8" x14ac:dyDescent="0.25">
      <c r="B106" s="608" t="s">
        <v>331</v>
      </c>
      <c r="C106" s="609" t="s">
        <v>74</v>
      </c>
      <c r="D106" s="70"/>
      <c r="E106" s="73"/>
      <c r="F106" s="70"/>
      <c r="G106" s="70"/>
      <c r="H106" s="70"/>
    </row>
    <row r="107" spans="2:8" x14ac:dyDescent="0.25">
      <c r="D107" s="70"/>
      <c r="E107" s="70"/>
      <c r="F107" s="70"/>
      <c r="G107" s="70"/>
      <c r="H107" s="70"/>
    </row>
    <row r="108" spans="2:8" x14ac:dyDescent="0.25">
      <c r="B108" s="610" t="s">
        <v>75</v>
      </c>
      <c r="C108" s="612" t="s">
        <v>2</v>
      </c>
      <c r="D108" s="70"/>
      <c r="E108" s="70"/>
      <c r="F108" s="70"/>
      <c r="G108" s="70"/>
      <c r="H108" s="70"/>
    </row>
    <row r="109" spans="2:8" x14ac:dyDescent="0.25">
      <c r="B109" s="613" t="s">
        <v>350</v>
      </c>
      <c r="C109" s="642">
        <v>0.47836433430035491</v>
      </c>
      <c r="D109" s="70"/>
      <c r="E109" s="70"/>
      <c r="F109" s="70"/>
      <c r="G109" s="70"/>
      <c r="H109" s="70"/>
    </row>
    <row r="110" spans="2:8" x14ac:dyDescent="0.25">
      <c r="B110" s="628" t="s">
        <v>351</v>
      </c>
      <c r="C110" s="646">
        <v>0.53245637532847023</v>
      </c>
      <c r="D110" s="70"/>
      <c r="E110" s="70"/>
      <c r="F110" s="70"/>
      <c r="G110" s="70"/>
      <c r="H110" s="70"/>
    </row>
    <row r="111" spans="2:8" x14ac:dyDescent="0.25">
      <c r="B111" s="70"/>
      <c r="C111" s="70"/>
      <c r="D111" s="70"/>
      <c r="E111" s="70"/>
      <c r="F111" s="70"/>
      <c r="G111" s="70"/>
      <c r="H111" s="70"/>
    </row>
    <row r="112" spans="2:8" x14ac:dyDescent="0.25">
      <c r="B112" s="70"/>
      <c r="C112" s="70"/>
      <c r="D112" s="70"/>
      <c r="E112" s="70"/>
      <c r="F112" s="70"/>
      <c r="G112" s="70"/>
      <c r="H112" s="70"/>
    </row>
    <row r="113" spans="2:9" x14ac:dyDescent="0.25">
      <c r="B113" s="70"/>
      <c r="C113" s="70"/>
      <c r="D113" s="70"/>
      <c r="E113" s="70"/>
      <c r="F113" s="70"/>
      <c r="G113" s="70"/>
      <c r="H113" s="70"/>
    </row>
    <row r="114" spans="2:9" x14ac:dyDescent="0.25">
      <c r="B114" s="70"/>
      <c r="C114" s="70"/>
      <c r="D114" s="70"/>
      <c r="E114" s="70"/>
      <c r="F114" s="70"/>
      <c r="G114" s="70"/>
      <c r="H114" s="70"/>
    </row>
    <row r="117" spans="2:9" x14ac:dyDescent="0.25">
      <c r="B117" s="67"/>
      <c r="C117" s="67"/>
    </row>
    <row r="118" spans="2:9" x14ac:dyDescent="0.25">
      <c r="B118" s="67"/>
      <c r="C118" s="67"/>
    </row>
    <row r="119" spans="2:9" ht="18.75" x14ac:dyDescent="0.25">
      <c r="I119" s="76"/>
    </row>
    <row r="120" spans="2:9" ht="16.5" thickBot="1" x14ac:dyDescent="0.3">
      <c r="B120" s="67"/>
      <c r="C120" s="67"/>
      <c r="D120" s="70"/>
      <c r="E120" s="70"/>
      <c r="F120" s="70"/>
      <c r="G120" s="70"/>
      <c r="H120" s="70"/>
    </row>
    <row r="121" spans="2:9" ht="16.5" thickBot="1" x14ac:dyDescent="0.3">
      <c r="B121" s="747" t="s">
        <v>352</v>
      </c>
      <c r="C121" s="748"/>
      <c r="D121" s="70"/>
      <c r="E121" s="70"/>
      <c r="F121" s="70"/>
      <c r="G121" s="70"/>
      <c r="H121" s="70"/>
    </row>
    <row r="122" spans="2:9" x14ac:dyDescent="0.25">
      <c r="B122" s="608" t="s">
        <v>331</v>
      </c>
      <c r="C122" s="609" t="s">
        <v>74</v>
      </c>
      <c r="D122" s="70"/>
      <c r="E122" s="70"/>
      <c r="F122" s="70"/>
      <c r="G122" s="70"/>
      <c r="H122" s="70"/>
    </row>
    <row r="123" spans="2:9" x14ac:dyDescent="0.25">
      <c r="D123" s="70"/>
      <c r="E123" s="70"/>
      <c r="F123" s="70"/>
      <c r="G123" s="70"/>
      <c r="H123" s="70"/>
    </row>
    <row r="124" spans="2:9" x14ac:dyDescent="0.25">
      <c r="B124" s="610" t="s">
        <v>75</v>
      </c>
      <c r="C124" s="612" t="s">
        <v>2</v>
      </c>
      <c r="D124" s="70"/>
      <c r="E124" s="70"/>
      <c r="F124" s="70"/>
      <c r="G124" s="70"/>
      <c r="H124" s="70"/>
    </row>
    <row r="125" spans="2:9" ht="30" x14ac:dyDescent="0.25">
      <c r="B125" s="619" t="s">
        <v>353</v>
      </c>
      <c r="C125" s="642">
        <v>0.04</v>
      </c>
      <c r="D125" s="70"/>
      <c r="E125" s="70"/>
      <c r="F125" s="70"/>
      <c r="G125" s="70"/>
      <c r="H125" s="70"/>
    </row>
    <row r="126" spans="2:9" ht="30" x14ac:dyDescent="0.25">
      <c r="B126" s="645" t="s">
        <v>354</v>
      </c>
      <c r="C126" s="646">
        <v>0.95979166666666671</v>
      </c>
      <c r="D126" s="70"/>
      <c r="E126" s="70"/>
      <c r="F126" s="70"/>
      <c r="G126" s="70"/>
      <c r="H126" s="70"/>
    </row>
    <row r="127" spans="2:9" x14ac:dyDescent="0.25">
      <c r="B127"/>
      <c r="C127"/>
      <c r="D127" s="70"/>
      <c r="E127" s="70"/>
      <c r="F127" s="70"/>
      <c r="G127" s="70"/>
      <c r="H127" s="70"/>
    </row>
    <row r="128" spans="2:9" x14ac:dyDescent="0.25">
      <c r="B128" s="74"/>
      <c r="C128" s="75"/>
      <c r="D128" s="70"/>
      <c r="E128" s="70"/>
      <c r="F128" s="70"/>
      <c r="G128" s="70"/>
      <c r="H128" s="70"/>
    </row>
    <row r="129" spans="2:14" x14ac:dyDescent="0.25">
      <c r="B129" s="74"/>
      <c r="C129" s="75"/>
      <c r="D129" s="70"/>
      <c r="E129" s="70"/>
      <c r="F129" s="70"/>
      <c r="G129" s="70"/>
      <c r="H129" s="70"/>
    </row>
    <row r="134" spans="2:14" ht="18.75" x14ac:dyDescent="0.25">
      <c r="N134" s="76"/>
    </row>
    <row r="136" spans="2:14" ht="16.5" thickBot="1" x14ac:dyDescent="0.3"/>
    <row r="137" spans="2:14" ht="16.5" thickBot="1" x14ac:dyDescent="0.3">
      <c r="B137" s="747" t="s">
        <v>355</v>
      </c>
      <c r="C137" s="748"/>
    </row>
    <row r="138" spans="2:14" x14ac:dyDescent="0.25">
      <c r="B138" s="608" t="s">
        <v>331</v>
      </c>
      <c r="C138" s="609" t="s">
        <v>74</v>
      </c>
    </row>
    <row r="140" spans="2:14" x14ac:dyDescent="0.25">
      <c r="B140" s="610" t="s">
        <v>75</v>
      </c>
      <c r="C140" s="612" t="s">
        <v>2</v>
      </c>
      <c r="D140" s="70"/>
      <c r="E140" s="70"/>
      <c r="F140" s="70"/>
      <c r="G140" s="70"/>
      <c r="H140" s="70"/>
    </row>
    <row r="141" spans="2:14" ht="30" x14ac:dyDescent="0.25">
      <c r="B141" s="619" t="s">
        <v>356</v>
      </c>
      <c r="C141" s="642">
        <v>0.34715623545359831</v>
      </c>
      <c r="D141" s="70"/>
      <c r="E141" s="70"/>
      <c r="F141" s="70"/>
      <c r="G141" s="70"/>
      <c r="H141" s="70"/>
    </row>
    <row r="142" spans="2:14" ht="30" x14ac:dyDescent="0.25">
      <c r="B142" s="643" t="s">
        <v>357</v>
      </c>
      <c r="C142" s="644">
        <v>0.27921906465916041</v>
      </c>
      <c r="D142" s="70"/>
      <c r="E142" s="70"/>
      <c r="F142" s="70"/>
      <c r="G142" s="70"/>
      <c r="H142" s="70"/>
    </row>
    <row r="143" spans="2:14" x14ac:dyDescent="0.25">
      <c r="B143" s="645" t="s">
        <v>358</v>
      </c>
      <c r="C143" s="646">
        <v>0.35199596326395943</v>
      </c>
      <c r="D143" s="70"/>
      <c r="E143" s="70"/>
      <c r="F143" s="70"/>
      <c r="G143" s="70"/>
      <c r="H143" s="70"/>
    </row>
    <row r="144" spans="2:14" x14ac:dyDescent="0.25">
      <c r="B144" s="70"/>
      <c r="C144" s="70"/>
      <c r="D144" s="70"/>
      <c r="E144" s="70"/>
      <c r="F144" s="70"/>
      <c r="G144" s="70"/>
      <c r="H144" s="70"/>
    </row>
    <row r="145" spans="2:8" x14ac:dyDescent="0.25">
      <c r="B145" s="752"/>
      <c r="C145" s="752"/>
      <c r="D145" s="70"/>
      <c r="E145" s="70"/>
      <c r="F145" s="70"/>
      <c r="G145" s="70"/>
      <c r="H145" s="70"/>
    </row>
    <row r="146" spans="2:8" x14ac:dyDescent="0.25">
      <c r="B146" s="74"/>
      <c r="C146" s="75"/>
      <c r="D146" s="70"/>
      <c r="E146" s="70"/>
      <c r="F146" s="70"/>
      <c r="G146" s="70"/>
      <c r="H146" s="70"/>
    </row>
    <row r="147" spans="2:8" x14ac:dyDescent="0.25">
      <c r="B147" s="74"/>
      <c r="C147" s="75"/>
      <c r="D147" s="70"/>
      <c r="E147" s="70"/>
      <c r="F147" s="70"/>
      <c r="G147" s="70"/>
      <c r="H147" s="70"/>
    </row>
    <row r="148" spans="2:8" x14ac:dyDescent="0.25">
      <c r="B148" s="74"/>
      <c r="C148" s="75"/>
      <c r="D148" s="70"/>
      <c r="E148" s="70"/>
      <c r="F148" s="70"/>
      <c r="G148" s="70"/>
      <c r="H148" s="70"/>
    </row>
    <row r="149" spans="2:8" ht="16.5" thickBot="1" x14ac:dyDescent="0.3"/>
    <row r="150" spans="2:8" ht="16.5" thickBot="1" x14ac:dyDescent="0.3">
      <c r="B150" s="747" t="s">
        <v>359</v>
      </c>
      <c r="C150" s="748"/>
    </row>
    <row r="151" spans="2:8" x14ac:dyDescent="0.25">
      <c r="B151" s="70"/>
      <c r="C151" s="70"/>
    </row>
    <row r="153" spans="2:8" x14ac:dyDescent="0.25">
      <c r="B153" s="613"/>
      <c r="C153" s="622" t="s">
        <v>331</v>
      </c>
      <c r="D153" s="632"/>
      <c r="E153" s="632"/>
      <c r="F153" s="632"/>
      <c r="G153" s="633"/>
      <c r="H153" s="70"/>
    </row>
    <row r="154" spans="2:8" x14ac:dyDescent="0.25">
      <c r="B154" s="610" t="s">
        <v>75</v>
      </c>
      <c r="C154" s="613">
        <v>2012</v>
      </c>
      <c r="D154" s="623">
        <v>2013</v>
      </c>
      <c r="E154" s="623">
        <v>2014</v>
      </c>
      <c r="F154" s="623">
        <v>2015</v>
      </c>
      <c r="G154" s="612" t="s">
        <v>73</v>
      </c>
      <c r="H154" s="70"/>
    </row>
    <row r="155" spans="2:8" x14ac:dyDescent="0.25">
      <c r="B155" s="613" t="s">
        <v>360</v>
      </c>
      <c r="C155" s="634">
        <v>273381</v>
      </c>
      <c r="D155" s="635">
        <v>57928</v>
      </c>
      <c r="E155" s="635">
        <v>136152</v>
      </c>
      <c r="F155" s="635">
        <v>31962</v>
      </c>
      <c r="G155" s="647">
        <v>499423</v>
      </c>
      <c r="H155" s="70"/>
    </row>
    <row r="156" spans="2:8" x14ac:dyDescent="0.25">
      <c r="B156" s="615" t="s">
        <v>361</v>
      </c>
      <c r="C156" s="636">
        <v>269017</v>
      </c>
      <c r="D156" s="637">
        <v>72891</v>
      </c>
      <c r="E156" s="637">
        <v>139508</v>
      </c>
      <c r="F156" s="637">
        <v>31962</v>
      </c>
      <c r="G156" s="648">
        <v>513378</v>
      </c>
      <c r="H156" s="70"/>
    </row>
    <row r="157" spans="2:8" x14ac:dyDescent="0.25">
      <c r="B157" s="628" t="s">
        <v>362</v>
      </c>
      <c r="C157" s="638">
        <v>292077</v>
      </c>
      <c r="D157" s="639">
        <v>79187</v>
      </c>
      <c r="E157" s="639">
        <v>141595</v>
      </c>
      <c r="F157" s="639">
        <v>31962</v>
      </c>
      <c r="G157" s="649">
        <v>544821</v>
      </c>
    </row>
    <row r="158" spans="2:8" ht="31.15" customHeight="1" x14ac:dyDescent="0.25">
      <c r="B158" s="752"/>
      <c r="C158" s="752"/>
    </row>
    <row r="165" spans="2:8" ht="16.5" thickBot="1" x14ac:dyDescent="0.3"/>
    <row r="166" spans="2:8" ht="16.5" thickBot="1" x14ac:dyDescent="0.3">
      <c r="B166" s="747" t="s">
        <v>363</v>
      </c>
      <c r="C166" s="748"/>
    </row>
    <row r="167" spans="2:8" x14ac:dyDescent="0.25">
      <c r="B167" s="640" t="s">
        <v>364</v>
      </c>
      <c r="C167" s="641" t="s">
        <v>74</v>
      </c>
    </row>
    <row r="169" spans="2:8" x14ac:dyDescent="0.25">
      <c r="B169" s="613"/>
      <c r="C169" s="622" t="s">
        <v>331</v>
      </c>
      <c r="D169" s="632"/>
      <c r="E169" s="632"/>
      <c r="F169" s="632"/>
      <c r="G169" s="633"/>
      <c r="H169" s="70"/>
    </row>
    <row r="170" spans="2:8" x14ac:dyDescent="0.25">
      <c r="B170" s="610" t="s">
        <v>75</v>
      </c>
      <c r="C170" s="613">
        <v>2012</v>
      </c>
      <c r="D170" s="623">
        <v>2013</v>
      </c>
      <c r="E170" s="623">
        <v>2014</v>
      </c>
      <c r="F170" s="623">
        <v>2015</v>
      </c>
      <c r="G170" s="612" t="s">
        <v>73</v>
      </c>
      <c r="H170" s="70"/>
    </row>
    <row r="171" spans="2:8" x14ac:dyDescent="0.25">
      <c r="B171" s="613" t="s">
        <v>365</v>
      </c>
      <c r="C171" s="634">
        <v>2500</v>
      </c>
      <c r="D171" s="635">
        <v>22000</v>
      </c>
      <c r="E171" s="635">
        <v>0</v>
      </c>
      <c r="F171" s="635">
        <v>1910</v>
      </c>
      <c r="G171" s="647">
        <v>26410</v>
      </c>
      <c r="H171" s="70"/>
    </row>
    <row r="172" spans="2:8" x14ac:dyDescent="0.25">
      <c r="B172" s="615" t="s">
        <v>366</v>
      </c>
      <c r="C172" s="636">
        <v>2500</v>
      </c>
      <c r="D172" s="637">
        <v>8788</v>
      </c>
      <c r="E172" s="637">
        <v>0</v>
      </c>
      <c r="F172" s="637">
        <v>1910</v>
      </c>
      <c r="G172" s="648">
        <v>13198</v>
      </c>
      <c r="H172" s="70"/>
    </row>
    <row r="173" spans="2:8" x14ac:dyDescent="0.25">
      <c r="B173" s="628" t="s">
        <v>367</v>
      </c>
      <c r="C173" s="638">
        <v>2500</v>
      </c>
      <c r="D173" s="639">
        <v>30788</v>
      </c>
      <c r="E173" s="639">
        <v>2418</v>
      </c>
      <c r="F173" s="639">
        <v>1910</v>
      </c>
      <c r="G173" s="649">
        <v>37616</v>
      </c>
    </row>
    <row r="179" spans="2:8" x14ac:dyDescent="0.25">
      <c r="B179" s="70"/>
      <c r="C179" s="70"/>
      <c r="D179" s="70"/>
      <c r="E179" s="70"/>
      <c r="F179" s="70"/>
      <c r="G179" s="70"/>
      <c r="H179" s="70"/>
    </row>
    <row r="180" spans="2:8" x14ac:dyDescent="0.25">
      <c r="B180" s="70"/>
      <c r="C180" s="70"/>
      <c r="D180" s="70"/>
      <c r="E180" s="70"/>
      <c r="F180" s="70"/>
      <c r="G180" s="70"/>
      <c r="H180" s="70"/>
    </row>
    <row r="181" spans="2:8" x14ac:dyDescent="0.25">
      <c r="B181" s="70"/>
      <c r="C181" s="70"/>
      <c r="D181" s="70"/>
      <c r="E181" s="70"/>
      <c r="F181" s="70"/>
      <c r="G181" s="70"/>
      <c r="H181" s="70"/>
    </row>
    <row r="182" spans="2:8" x14ac:dyDescent="0.25">
      <c r="B182" s="70"/>
      <c r="C182" s="70"/>
      <c r="D182" s="70"/>
      <c r="E182" s="70"/>
      <c r="F182" s="70"/>
      <c r="G182" s="70"/>
      <c r="H182" s="70"/>
    </row>
    <row r="183" spans="2:8" x14ac:dyDescent="0.25">
      <c r="B183" s="70"/>
      <c r="C183" s="70"/>
      <c r="D183" s="70"/>
      <c r="E183" s="70"/>
      <c r="F183" s="70"/>
      <c r="G183" s="70"/>
      <c r="H183" s="70"/>
    </row>
    <row r="184" spans="2:8" x14ac:dyDescent="0.25">
      <c r="B184" s="70"/>
      <c r="C184" s="70"/>
      <c r="D184" s="70"/>
      <c r="E184" s="70"/>
      <c r="F184" s="70"/>
      <c r="G184" s="70"/>
      <c r="H184" s="70"/>
    </row>
    <row r="185" spans="2:8" x14ac:dyDescent="0.25">
      <c r="B185" s="70"/>
      <c r="C185" s="70"/>
      <c r="D185" s="70"/>
      <c r="E185" s="70"/>
      <c r="F185" s="70"/>
      <c r="G185" s="70"/>
      <c r="H185" s="70"/>
    </row>
    <row r="186" spans="2:8" x14ac:dyDescent="0.25">
      <c r="B186" s="70"/>
      <c r="C186" s="70"/>
      <c r="D186" s="70"/>
      <c r="E186" s="70"/>
      <c r="F186" s="70"/>
      <c r="G186" s="70"/>
      <c r="H186" s="70"/>
    </row>
    <row r="187" spans="2:8" x14ac:dyDescent="0.25">
      <c r="B187" s="70"/>
      <c r="C187" s="70"/>
      <c r="D187" s="70"/>
      <c r="E187" s="70"/>
      <c r="F187" s="70"/>
      <c r="G187" s="70"/>
      <c r="H187" s="70"/>
    </row>
    <row r="188" spans="2:8" x14ac:dyDescent="0.25">
      <c r="B188" s="70"/>
      <c r="C188" s="70"/>
      <c r="D188" s="70"/>
    </row>
    <row r="189" spans="2:8" x14ac:dyDescent="0.25">
      <c r="B189" s="70"/>
      <c r="C189" s="70"/>
      <c r="D189" s="70"/>
    </row>
    <row r="190" spans="2:8" x14ac:dyDescent="0.25">
      <c r="B190" s="70"/>
      <c r="C190" s="70"/>
      <c r="D190" s="70"/>
    </row>
    <row r="191" spans="2:8" x14ac:dyDescent="0.25">
      <c r="B191" s="70"/>
      <c r="C191" s="70"/>
      <c r="D191" s="70"/>
    </row>
    <row r="192" spans="2:8" x14ac:dyDescent="0.25">
      <c r="B192" s="70"/>
      <c r="C192" s="70"/>
      <c r="D192" s="70"/>
    </row>
    <row r="193" spans="2:4" x14ac:dyDescent="0.25">
      <c r="B193" s="70"/>
      <c r="C193" s="70"/>
      <c r="D193" s="70"/>
    </row>
    <row r="194" spans="2:4" x14ac:dyDescent="0.25">
      <c r="B194" s="70"/>
      <c r="C194" s="70"/>
      <c r="D194" s="70"/>
    </row>
    <row r="195" spans="2:4" x14ac:dyDescent="0.25">
      <c r="B195" s="70"/>
      <c r="C195" s="70"/>
      <c r="D195" s="70"/>
    </row>
    <row r="196" spans="2:4" x14ac:dyDescent="0.25">
      <c r="B196" s="70"/>
      <c r="C196" s="70"/>
      <c r="D196" s="70"/>
    </row>
    <row r="197" spans="2:4" x14ac:dyDescent="0.25">
      <c r="B197" s="70"/>
      <c r="C197" s="70"/>
      <c r="D197" s="70"/>
    </row>
    <row r="198" spans="2:4" x14ac:dyDescent="0.25">
      <c r="B198" s="70"/>
      <c r="C198" s="70"/>
      <c r="D198" s="70"/>
    </row>
  </sheetData>
  <mergeCells count="13">
    <mergeCell ref="B166:C166"/>
    <mergeCell ref="B2:M2"/>
    <mergeCell ref="B5:C5"/>
    <mergeCell ref="B55:C55"/>
    <mergeCell ref="B68:C68"/>
    <mergeCell ref="B91:C91"/>
    <mergeCell ref="B105:C105"/>
    <mergeCell ref="B121:C121"/>
    <mergeCell ref="B137:C137"/>
    <mergeCell ref="B145:C145"/>
    <mergeCell ref="B150:C150"/>
    <mergeCell ref="B158:C158"/>
    <mergeCell ref="B32:C32"/>
  </mergeCells>
  <pageMargins left="0.7" right="0.7" top="0.75" bottom="0.75" header="0.3" footer="0.3"/>
  <pageSetup orientation="portrait" r:id="rId11"/>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6"/>
  <sheetViews>
    <sheetView topLeftCell="A22" zoomScaleNormal="100" workbookViewId="0">
      <selection activeCell="A42" sqref="A42"/>
    </sheetView>
  </sheetViews>
  <sheetFormatPr defaultColWidth="8.85546875" defaultRowHeight="15" x14ac:dyDescent="0.25"/>
  <cols>
    <col min="1" max="1" width="8.85546875" style="41"/>
    <col min="2" max="2" width="33.28515625" style="41" customWidth="1"/>
    <col min="3" max="3" width="27.140625" style="65" customWidth="1"/>
    <col min="4" max="5" width="27.140625" style="41" customWidth="1"/>
    <col min="6" max="6" width="15.85546875" style="41" customWidth="1"/>
    <col min="7" max="7" width="67.7109375" style="41" customWidth="1"/>
    <col min="8" max="16384" width="8.85546875" style="41"/>
  </cols>
  <sheetData>
    <row r="1" spans="2:9" x14ac:dyDescent="0.25">
      <c r="C1" s="41"/>
    </row>
    <row r="2" spans="2:9" ht="44.45" customHeight="1" x14ac:dyDescent="0.25">
      <c r="B2" s="755" t="s">
        <v>445</v>
      </c>
      <c r="C2" s="755"/>
      <c r="D2" s="755"/>
      <c r="E2" s="755"/>
      <c r="F2" s="755"/>
      <c r="G2" s="755"/>
    </row>
    <row r="3" spans="2:9" ht="21" customHeight="1" x14ac:dyDescent="0.25">
      <c r="C3" s="41"/>
    </row>
    <row r="4" spans="2:9" ht="25.15" customHeight="1" x14ac:dyDescent="0.25">
      <c r="B4" s="42" t="s">
        <v>446</v>
      </c>
      <c r="C4" s="43"/>
      <c r="D4" s="43"/>
      <c r="E4" s="43"/>
      <c r="F4" s="43"/>
      <c r="G4" s="42"/>
      <c r="H4" s="44"/>
      <c r="I4" s="44"/>
    </row>
    <row r="5" spans="2:9" x14ac:dyDescent="0.25">
      <c r="C5" s="41"/>
    </row>
    <row r="6" spans="2:9" ht="18.600000000000001" customHeight="1" x14ac:dyDescent="0.25">
      <c r="B6" s="756" t="s">
        <v>447</v>
      </c>
      <c r="C6" s="757"/>
      <c r="D6" s="45" t="s">
        <v>786</v>
      </c>
      <c r="E6" s="45" t="s">
        <v>448</v>
      </c>
      <c r="F6" s="46" t="s">
        <v>449</v>
      </c>
      <c r="G6" s="47" t="s">
        <v>450</v>
      </c>
    </row>
    <row r="7" spans="2:9" ht="27" customHeight="1" x14ac:dyDescent="0.25">
      <c r="B7" s="48" t="s">
        <v>463</v>
      </c>
      <c r="C7" s="49">
        <v>42000</v>
      </c>
      <c r="D7" s="49">
        <f>SUMIFS(Database!K5:K500,Database!I5:I500,"GCA",Database!H5:H500,"Camp")</f>
        <v>45516</v>
      </c>
      <c r="E7" s="49">
        <f>SUMIFS(Database!K5:K500,Database!I5:I500,"GCA",Database!H5:H500,"Camp")-SUMIFS(Database!K5:K500,Database!I5:I500,"GCA",Database!H5:H500,"Camp",Database!O5:O500,"None")</f>
        <v>45275</v>
      </c>
      <c r="F7" s="50">
        <f t="shared" ref="F7:F12" si="0">E7/D7</f>
        <v>0.99470515862553832</v>
      </c>
      <c r="G7" s="51" t="s">
        <v>451</v>
      </c>
    </row>
    <row r="8" spans="2:9" ht="27" customHeight="1" x14ac:dyDescent="0.25">
      <c r="B8" s="48" t="s">
        <v>464</v>
      </c>
      <c r="C8" s="49">
        <v>33500</v>
      </c>
      <c r="D8" s="49">
        <f>SUMIFS(Database!K5:K500,Database!I5:I500,"NGCA",Database!H5:H500,"Camp")</f>
        <v>32514</v>
      </c>
      <c r="E8" s="49">
        <f>SUMIFS(Database!K5:K500,Database!I5:I500,"NGCA",Database!H5:H500,"Camp")-SUMIFS(Database!K5:K500,Database!I5:I500,"NGCA",Database!H5:H500,"Camp",Database!O5:O500,"None")</f>
        <v>32514</v>
      </c>
      <c r="F8" s="50">
        <f t="shared" si="0"/>
        <v>1</v>
      </c>
      <c r="G8" s="51"/>
    </row>
    <row r="9" spans="2:9" ht="27" customHeight="1" x14ac:dyDescent="0.25">
      <c r="B9" s="48" t="s">
        <v>759</v>
      </c>
      <c r="C9" s="49">
        <v>10000</v>
      </c>
      <c r="D9" s="49">
        <f>SUMIFS(Database!K5:K500,Database!H5:H500,"Village")</f>
        <v>7660</v>
      </c>
      <c r="E9" s="49">
        <f>SUMIFS(Database!K5:K500,Database!H5:H500,"Village")-SUMIFS(Database!K5:K500,Database!H5:H500,"Village",Database!O5:O500,"None")</f>
        <v>6795</v>
      </c>
      <c r="F9" s="50">
        <f t="shared" si="0"/>
        <v>0.88707571801566576</v>
      </c>
      <c r="G9" s="51"/>
    </row>
    <row r="10" spans="2:9" ht="27" customHeight="1" x14ac:dyDescent="0.25">
      <c r="B10" s="48" t="s">
        <v>466</v>
      </c>
      <c r="C10" s="49">
        <v>20000</v>
      </c>
      <c r="D10" s="49">
        <v>20000</v>
      </c>
      <c r="E10" s="77">
        <v>2500</v>
      </c>
      <c r="F10" s="50">
        <f t="shared" si="0"/>
        <v>0.125</v>
      </c>
      <c r="G10" s="78" t="s">
        <v>760</v>
      </c>
    </row>
    <row r="11" spans="2:9" ht="27" customHeight="1" x14ac:dyDescent="0.25">
      <c r="B11" s="48" t="s">
        <v>465</v>
      </c>
      <c r="C11" s="49">
        <v>10000</v>
      </c>
      <c r="D11" s="49">
        <v>10000</v>
      </c>
      <c r="E11" s="53">
        <f>SUMIFS(Database!K5:K500,Database!H5:H500,"School")-SUMIFS(Database!K5:K500,Database!H5:H500,"School",Database!O5:O500,"None")</f>
        <v>2150</v>
      </c>
      <c r="F11" s="50">
        <f t="shared" si="0"/>
        <v>0.215</v>
      </c>
      <c r="G11" s="52"/>
    </row>
    <row r="12" spans="2:9" ht="27" customHeight="1" x14ac:dyDescent="0.25">
      <c r="B12" s="340" t="s">
        <v>2</v>
      </c>
      <c r="C12" s="341">
        <f>SUM(C7:C11)</f>
        <v>115500</v>
      </c>
      <c r="D12" s="341">
        <f t="shared" ref="D12:E12" si="1">SUM(D7:D11)</f>
        <v>115690</v>
      </c>
      <c r="E12" s="342">
        <f t="shared" si="1"/>
        <v>89234</v>
      </c>
      <c r="F12" s="343">
        <f t="shared" si="0"/>
        <v>0.77131990664707406</v>
      </c>
      <c r="G12" s="344"/>
    </row>
    <row r="13" spans="2:9" x14ac:dyDescent="0.25">
      <c r="C13" s="54"/>
    </row>
    <row r="14" spans="2:9" x14ac:dyDescent="0.25">
      <c r="B14" s="55"/>
      <c r="C14" s="54"/>
    </row>
    <row r="15" spans="2:9" x14ac:dyDescent="0.25">
      <c r="C15" s="54"/>
    </row>
    <row r="16" spans="2:9" x14ac:dyDescent="0.25">
      <c r="C16" s="54"/>
    </row>
    <row r="17" spans="2:9" ht="28.15" customHeight="1" x14ac:dyDescent="0.25">
      <c r="B17" s="42" t="s">
        <v>452</v>
      </c>
      <c r="C17" s="43"/>
      <c r="D17" s="43"/>
      <c r="E17" s="43"/>
      <c r="F17" s="43"/>
      <c r="G17" s="42"/>
      <c r="H17" s="56"/>
      <c r="I17" s="56"/>
    </row>
    <row r="18" spans="2:9" x14ac:dyDescent="0.25">
      <c r="C18" s="54"/>
    </row>
    <row r="19" spans="2:9" ht="58.9" customHeight="1" thickBot="1" x14ac:dyDescent="0.3">
      <c r="B19" s="57" t="s">
        <v>453</v>
      </c>
      <c r="C19" s="58" t="s">
        <v>454</v>
      </c>
      <c r="D19" s="45" t="s">
        <v>455</v>
      </c>
      <c r="E19" s="59" t="s">
        <v>456</v>
      </c>
      <c r="F19" s="59" t="s">
        <v>457</v>
      </c>
      <c r="G19" s="47" t="s">
        <v>450</v>
      </c>
    </row>
    <row r="20" spans="2:9" ht="67.150000000000006" customHeight="1" thickBot="1" x14ac:dyDescent="0.3">
      <c r="B20" s="737" t="s">
        <v>880</v>
      </c>
      <c r="C20" s="85">
        <v>1</v>
      </c>
      <c r="D20" s="85">
        <f>SituationAnalysis!F57+GETPIVOTDATA("% Water coverage",SituationAnalysis!$B$13)</f>
        <v>0.95422463276836156</v>
      </c>
      <c r="E20" s="85">
        <f>D20</f>
        <v>0.95422463276836156</v>
      </c>
      <c r="F20" s="86" t="s">
        <v>458</v>
      </c>
      <c r="G20" s="63"/>
    </row>
    <row r="21" spans="2:9" ht="67.150000000000006" customHeight="1" x14ac:dyDescent="0.25">
      <c r="B21" s="83" t="s">
        <v>658</v>
      </c>
      <c r="C21" s="298">
        <v>1</v>
      </c>
      <c r="D21" s="298">
        <f>GETPIVOTDATA("% Water coverage",SituationAnalysis!$B$13,"Type","GCA")</f>
        <v>0.98990845966813767</v>
      </c>
      <c r="E21" s="298">
        <v>0.93</v>
      </c>
      <c r="F21" s="299" t="s">
        <v>458</v>
      </c>
      <c r="G21" s="84"/>
    </row>
    <row r="22" spans="2:9" ht="67.150000000000006" customHeight="1" x14ac:dyDescent="0.25">
      <c r="B22" s="82" t="s">
        <v>659</v>
      </c>
      <c r="C22" s="300">
        <v>1</v>
      </c>
      <c r="D22" s="300">
        <f>GETPIVOTDATA("% Water coverage",SituationAnalysis!$B$13,"Type","NGCA")</f>
        <v>0.90223539994003399</v>
      </c>
      <c r="E22" s="300">
        <v>0.77</v>
      </c>
      <c r="F22" s="301" t="s">
        <v>458</v>
      </c>
      <c r="G22" s="81"/>
    </row>
    <row r="25" spans="2:9" ht="27.6" customHeight="1" thickBot="1" x14ac:dyDescent="0.3">
      <c r="B25" s="57" t="s">
        <v>459</v>
      </c>
      <c r="C25" s="58" t="s">
        <v>454</v>
      </c>
      <c r="D25" s="45" t="s">
        <v>455</v>
      </c>
      <c r="E25" s="59" t="s">
        <v>460</v>
      </c>
      <c r="F25" s="59" t="s">
        <v>457</v>
      </c>
      <c r="G25" s="47" t="s">
        <v>450</v>
      </c>
    </row>
    <row r="26" spans="2:9" ht="67.150000000000006" customHeight="1" thickBot="1" x14ac:dyDescent="0.3">
      <c r="B26" s="737" t="s">
        <v>881</v>
      </c>
      <c r="C26" s="60">
        <v>1</v>
      </c>
      <c r="D26" s="60">
        <f>GETPIVOTDATA("% Latrine coverage",SituationAnalysis!$B$13)</f>
        <v>0.89873898305084743</v>
      </c>
      <c r="E26" s="60">
        <f>GETPIVOTDATA("% Coverage Permanent Latrine",SituationAnalysis!$B$252)</f>
        <v>0.58078644067796614</v>
      </c>
      <c r="F26" s="61" t="s">
        <v>458</v>
      </c>
      <c r="G26" s="62"/>
    </row>
    <row r="29" spans="2:9" ht="27.6" customHeight="1" thickBot="1" x14ac:dyDescent="0.3">
      <c r="B29" s="57" t="s">
        <v>461</v>
      </c>
      <c r="C29" s="58" t="s">
        <v>454</v>
      </c>
      <c r="D29" s="45" t="s">
        <v>455</v>
      </c>
      <c r="E29" s="59" t="s">
        <v>460</v>
      </c>
      <c r="F29" s="59" t="s">
        <v>457</v>
      </c>
      <c r="G29" s="47" t="s">
        <v>450</v>
      </c>
    </row>
    <row r="30" spans="2:9" ht="67.150000000000006" customHeight="1" thickBot="1" x14ac:dyDescent="0.3">
      <c r="B30" s="737" t="s">
        <v>882</v>
      </c>
      <c r="C30" s="60">
        <v>1</v>
      </c>
      <c r="D30" s="60">
        <f>GETPIVOTDATA("Coverage HP session at HH level %",SituationAnalysis!$B$425)</f>
        <v>0.60547570607946366</v>
      </c>
      <c r="E30" s="60" t="s">
        <v>462</v>
      </c>
      <c r="F30" s="64" t="s">
        <v>458</v>
      </c>
      <c r="G30" s="62"/>
    </row>
    <row r="31" spans="2:9" x14ac:dyDescent="0.25">
      <c r="F31" s="66"/>
    </row>
    <row r="32" spans="2:9" x14ac:dyDescent="0.25">
      <c r="F32" s="66"/>
    </row>
    <row r="33" spans="2:9" ht="21" x14ac:dyDescent="0.25">
      <c r="G33" s="758"/>
      <c r="H33" s="759"/>
      <c r="I33" s="759"/>
    </row>
    <row r="34" spans="2:9" s="324" customFormat="1" ht="25.15" customHeight="1" x14ac:dyDescent="0.25">
      <c r="B34" s="325" t="s">
        <v>719</v>
      </c>
      <c r="C34" s="326"/>
      <c r="D34" s="326"/>
      <c r="E34" s="326"/>
      <c r="F34" s="326"/>
      <c r="G34" s="325"/>
      <c r="H34" s="327"/>
      <c r="I34" s="327"/>
    </row>
    <row r="37" spans="2:9" x14ac:dyDescent="0.25">
      <c r="B37" s="328" t="s">
        <v>720</v>
      </c>
      <c r="C37" s="329"/>
      <c r="D37" s="330" t="s">
        <v>721</v>
      </c>
    </row>
    <row r="38" spans="2:9" x14ac:dyDescent="0.25">
      <c r="B38" s="331" t="s">
        <v>722</v>
      </c>
      <c r="C38" s="332">
        <f>F12</f>
        <v>0.77131990664707406</v>
      </c>
      <c r="D38" s="333">
        <v>0.4</v>
      </c>
    </row>
    <row r="39" spans="2:9" x14ac:dyDescent="0.25">
      <c r="B39" s="334" t="s">
        <v>723</v>
      </c>
      <c r="C39" s="335">
        <f>1-C38</f>
        <v>0.22868009335292594</v>
      </c>
      <c r="D39" s="336">
        <v>0.3</v>
      </c>
    </row>
    <row r="40" spans="2:9" x14ac:dyDescent="0.25">
      <c r="B40" s="334" t="s">
        <v>721</v>
      </c>
      <c r="C40" s="335">
        <v>0.5</v>
      </c>
      <c r="D40" s="336">
        <v>0.3</v>
      </c>
    </row>
    <row r="41" spans="2:9" x14ac:dyDescent="0.25">
      <c r="B41" s="337" t="s">
        <v>721</v>
      </c>
      <c r="C41" s="338">
        <v>0.5</v>
      </c>
      <c r="D41" s="339">
        <v>1</v>
      </c>
    </row>
    <row r="45" spans="2:9" x14ac:dyDescent="0.25">
      <c r="B45" s="328" t="s">
        <v>724</v>
      </c>
      <c r="C45" s="329"/>
      <c r="D45" s="352" t="s">
        <v>638</v>
      </c>
    </row>
    <row r="46" spans="2:9" x14ac:dyDescent="0.25">
      <c r="B46" s="331" t="s">
        <v>722</v>
      </c>
      <c r="C46" s="332">
        <f>(D20*(E12-E10))/(C12-C10)</f>
        <v>0.86663580417310015</v>
      </c>
      <c r="D46" s="351">
        <f>C46*(C12-C10)</f>
        <v>82763.719298531068</v>
      </c>
    </row>
    <row r="47" spans="2:9" x14ac:dyDescent="0.25">
      <c r="B47" s="334" t="s">
        <v>723</v>
      </c>
      <c r="C47" s="335">
        <f>1-C46</f>
        <v>0.13336419582689985</v>
      </c>
      <c r="D47" s="349"/>
    </row>
    <row r="48" spans="2:9" x14ac:dyDescent="0.25">
      <c r="B48" s="334" t="s">
        <v>721</v>
      </c>
      <c r="C48" s="335">
        <v>0.5</v>
      </c>
      <c r="D48" s="349"/>
    </row>
    <row r="49" spans="2:4" x14ac:dyDescent="0.25">
      <c r="B49" s="337" t="s">
        <v>721</v>
      </c>
      <c r="C49" s="338">
        <v>0.5</v>
      </c>
      <c r="D49" s="350"/>
    </row>
    <row r="50" spans="2:4" x14ac:dyDescent="0.25">
      <c r="D50" s="348"/>
    </row>
    <row r="51" spans="2:4" x14ac:dyDescent="0.25">
      <c r="D51" s="348"/>
    </row>
    <row r="52" spans="2:4" x14ac:dyDescent="0.25">
      <c r="B52" s="328" t="s">
        <v>725</v>
      </c>
      <c r="C52" s="329"/>
      <c r="D52" s="352" t="s">
        <v>638</v>
      </c>
    </row>
    <row r="53" spans="2:4" x14ac:dyDescent="0.25">
      <c r="B53" s="331" t="s">
        <v>722</v>
      </c>
      <c r="C53" s="345">
        <f>(D26*(E12-E10))/(C12-C10)</f>
        <v>0.81624321419824297</v>
      </c>
      <c r="D53" s="351">
        <f>C53*(C12-C10)</f>
        <v>77951.226955932201</v>
      </c>
    </row>
    <row r="54" spans="2:4" x14ac:dyDescent="0.25">
      <c r="B54" s="334" t="s">
        <v>723</v>
      </c>
      <c r="C54" s="346">
        <f>1-C53</f>
        <v>0.18375678580175703</v>
      </c>
      <c r="D54" s="349"/>
    </row>
    <row r="55" spans="2:4" x14ac:dyDescent="0.25">
      <c r="B55" s="334" t="s">
        <v>721</v>
      </c>
      <c r="C55" s="346">
        <v>0.5</v>
      </c>
      <c r="D55" s="349"/>
    </row>
    <row r="56" spans="2:4" x14ac:dyDescent="0.25">
      <c r="B56" s="337" t="s">
        <v>721</v>
      </c>
      <c r="C56" s="347">
        <v>0.5</v>
      </c>
      <c r="D56" s="350"/>
    </row>
    <row r="57" spans="2:4" x14ac:dyDescent="0.25">
      <c r="D57" s="348"/>
    </row>
    <row r="58" spans="2:4" x14ac:dyDescent="0.25">
      <c r="D58" s="348"/>
    </row>
    <row r="59" spans="2:4" x14ac:dyDescent="0.25">
      <c r="D59" s="348"/>
    </row>
    <row r="60" spans="2:4" x14ac:dyDescent="0.25">
      <c r="D60" s="348"/>
    </row>
    <row r="61" spans="2:4" x14ac:dyDescent="0.25">
      <c r="D61" s="348"/>
    </row>
    <row r="62" spans="2:4" x14ac:dyDescent="0.25">
      <c r="B62" s="328" t="s">
        <v>879</v>
      </c>
      <c r="C62" s="329"/>
      <c r="D62" s="352" t="s">
        <v>638</v>
      </c>
    </row>
    <row r="63" spans="2:4" x14ac:dyDescent="0.25">
      <c r="B63" s="331" t="s">
        <v>722</v>
      </c>
      <c r="C63" s="345">
        <f>(D30*(E12-E10))/(C12-C10)</f>
        <v>0.54989874231514346</v>
      </c>
      <c r="D63" s="351">
        <f>C63*(C12-C10)</f>
        <v>52515.329891096204</v>
      </c>
    </row>
    <row r="64" spans="2:4" x14ac:dyDescent="0.25">
      <c r="B64" s="334" t="s">
        <v>723</v>
      </c>
      <c r="C64" s="346">
        <f>1-C63</f>
        <v>0.45010125768485654</v>
      </c>
      <c r="D64" s="349"/>
    </row>
    <row r="65" spans="2:4" x14ac:dyDescent="0.25">
      <c r="B65" s="334" t="s">
        <v>721</v>
      </c>
      <c r="C65" s="346">
        <v>0.5</v>
      </c>
      <c r="D65" s="349"/>
    </row>
    <row r="66" spans="2:4" x14ac:dyDescent="0.25">
      <c r="B66" s="337" t="s">
        <v>721</v>
      </c>
      <c r="C66" s="347">
        <v>0.5</v>
      </c>
      <c r="D66" s="350"/>
    </row>
  </sheetData>
  <mergeCells count="3">
    <mergeCell ref="B2:G2"/>
    <mergeCell ref="B6:C6"/>
    <mergeCell ref="G33:I3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H180"/>
  <sheetViews>
    <sheetView showGridLines="0" zoomScale="80" zoomScaleNormal="80" zoomScaleSheetLayoutView="80" workbookViewId="0">
      <selection activeCell="L7" sqref="L7"/>
    </sheetView>
  </sheetViews>
  <sheetFormatPr defaultColWidth="9.140625" defaultRowHeight="12.75" x14ac:dyDescent="0.2"/>
  <cols>
    <col min="1" max="1" width="5.7109375" style="18" customWidth="1"/>
    <col min="2" max="2" width="18.140625" style="18" bestFit="1" customWidth="1"/>
    <col min="3" max="3" width="18.7109375" style="18" bestFit="1" customWidth="1"/>
    <col min="4" max="4" width="14.28515625" style="18" customWidth="1"/>
    <col min="5" max="5" width="53.42578125" style="18" bestFit="1" customWidth="1"/>
    <col min="6" max="7" width="10.5703125" style="18" customWidth="1"/>
    <col min="8" max="8" width="13.85546875" style="18" customWidth="1"/>
    <col min="9" max="9" width="10.5703125" style="18" customWidth="1"/>
    <col min="10" max="12" width="10.5703125" style="367" customWidth="1"/>
    <col min="13" max="13" width="14.7109375" style="18" customWidth="1"/>
    <col min="14" max="14" width="18.7109375" style="370" customWidth="1"/>
    <col min="15" max="15" width="12.85546875" style="24" customWidth="1"/>
    <col min="16" max="16" width="12.85546875" style="24" hidden="1" customWidth="1"/>
    <col min="17" max="17" width="12.85546875" style="24" customWidth="1"/>
    <col min="18" max="18" width="16.140625" style="370" customWidth="1"/>
    <col min="19" max="19" width="12.85546875" style="24" customWidth="1"/>
    <col min="20" max="20" width="17.42578125" style="24" bestFit="1" customWidth="1"/>
    <col min="21" max="21" width="20.85546875" style="24" hidden="1" customWidth="1"/>
    <col min="22" max="23" width="13.85546875" style="24" customWidth="1"/>
    <col min="24" max="26" width="13.85546875" style="370" customWidth="1"/>
    <col min="27" max="27" width="19.42578125" style="24" customWidth="1"/>
    <col min="28" max="28" width="14.85546875" style="371" customWidth="1"/>
    <col min="29" max="29" width="13.85546875" style="371" customWidth="1"/>
    <col min="30" max="30" width="15.5703125" style="24" customWidth="1"/>
    <col min="31" max="31" width="12.7109375" style="24" hidden="1" customWidth="1"/>
    <col min="32" max="32" width="16.28515625" style="24" customWidth="1"/>
    <col min="33" max="33" width="15.85546875" style="24" hidden="1" customWidth="1"/>
    <col min="34" max="34" width="17.28515625" style="24" customWidth="1"/>
    <col min="35" max="35" width="13.7109375" style="24" hidden="1" customWidth="1"/>
    <col min="36" max="36" width="13.28515625" style="24" customWidth="1"/>
    <col min="37" max="37" width="13.42578125" style="24" customWidth="1"/>
    <col min="38" max="38" width="15.28515625" style="24" hidden="1" customWidth="1"/>
    <col min="39" max="39" width="13.28515625" style="24" hidden="1" customWidth="1"/>
    <col min="40" max="40" width="12.7109375" style="24" hidden="1" customWidth="1"/>
    <col min="41" max="41" width="15.85546875" style="24" hidden="1" customWidth="1"/>
    <col min="42" max="42" width="15.7109375" style="371" customWidth="1"/>
    <col min="43" max="43" width="14.28515625" style="24" hidden="1" customWidth="1"/>
    <col min="44" max="44" width="48.7109375" style="24" customWidth="1"/>
    <col min="45" max="45" width="15.140625" style="24" customWidth="1"/>
    <col min="46" max="46" width="15.140625" style="24" customWidth="1" collapsed="1"/>
    <col min="47" max="47" width="15.140625" style="24" customWidth="1"/>
    <col min="48" max="48" width="43.42578125" style="24" bestFit="1" customWidth="1"/>
    <col min="49" max="49" width="15.140625" style="24" customWidth="1"/>
    <col min="50" max="50" width="14.5703125" style="24" hidden="1" customWidth="1"/>
    <col min="51" max="51" width="15.140625" style="24" customWidth="1"/>
    <col min="52" max="52" width="15.7109375" style="24" hidden="1" customWidth="1"/>
    <col min="53" max="53" width="15.140625" style="24" customWidth="1"/>
    <col min="54" max="54" width="14.140625" style="24" hidden="1" customWidth="1"/>
    <col min="55" max="55" width="17.7109375" style="24" customWidth="1"/>
    <col min="56" max="56" width="15.140625" style="24" customWidth="1"/>
    <col min="57" max="57" width="15.28515625" style="24" hidden="1" customWidth="1"/>
    <col min="58" max="59" width="15.140625" style="24" customWidth="1"/>
    <col min="60" max="60" width="43.42578125" style="24" bestFit="1" customWidth="1"/>
    <col min="61" max="61" width="15.140625" style="24" customWidth="1"/>
    <col min="62" max="62" width="13.42578125" style="24" hidden="1" customWidth="1"/>
    <col min="63" max="63" width="13.85546875" style="24" customWidth="1"/>
    <col min="64" max="64" width="18.28515625" style="24" customWidth="1"/>
    <col min="65" max="65" width="16.5703125" style="24" hidden="1" customWidth="1"/>
    <col min="66" max="66" width="15.140625" style="24" customWidth="1"/>
    <col min="67" max="67" width="18.140625" style="24" customWidth="1"/>
    <col min="68" max="68" width="17.5703125" style="24" customWidth="1"/>
    <col min="69" max="69" width="15.140625" style="24" customWidth="1"/>
    <col min="70" max="70" width="136.42578125" style="374" customWidth="1"/>
    <col min="71" max="71" width="20.42578125" style="24" customWidth="1"/>
    <col min="72" max="72" width="19.7109375" style="24" customWidth="1"/>
    <col min="73" max="73" width="23.28515625" style="24" customWidth="1"/>
    <col min="74" max="74" width="21" style="24" customWidth="1"/>
    <col min="75" max="75" width="16.7109375" style="24" customWidth="1"/>
    <col min="76" max="76" width="15.140625" style="24" customWidth="1"/>
    <col min="77" max="77" width="20.140625" style="24" hidden="1" customWidth="1"/>
    <col min="78" max="78" width="17.7109375" style="24" customWidth="1"/>
    <col min="79" max="79" width="46.7109375" style="24" customWidth="1"/>
    <col min="80" max="80" width="19" style="24" customWidth="1"/>
    <col min="81" max="81" width="19" style="24" hidden="1" customWidth="1"/>
    <col min="82" max="82" width="15.140625" style="24" customWidth="1"/>
    <col min="83" max="84" width="21.28515625" style="24" customWidth="1"/>
    <col min="85" max="85" width="54.5703125" style="24" customWidth="1"/>
    <col min="86" max="86" width="51.28515625" style="372" customWidth="1"/>
    <col min="87" max="270" width="9.140625" style="18"/>
    <col min="271" max="271" width="2.5703125" style="18" customWidth="1"/>
    <col min="272" max="272" width="17.85546875" style="18" customWidth="1"/>
    <col min="273" max="273" width="41.5703125" style="18" customWidth="1"/>
    <col min="274" max="275" width="12" style="18" customWidth="1"/>
    <col min="276" max="276" width="17" style="18" customWidth="1"/>
    <col min="277" max="277" width="9.7109375" style="18" customWidth="1"/>
    <col min="278" max="278" width="12.28515625" style="18" customWidth="1"/>
    <col min="279" max="279" width="13.7109375" style="18" customWidth="1"/>
    <col min="280" max="280" width="13.5703125" style="18" bestFit="1" customWidth="1"/>
    <col min="281" max="281" width="13.5703125" style="18" customWidth="1"/>
    <col min="282" max="282" width="21" style="18" customWidth="1"/>
    <col min="283" max="286" width="13.42578125" style="18" customWidth="1"/>
    <col min="287" max="288" width="19" style="18" customWidth="1"/>
    <col min="289" max="289" width="34" style="18" customWidth="1"/>
    <col min="290" max="290" width="19" style="18" customWidth="1"/>
    <col min="291" max="291" width="20" style="18" bestFit="1" customWidth="1"/>
    <col min="292" max="292" width="20.28515625" style="18" bestFit="1" customWidth="1"/>
    <col min="293" max="293" width="26.7109375" style="18" customWidth="1"/>
    <col min="294" max="294" width="20.85546875" style="18" bestFit="1" customWidth="1"/>
    <col min="295" max="295" width="20.85546875" style="18" customWidth="1"/>
    <col min="296" max="296" width="18.85546875" style="18" customWidth="1"/>
    <col min="297" max="297" width="17.5703125" style="18" customWidth="1"/>
    <col min="298" max="299" width="19.42578125" style="18" customWidth="1"/>
    <col min="300" max="300" width="20.7109375" style="18" bestFit="1" customWidth="1"/>
    <col min="301" max="301" width="80.7109375" style="18" customWidth="1"/>
    <col min="302" max="302" width="14.7109375" style="18" bestFit="1" customWidth="1"/>
    <col min="303" max="303" width="18.140625" style="18" bestFit="1" customWidth="1"/>
    <col min="304" max="304" width="16.7109375" style="18" bestFit="1" customWidth="1"/>
    <col min="305" max="305" width="18.5703125" style="18" bestFit="1" customWidth="1"/>
    <col min="306" max="306" width="21.28515625" style="18" bestFit="1" customWidth="1"/>
    <col min="307" max="307" width="16.28515625" style="18" bestFit="1" customWidth="1"/>
    <col min="308" max="308" width="21.140625" style="18" bestFit="1" customWidth="1"/>
    <col min="309" max="309" width="19" style="18" bestFit="1" customWidth="1"/>
    <col min="310" max="310" width="19.140625" style="18" customWidth="1"/>
    <col min="311" max="311" width="16.7109375" style="18" customWidth="1"/>
    <col min="312" max="312" width="21.140625" style="18" bestFit="1" customWidth="1"/>
    <col min="313" max="313" width="20.42578125" style="18" bestFit="1" customWidth="1"/>
    <col min="314" max="314" width="21.140625" style="18" customWidth="1"/>
    <col min="315" max="315" width="20.5703125" style="18" bestFit="1" customWidth="1"/>
    <col min="316" max="316" width="19.7109375" style="18" bestFit="1" customWidth="1"/>
    <col min="317" max="317" width="20.28515625" style="18" customWidth="1"/>
    <col min="318" max="318" width="20.85546875" style="18" bestFit="1" customWidth="1"/>
    <col min="319" max="319" width="19.5703125" style="18" bestFit="1" customWidth="1"/>
    <col min="320" max="320" width="18" style="18" customWidth="1"/>
    <col min="321" max="321" width="20" style="18" bestFit="1" customWidth="1"/>
    <col min="322" max="322" width="35.7109375" style="18" customWidth="1"/>
    <col min="323" max="323" width="21.140625" style="18" bestFit="1" customWidth="1"/>
    <col min="324" max="324" width="20.5703125" style="18" bestFit="1" customWidth="1"/>
    <col min="325" max="325" width="19.42578125" style="18" bestFit="1" customWidth="1"/>
    <col min="326" max="326" width="18.5703125" style="18" bestFit="1" customWidth="1"/>
    <col min="327" max="327" width="20.5703125" style="18" bestFit="1" customWidth="1"/>
    <col min="328" max="328" width="21.28515625" style="18" bestFit="1" customWidth="1"/>
    <col min="329" max="329" width="15.42578125" style="18" customWidth="1"/>
    <col min="330" max="330" width="20.7109375" style="18" customWidth="1"/>
    <col min="331" max="331" width="21.28515625" style="18" customWidth="1"/>
    <col min="332" max="332" width="14.85546875" style="18" bestFit="1" customWidth="1"/>
    <col min="333" max="333" width="23" style="18" bestFit="1" customWidth="1"/>
    <col min="334" max="334" width="21.28515625" style="18" bestFit="1" customWidth="1"/>
    <col min="335" max="335" width="20.28515625" style="18" bestFit="1" customWidth="1"/>
    <col min="336" max="336" width="21" style="18" bestFit="1" customWidth="1"/>
    <col min="337" max="337" width="18.85546875" style="18" bestFit="1" customWidth="1"/>
    <col min="338" max="338" width="80.7109375" style="18" customWidth="1"/>
    <col min="339" max="526" width="9.140625" style="18"/>
    <col min="527" max="527" width="2.5703125" style="18" customWidth="1"/>
    <col min="528" max="528" width="17.85546875" style="18" customWidth="1"/>
    <col min="529" max="529" width="41.5703125" style="18" customWidth="1"/>
    <col min="530" max="531" width="12" style="18" customWidth="1"/>
    <col min="532" max="532" width="17" style="18" customWidth="1"/>
    <col min="533" max="533" width="9.7109375" style="18" customWidth="1"/>
    <col min="534" max="534" width="12.28515625" style="18" customWidth="1"/>
    <col min="535" max="535" width="13.7109375" style="18" customWidth="1"/>
    <col min="536" max="536" width="13.5703125" style="18" bestFit="1" customWidth="1"/>
    <col min="537" max="537" width="13.5703125" style="18" customWidth="1"/>
    <col min="538" max="538" width="21" style="18" customWidth="1"/>
    <col min="539" max="542" width="13.42578125" style="18" customWidth="1"/>
    <col min="543" max="544" width="19" style="18" customWidth="1"/>
    <col min="545" max="545" width="34" style="18" customWidth="1"/>
    <col min="546" max="546" width="19" style="18" customWidth="1"/>
    <col min="547" max="547" width="20" style="18" bestFit="1" customWidth="1"/>
    <col min="548" max="548" width="20.28515625" style="18" bestFit="1" customWidth="1"/>
    <col min="549" max="549" width="26.7109375" style="18" customWidth="1"/>
    <col min="550" max="550" width="20.85546875" style="18" bestFit="1" customWidth="1"/>
    <col min="551" max="551" width="20.85546875" style="18" customWidth="1"/>
    <col min="552" max="552" width="18.85546875" style="18" customWidth="1"/>
    <col min="553" max="553" width="17.5703125" style="18" customWidth="1"/>
    <col min="554" max="555" width="19.42578125" style="18" customWidth="1"/>
    <col min="556" max="556" width="20.7109375" style="18" bestFit="1" customWidth="1"/>
    <col min="557" max="557" width="80.7109375" style="18" customWidth="1"/>
    <col min="558" max="558" width="14.7109375" style="18" bestFit="1" customWidth="1"/>
    <col min="559" max="559" width="18.140625" style="18" bestFit="1" customWidth="1"/>
    <col min="560" max="560" width="16.7109375" style="18" bestFit="1" customWidth="1"/>
    <col min="561" max="561" width="18.5703125" style="18" bestFit="1" customWidth="1"/>
    <col min="562" max="562" width="21.28515625" style="18" bestFit="1" customWidth="1"/>
    <col min="563" max="563" width="16.28515625" style="18" bestFit="1" customWidth="1"/>
    <col min="564" max="564" width="21.140625" style="18" bestFit="1" customWidth="1"/>
    <col min="565" max="565" width="19" style="18" bestFit="1" customWidth="1"/>
    <col min="566" max="566" width="19.140625" style="18" customWidth="1"/>
    <col min="567" max="567" width="16.7109375" style="18" customWidth="1"/>
    <col min="568" max="568" width="21.140625" style="18" bestFit="1" customWidth="1"/>
    <col min="569" max="569" width="20.42578125" style="18" bestFit="1" customWidth="1"/>
    <col min="570" max="570" width="21.140625" style="18" customWidth="1"/>
    <col min="571" max="571" width="20.5703125" style="18" bestFit="1" customWidth="1"/>
    <col min="572" max="572" width="19.7109375" style="18" bestFit="1" customWidth="1"/>
    <col min="573" max="573" width="20.28515625" style="18" customWidth="1"/>
    <col min="574" max="574" width="20.85546875" style="18" bestFit="1" customWidth="1"/>
    <col min="575" max="575" width="19.5703125" style="18" bestFit="1" customWidth="1"/>
    <col min="576" max="576" width="18" style="18" customWidth="1"/>
    <col min="577" max="577" width="20" style="18" bestFit="1" customWidth="1"/>
    <col min="578" max="578" width="35.7109375" style="18" customWidth="1"/>
    <col min="579" max="579" width="21.140625" style="18" bestFit="1" customWidth="1"/>
    <col min="580" max="580" width="20.5703125" style="18" bestFit="1" customWidth="1"/>
    <col min="581" max="581" width="19.42578125" style="18" bestFit="1" customWidth="1"/>
    <col min="582" max="582" width="18.5703125" style="18" bestFit="1" customWidth="1"/>
    <col min="583" max="583" width="20.5703125" style="18" bestFit="1" customWidth="1"/>
    <col min="584" max="584" width="21.28515625" style="18" bestFit="1" customWidth="1"/>
    <col min="585" max="585" width="15.42578125" style="18" customWidth="1"/>
    <col min="586" max="586" width="20.7109375" style="18" customWidth="1"/>
    <col min="587" max="587" width="21.28515625" style="18" customWidth="1"/>
    <col min="588" max="588" width="14.85546875" style="18" bestFit="1" customWidth="1"/>
    <col min="589" max="589" width="23" style="18" bestFit="1" customWidth="1"/>
    <col min="590" max="590" width="21.28515625" style="18" bestFit="1" customWidth="1"/>
    <col min="591" max="591" width="20.28515625" style="18" bestFit="1" customWidth="1"/>
    <col min="592" max="592" width="21" style="18" bestFit="1" customWidth="1"/>
    <col min="593" max="593" width="18.85546875" style="18" bestFit="1" customWidth="1"/>
    <col min="594" max="594" width="80.7109375" style="18" customWidth="1"/>
    <col min="595" max="782" width="9.140625" style="18"/>
    <col min="783" max="783" width="2.5703125" style="18" customWidth="1"/>
    <col min="784" max="784" width="17.85546875" style="18" customWidth="1"/>
    <col min="785" max="785" width="41.5703125" style="18" customWidth="1"/>
    <col min="786" max="787" width="12" style="18" customWidth="1"/>
    <col min="788" max="788" width="17" style="18" customWidth="1"/>
    <col min="789" max="789" width="9.7109375" style="18" customWidth="1"/>
    <col min="790" max="790" width="12.28515625" style="18" customWidth="1"/>
    <col min="791" max="791" width="13.7109375" style="18" customWidth="1"/>
    <col min="792" max="792" width="13.5703125" style="18" bestFit="1" customWidth="1"/>
    <col min="793" max="793" width="13.5703125" style="18" customWidth="1"/>
    <col min="794" max="794" width="21" style="18" customWidth="1"/>
    <col min="795" max="798" width="13.42578125" style="18" customWidth="1"/>
    <col min="799" max="800" width="19" style="18" customWidth="1"/>
    <col min="801" max="801" width="34" style="18" customWidth="1"/>
    <col min="802" max="802" width="19" style="18" customWidth="1"/>
    <col min="803" max="803" width="20" style="18" bestFit="1" customWidth="1"/>
    <col min="804" max="804" width="20.28515625" style="18" bestFit="1" customWidth="1"/>
    <col min="805" max="805" width="26.7109375" style="18" customWidth="1"/>
    <col min="806" max="806" width="20.85546875" style="18" bestFit="1" customWidth="1"/>
    <col min="807" max="807" width="20.85546875" style="18" customWidth="1"/>
    <col min="808" max="808" width="18.85546875" style="18" customWidth="1"/>
    <col min="809" max="809" width="17.5703125" style="18" customWidth="1"/>
    <col min="810" max="811" width="19.42578125" style="18" customWidth="1"/>
    <col min="812" max="812" width="20.7109375" style="18" bestFit="1" customWidth="1"/>
    <col min="813" max="813" width="80.7109375" style="18" customWidth="1"/>
    <col min="814" max="814" width="14.7109375" style="18" bestFit="1" customWidth="1"/>
    <col min="815" max="815" width="18.140625" style="18" bestFit="1" customWidth="1"/>
    <col min="816" max="816" width="16.7109375" style="18" bestFit="1" customWidth="1"/>
    <col min="817" max="817" width="18.5703125" style="18" bestFit="1" customWidth="1"/>
    <col min="818" max="818" width="21.28515625" style="18" bestFit="1" customWidth="1"/>
    <col min="819" max="819" width="16.28515625" style="18" bestFit="1" customWidth="1"/>
    <col min="820" max="820" width="21.140625" style="18" bestFit="1" customWidth="1"/>
    <col min="821" max="821" width="19" style="18" bestFit="1" customWidth="1"/>
    <col min="822" max="822" width="19.140625" style="18" customWidth="1"/>
    <col min="823" max="823" width="16.7109375" style="18" customWidth="1"/>
    <col min="824" max="824" width="21.140625" style="18" bestFit="1" customWidth="1"/>
    <col min="825" max="825" width="20.42578125" style="18" bestFit="1" customWidth="1"/>
    <col min="826" max="826" width="21.140625" style="18" customWidth="1"/>
    <col min="827" max="827" width="20.5703125" style="18" bestFit="1" customWidth="1"/>
    <col min="828" max="828" width="19.7109375" style="18" bestFit="1" customWidth="1"/>
    <col min="829" max="829" width="20.28515625" style="18" customWidth="1"/>
    <col min="830" max="830" width="20.85546875" style="18" bestFit="1" customWidth="1"/>
    <col min="831" max="831" width="19.5703125" style="18" bestFit="1" customWidth="1"/>
    <col min="832" max="832" width="18" style="18" customWidth="1"/>
    <col min="833" max="833" width="20" style="18" bestFit="1" customWidth="1"/>
    <col min="834" max="834" width="35.7109375" style="18" customWidth="1"/>
    <col min="835" max="835" width="21.140625" style="18" bestFit="1" customWidth="1"/>
    <col min="836" max="836" width="20.5703125" style="18" bestFit="1" customWidth="1"/>
    <col min="837" max="837" width="19.42578125" style="18" bestFit="1" customWidth="1"/>
    <col min="838" max="838" width="18.5703125" style="18" bestFit="1" customWidth="1"/>
    <col min="839" max="839" width="20.5703125" style="18" bestFit="1" customWidth="1"/>
    <col min="840" max="840" width="21.28515625" style="18" bestFit="1" customWidth="1"/>
    <col min="841" max="841" width="15.42578125" style="18" customWidth="1"/>
    <col min="842" max="842" width="20.7109375" style="18" customWidth="1"/>
    <col min="843" max="843" width="21.28515625" style="18" customWidth="1"/>
    <col min="844" max="844" width="14.85546875" style="18" bestFit="1" customWidth="1"/>
    <col min="845" max="845" width="23" style="18" bestFit="1" customWidth="1"/>
    <col min="846" max="846" width="21.28515625" style="18" bestFit="1" customWidth="1"/>
    <col min="847" max="847" width="20.28515625" style="18" bestFit="1" customWidth="1"/>
    <col min="848" max="848" width="21" style="18" bestFit="1" customWidth="1"/>
    <col min="849" max="849" width="18.85546875" style="18" bestFit="1" customWidth="1"/>
    <col min="850" max="850" width="80.7109375" style="18" customWidth="1"/>
    <col min="851" max="1038" width="9.140625" style="18"/>
    <col min="1039" max="1039" width="2.5703125" style="18" customWidth="1"/>
    <col min="1040" max="1040" width="17.85546875" style="18" customWidth="1"/>
    <col min="1041" max="1041" width="41.5703125" style="18" customWidth="1"/>
    <col min="1042" max="1043" width="12" style="18" customWidth="1"/>
    <col min="1044" max="1044" width="17" style="18" customWidth="1"/>
    <col min="1045" max="1045" width="9.7109375" style="18" customWidth="1"/>
    <col min="1046" max="1046" width="12.28515625" style="18" customWidth="1"/>
    <col min="1047" max="1047" width="13.7109375" style="18" customWidth="1"/>
    <col min="1048" max="1048" width="13.5703125" style="18" bestFit="1" customWidth="1"/>
    <col min="1049" max="1049" width="13.5703125" style="18" customWidth="1"/>
    <col min="1050" max="1050" width="21" style="18" customWidth="1"/>
    <col min="1051" max="1054" width="13.42578125" style="18" customWidth="1"/>
    <col min="1055" max="1056" width="19" style="18" customWidth="1"/>
    <col min="1057" max="1057" width="34" style="18" customWidth="1"/>
    <col min="1058" max="1058" width="19" style="18" customWidth="1"/>
    <col min="1059" max="1059" width="20" style="18" bestFit="1" customWidth="1"/>
    <col min="1060" max="1060" width="20.28515625" style="18" bestFit="1" customWidth="1"/>
    <col min="1061" max="1061" width="26.7109375" style="18" customWidth="1"/>
    <col min="1062" max="1062" width="20.85546875" style="18" bestFit="1" customWidth="1"/>
    <col min="1063" max="1063" width="20.85546875" style="18" customWidth="1"/>
    <col min="1064" max="1064" width="18.85546875" style="18" customWidth="1"/>
    <col min="1065" max="1065" width="17.5703125" style="18" customWidth="1"/>
    <col min="1066" max="1067" width="19.42578125" style="18" customWidth="1"/>
    <col min="1068" max="1068" width="20.7109375" style="18" bestFit="1" customWidth="1"/>
    <col min="1069" max="1069" width="80.7109375" style="18" customWidth="1"/>
    <col min="1070" max="1070" width="14.7109375" style="18" bestFit="1" customWidth="1"/>
    <col min="1071" max="1071" width="18.140625" style="18" bestFit="1" customWidth="1"/>
    <col min="1072" max="1072" width="16.7109375" style="18" bestFit="1" customWidth="1"/>
    <col min="1073" max="1073" width="18.5703125" style="18" bestFit="1" customWidth="1"/>
    <col min="1074" max="1074" width="21.28515625" style="18" bestFit="1" customWidth="1"/>
    <col min="1075" max="1075" width="16.28515625" style="18" bestFit="1" customWidth="1"/>
    <col min="1076" max="1076" width="21.140625" style="18" bestFit="1" customWidth="1"/>
    <col min="1077" max="1077" width="19" style="18" bestFit="1" customWidth="1"/>
    <col min="1078" max="1078" width="19.140625" style="18" customWidth="1"/>
    <col min="1079" max="1079" width="16.7109375" style="18" customWidth="1"/>
    <col min="1080" max="1080" width="21.140625" style="18" bestFit="1" customWidth="1"/>
    <col min="1081" max="1081" width="20.42578125" style="18" bestFit="1" customWidth="1"/>
    <col min="1082" max="1082" width="21.140625" style="18" customWidth="1"/>
    <col min="1083" max="1083" width="20.5703125" style="18" bestFit="1" customWidth="1"/>
    <col min="1084" max="1084" width="19.7109375" style="18" bestFit="1" customWidth="1"/>
    <col min="1085" max="1085" width="20.28515625" style="18" customWidth="1"/>
    <col min="1086" max="1086" width="20.85546875" style="18" bestFit="1" customWidth="1"/>
    <col min="1087" max="1087" width="19.5703125" style="18" bestFit="1" customWidth="1"/>
    <col min="1088" max="1088" width="18" style="18" customWidth="1"/>
    <col min="1089" max="1089" width="20" style="18" bestFit="1" customWidth="1"/>
    <col min="1090" max="1090" width="35.7109375" style="18" customWidth="1"/>
    <col min="1091" max="1091" width="21.140625" style="18" bestFit="1" customWidth="1"/>
    <col min="1092" max="1092" width="20.5703125" style="18" bestFit="1" customWidth="1"/>
    <col min="1093" max="1093" width="19.42578125" style="18" bestFit="1" customWidth="1"/>
    <col min="1094" max="1094" width="18.5703125" style="18" bestFit="1" customWidth="1"/>
    <col min="1095" max="1095" width="20.5703125" style="18" bestFit="1" customWidth="1"/>
    <col min="1096" max="1096" width="21.28515625" style="18" bestFit="1" customWidth="1"/>
    <col min="1097" max="1097" width="15.42578125" style="18" customWidth="1"/>
    <col min="1098" max="1098" width="20.7109375" style="18" customWidth="1"/>
    <col min="1099" max="1099" width="21.28515625" style="18" customWidth="1"/>
    <col min="1100" max="1100" width="14.85546875" style="18" bestFit="1" customWidth="1"/>
    <col min="1101" max="1101" width="23" style="18" bestFit="1" customWidth="1"/>
    <col min="1102" max="1102" width="21.28515625" style="18" bestFit="1" customWidth="1"/>
    <col min="1103" max="1103" width="20.28515625" style="18" bestFit="1" customWidth="1"/>
    <col min="1104" max="1104" width="21" style="18" bestFit="1" customWidth="1"/>
    <col min="1105" max="1105" width="18.85546875" style="18" bestFit="1" customWidth="1"/>
    <col min="1106" max="1106" width="80.7109375" style="18" customWidth="1"/>
    <col min="1107" max="1294" width="9.140625" style="18"/>
    <col min="1295" max="1295" width="2.5703125" style="18" customWidth="1"/>
    <col min="1296" max="1296" width="17.85546875" style="18" customWidth="1"/>
    <col min="1297" max="1297" width="41.5703125" style="18" customWidth="1"/>
    <col min="1298" max="1299" width="12" style="18" customWidth="1"/>
    <col min="1300" max="1300" width="17" style="18" customWidth="1"/>
    <col min="1301" max="1301" width="9.7109375" style="18" customWidth="1"/>
    <col min="1302" max="1302" width="12.28515625" style="18" customWidth="1"/>
    <col min="1303" max="1303" width="13.7109375" style="18" customWidth="1"/>
    <col min="1304" max="1304" width="13.5703125" style="18" bestFit="1" customWidth="1"/>
    <col min="1305" max="1305" width="13.5703125" style="18" customWidth="1"/>
    <col min="1306" max="1306" width="21" style="18" customWidth="1"/>
    <col min="1307" max="1310" width="13.42578125" style="18" customWidth="1"/>
    <col min="1311" max="1312" width="19" style="18" customWidth="1"/>
    <col min="1313" max="1313" width="34" style="18" customWidth="1"/>
    <col min="1314" max="1314" width="19" style="18" customWidth="1"/>
    <col min="1315" max="1315" width="20" style="18" bestFit="1" customWidth="1"/>
    <col min="1316" max="1316" width="20.28515625" style="18" bestFit="1" customWidth="1"/>
    <col min="1317" max="1317" width="26.7109375" style="18" customWidth="1"/>
    <col min="1318" max="1318" width="20.85546875" style="18" bestFit="1" customWidth="1"/>
    <col min="1319" max="1319" width="20.85546875" style="18" customWidth="1"/>
    <col min="1320" max="1320" width="18.85546875" style="18" customWidth="1"/>
    <col min="1321" max="1321" width="17.5703125" style="18" customWidth="1"/>
    <col min="1322" max="1323" width="19.42578125" style="18" customWidth="1"/>
    <col min="1324" max="1324" width="20.7109375" style="18" bestFit="1" customWidth="1"/>
    <col min="1325" max="1325" width="80.7109375" style="18" customWidth="1"/>
    <col min="1326" max="1326" width="14.7109375" style="18" bestFit="1" customWidth="1"/>
    <col min="1327" max="1327" width="18.140625" style="18" bestFit="1" customWidth="1"/>
    <col min="1328" max="1328" width="16.7109375" style="18" bestFit="1" customWidth="1"/>
    <col min="1329" max="1329" width="18.5703125" style="18" bestFit="1" customWidth="1"/>
    <col min="1330" max="1330" width="21.28515625" style="18" bestFit="1" customWidth="1"/>
    <col min="1331" max="1331" width="16.28515625" style="18" bestFit="1" customWidth="1"/>
    <col min="1332" max="1332" width="21.140625" style="18" bestFit="1" customWidth="1"/>
    <col min="1333" max="1333" width="19" style="18" bestFit="1" customWidth="1"/>
    <col min="1334" max="1334" width="19.140625" style="18" customWidth="1"/>
    <col min="1335" max="1335" width="16.7109375" style="18" customWidth="1"/>
    <col min="1336" max="1336" width="21.140625" style="18" bestFit="1" customWidth="1"/>
    <col min="1337" max="1337" width="20.42578125" style="18" bestFit="1" customWidth="1"/>
    <col min="1338" max="1338" width="21.140625" style="18" customWidth="1"/>
    <col min="1339" max="1339" width="20.5703125" style="18" bestFit="1" customWidth="1"/>
    <col min="1340" max="1340" width="19.7109375" style="18" bestFit="1" customWidth="1"/>
    <col min="1341" max="1341" width="20.28515625" style="18" customWidth="1"/>
    <col min="1342" max="1342" width="20.85546875" style="18" bestFit="1" customWidth="1"/>
    <col min="1343" max="1343" width="19.5703125" style="18" bestFit="1" customWidth="1"/>
    <col min="1344" max="1344" width="18" style="18" customWidth="1"/>
    <col min="1345" max="1345" width="20" style="18" bestFit="1" customWidth="1"/>
    <col min="1346" max="1346" width="35.7109375" style="18" customWidth="1"/>
    <col min="1347" max="1347" width="21.140625" style="18" bestFit="1" customWidth="1"/>
    <col min="1348" max="1348" width="20.5703125" style="18" bestFit="1" customWidth="1"/>
    <col min="1349" max="1349" width="19.42578125" style="18" bestFit="1" customWidth="1"/>
    <col min="1350" max="1350" width="18.5703125" style="18" bestFit="1" customWidth="1"/>
    <col min="1351" max="1351" width="20.5703125" style="18" bestFit="1" customWidth="1"/>
    <col min="1352" max="1352" width="21.28515625" style="18" bestFit="1" customWidth="1"/>
    <col min="1353" max="1353" width="15.42578125" style="18" customWidth="1"/>
    <col min="1354" max="1354" width="20.7109375" style="18" customWidth="1"/>
    <col min="1355" max="1355" width="21.28515625" style="18" customWidth="1"/>
    <col min="1356" max="1356" width="14.85546875" style="18" bestFit="1" customWidth="1"/>
    <col min="1357" max="1357" width="23" style="18" bestFit="1" customWidth="1"/>
    <col min="1358" max="1358" width="21.28515625" style="18" bestFit="1" customWidth="1"/>
    <col min="1359" max="1359" width="20.28515625" style="18" bestFit="1" customWidth="1"/>
    <col min="1360" max="1360" width="21" style="18" bestFit="1" customWidth="1"/>
    <col min="1361" max="1361" width="18.85546875" style="18" bestFit="1" customWidth="1"/>
    <col min="1362" max="1362" width="80.7109375" style="18" customWidth="1"/>
    <col min="1363" max="1550" width="9.140625" style="18"/>
    <col min="1551" max="1551" width="2.5703125" style="18" customWidth="1"/>
    <col min="1552" max="1552" width="17.85546875" style="18" customWidth="1"/>
    <col min="1553" max="1553" width="41.5703125" style="18" customWidth="1"/>
    <col min="1554" max="1555" width="12" style="18" customWidth="1"/>
    <col min="1556" max="1556" width="17" style="18" customWidth="1"/>
    <col min="1557" max="1557" width="9.7109375" style="18" customWidth="1"/>
    <col min="1558" max="1558" width="12.28515625" style="18" customWidth="1"/>
    <col min="1559" max="1559" width="13.7109375" style="18" customWidth="1"/>
    <col min="1560" max="1560" width="13.5703125" style="18" bestFit="1" customWidth="1"/>
    <col min="1561" max="1561" width="13.5703125" style="18" customWidth="1"/>
    <col min="1562" max="1562" width="21" style="18" customWidth="1"/>
    <col min="1563" max="1566" width="13.42578125" style="18" customWidth="1"/>
    <col min="1567" max="1568" width="19" style="18" customWidth="1"/>
    <col min="1569" max="1569" width="34" style="18" customWidth="1"/>
    <col min="1570" max="1570" width="19" style="18" customWidth="1"/>
    <col min="1571" max="1571" width="20" style="18" bestFit="1" customWidth="1"/>
    <col min="1572" max="1572" width="20.28515625" style="18" bestFit="1" customWidth="1"/>
    <col min="1573" max="1573" width="26.7109375" style="18" customWidth="1"/>
    <col min="1574" max="1574" width="20.85546875" style="18" bestFit="1" customWidth="1"/>
    <col min="1575" max="1575" width="20.85546875" style="18" customWidth="1"/>
    <col min="1576" max="1576" width="18.85546875" style="18" customWidth="1"/>
    <col min="1577" max="1577" width="17.5703125" style="18" customWidth="1"/>
    <col min="1578" max="1579" width="19.42578125" style="18" customWidth="1"/>
    <col min="1580" max="1580" width="20.7109375" style="18" bestFit="1" customWidth="1"/>
    <col min="1581" max="1581" width="80.7109375" style="18" customWidth="1"/>
    <col min="1582" max="1582" width="14.7109375" style="18" bestFit="1" customWidth="1"/>
    <col min="1583" max="1583" width="18.140625" style="18" bestFit="1" customWidth="1"/>
    <col min="1584" max="1584" width="16.7109375" style="18" bestFit="1" customWidth="1"/>
    <col min="1585" max="1585" width="18.5703125" style="18" bestFit="1" customWidth="1"/>
    <col min="1586" max="1586" width="21.28515625" style="18" bestFit="1" customWidth="1"/>
    <col min="1587" max="1587" width="16.28515625" style="18" bestFit="1" customWidth="1"/>
    <col min="1588" max="1588" width="21.140625" style="18" bestFit="1" customWidth="1"/>
    <col min="1589" max="1589" width="19" style="18" bestFit="1" customWidth="1"/>
    <col min="1590" max="1590" width="19.140625" style="18" customWidth="1"/>
    <col min="1591" max="1591" width="16.7109375" style="18" customWidth="1"/>
    <col min="1592" max="1592" width="21.140625" style="18" bestFit="1" customWidth="1"/>
    <col min="1593" max="1593" width="20.42578125" style="18" bestFit="1" customWidth="1"/>
    <col min="1594" max="1594" width="21.140625" style="18" customWidth="1"/>
    <col min="1595" max="1595" width="20.5703125" style="18" bestFit="1" customWidth="1"/>
    <col min="1596" max="1596" width="19.7109375" style="18" bestFit="1" customWidth="1"/>
    <col min="1597" max="1597" width="20.28515625" style="18" customWidth="1"/>
    <col min="1598" max="1598" width="20.85546875" style="18" bestFit="1" customWidth="1"/>
    <col min="1599" max="1599" width="19.5703125" style="18" bestFit="1" customWidth="1"/>
    <col min="1600" max="1600" width="18" style="18" customWidth="1"/>
    <col min="1601" max="1601" width="20" style="18" bestFit="1" customWidth="1"/>
    <col min="1602" max="1602" width="35.7109375" style="18" customWidth="1"/>
    <col min="1603" max="1603" width="21.140625" style="18" bestFit="1" customWidth="1"/>
    <col min="1604" max="1604" width="20.5703125" style="18" bestFit="1" customWidth="1"/>
    <col min="1605" max="1605" width="19.42578125" style="18" bestFit="1" customWidth="1"/>
    <col min="1606" max="1606" width="18.5703125" style="18" bestFit="1" customWidth="1"/>
    <col min="1607" max="1607" width="20.5703125" style="18" bestFit="1" customWidth="1"/>
    <col min="1608" max="1608" width="21.28515625" style="18" bestFit="1" customWidth="1"/>
    <col min="1609" max="1609" width="15.42578125" style="18" customWidth="1"/>
    <col min="1610" max="1610" width="20.7109375" style="18" customWidth="1"/>
    <col min="1611" max="1611" width="21.28515625" style="18" customWidth="1"/>
    <col min="1612" max="1612" width="14.85546875" style="18" bestFit="1" customWidth="1"/>
    <col min="1613" max="1613" width="23" style="18" bestFit="1" customWidth="1"/>
    <col min="1614" max="1614" width="21.28515625" style="18" bestFit="1" customWidth="1"/>
    <col min="1615" max="1615" width="20.28515625" style="18" bestFit="1" customWidth="1"/>
    <col min="1616" max="1616" width="21" style="18" bestFit="1" customWidth="1"/>
    <col min="1617" max="1617" width="18.85546875" style="18" bestFit="1" customWidth="1"/>
    <col min="1618" max="1618" width="80.7109375" style="18" customWidth="1"/>
    <col min="1619" max="1806" width="9.140625" style="18"/>
    <col min="1807" max="1807" width="2.5703125" style="18" customWidth="1"/>
    <col min="1808" max="1808" width="17.85546875" style="18" customWidth="1"/>
    <col min="1809" max="1809" width="41.5703125" style="18" customWidth="1"/>
    <col min="1810" max="1811" width="12" style="18" customWidth="1"/>
    <col min="1812" max="1812" width="17" style="18" customWidth="1"/>
    <col min="1813" max="1813" width="9.7109375" style="18" customWidth="1"/>
    <col min="1814" max="1814" width="12.28515625" style="18" customWidth="1"/>
    <col min="1815" max="1815" width="13.7109375" style="18" customWidth="1"/>
    <col min="1816" max="1816" width="13.5703125" style="18" bestFit="1" customWidth="1"/>
    <col min="1817" max="1817" width="13.5703125" style="18" customWidth="1"/>
    <col min="1818" max="1818" width="21" style="18" customWidth="1"/>
    <col min="1819" max="1822" width="13.42578125" style="18" customWidth="1"/>
    <col min="1823" max="1824" width="19" style="18" customWidth="1"/>
    <col min="1825" max="1825" width="34" style="18" customWidth="1"/>
    <col min="1826" max="1826" width="19" style="18" customWidth="1"/>
    <col min="1827" max="1827" width="20" style="18" bestFit="1" customWidth="1"/>
    <col min="1828" max="1828" width="20.28515625" style="18" bestFit="1" customWidth="1"/>
    <col min="1829" max="1829" width="26.7109375" style="18" customWidth="1"/>
    <col min="1830" max="1830" width="20.85546875" style="18" bestFit="1" customWidth="1"/>
    <col min="1831" max="1831" width="20.85546875" style="18" customWidth="1"/>
    <col min="1832" max="1832" width="18.85546875" style="18" customWidth="1"/>
    <col min="1833" max="1833" width="17.5703125" style="18" customWidth="1"/>
    <col min="1834" max="1835" width="19.42578125" style="18" customWidth="1"/>
    <col min="1836" max="1836" width="20.7109375" style="18" bestFit="1" customWidth="1"/>
    <col min="1837" max="1837" width="80.7109375" style="18" customWidth="1"/>
    <col min="1838" max="1838" width="14.7109375" style="18" bestFit="1" customWidth="1"/>
    <col min="1839" max="1839" width="18.140625" style="18" bestFit="1" customWidth="1"/>
    <col min="1840" max="1840" width="16.7109375" style="18" bestFit="1" customWidth="1"/>
    <col min="1841" max="1841" width="18.5703125" style="18" bestFit="1" customWidth="1"/>
    <col min="1842" max="1842" width="21.28515625" style="18" bestFit="1" customWidth="1"/>
    <col min="1843" max="1843" width="16.28515625" style="18" bestFit="1" customWidth="1"/>
    <col min="1844" max="1844" width="21.140625" style="18" bestFit="1" customWidth="1"/>
    <col min="1845" max="1845" width="19" style="18" bestFit="1" customWidth="1"/>
    <col min="1846" max="1846" width="19.140625" style="18" customWidth="1"/>
    <col min="1847" max="1847" width="16.7109375" style="18" customWidth="1"/>
    <col min="1848" max="1848" width="21.140625" style="18" bestFit="1" customWidth="1"/>
    <col min="1849" max="1849" width="20.42578125" style="18" bestFit="1" customWidth="1"/>
    <col min="1850" max="1850" width="21.140625" style="18" customWidth="1"/>
    <col min="1851" max="1851" width="20.5703125" style="18" bestFit="1" customWidth="1"/>
    <col min="1852" max="1852" width="19.7109375" style="18" bestFit="1" customWidth="1"/>
    <col min="1853" max="1853" width="20.28515625" style="18" customWidth="1"/>
    <col min="1854" max="1854" width="20.85546875" style="18" bestFit="1" customWidth="1"/>
    <col min="1855" max="1855" width="19.5703125" style="18" bestFit="1" customWidth="1"/>
    <col min="1856" max="1856" width="18" style="18" customWidth="1"/>
    <col min="1857" max="1857" width="20" style="18" bestFit="1" customWidth="1"/>
    <col min="1858" max="1858" width="35.7109375" style="18" customWidth="1"/>
    <col min="1859" max="1859" width="21.140625" style="18" bestFit="1" customWidth="1"/>
    <col min="1860" max="1860" width="20.5703125" style="18" bestFit="1" customWidth="1"/>
    <col min="1861" max="1861" width="19.42578125" style="18" bestFit="1" customWidth="1"/>
    <col min="1862" max="1862" width="18.5703125" style="18" bestFit="1" customWidth="1"/>
    <col min="1863" max="1863" width="20.5703125" style="18" bestFit="1" customWidth="1"/>
    <col min="1864" max="1864" width="21.28515625" style="18" bestFit="1" customWidth="1"/>
    <col min="1865" max="1865" width="15.42578125" style="18" customWidth="1"/>
    <col min="1866" max="1866" width="20.7109375" style="18" customWidth="1"/>
    <col min="1867" max="1867" width="21.28515625" style="18" customWidth="1"/>
    <col min="1868" max="1868" width="14.85546875" style="18" bestFit="1" customWidth="1"/>
    <col min="1869" max="1869" width="23" style="18" bestFit="1" customWidth="1"/>
    <col min="1870" max="1870" width="21.28515625" style="18" bestFit="1" customWidth="1"/>
    <col min="1871" max="1871" width="20.28515625" style="18" bestFit="1" customWidth="1"/>
    <col min="1872" max="1872" width="21" style="18" bestFit="1" customWidth="1"/>
    <col min="1873" max="1873" width="18.85546875" style="18" bestFit="1" customWidth="1"/>
    <col min="1874" max="1874" width="80.7109375" style="18" customWidth="1"/>
    <col min="1875" max="2062" width="9.140625" style="18"/>
    <col min="2063" max="2063" width="2.5703125" style="18" customWidth="1"/>
    <col min="2064" max="2064" width="17.85546875" style="18" customWidth="1"/>
    <col min="2065" max="2065" width="41.5703125" style="18" customWidth="1"/>
    <col min="2066" max="2067" width="12" style="18" customWidth="1"/>
    <col min="2068" max="2068" width="17" style="18" customWidth="1"/>
    <col min="2069" max="2069" width="9.7109375" style="18" customWidth="1"/>
    <col min="2070" max="2070" width="12.28515625" style="18" customWidth="1"/>
    <col min="2071" max="2071" width="13.7109375" style="18" customWidth="1"/>
    <col min="2072" max="2072" width="13.5703125" style="18" bestFit="1" customWidth="1"/>
    <col min="2073" max="2073" width="13.5703125" style="18" customWidth="1"/>
    <col min="2074" max="2074" width="21" style="18" customWidth="1"/>
    <col min="2075" max="2078" width="13.42578125" style="18" customWidth="1"/>
    <col min="2079" max="2080" width="19" style="18" customWidth="1"/>
    <col min="2081" max="2081" width="34" style="18" customWidth="1"/>
    <col min="2082" max="2082" width="19" style="18" customWidth="1"/>
    <col min="2083" max="2083" width="20" style="18" bestFit="1" customWidth="1"/>
    <col min="2084" max="2084" width="20.28515625" style="18" bestFit="1" customWidth="1"/>
    <col min="2085" max="2085" width="26.7109375" style="18" customWidth="1"/>
    <col min="2086" max="2086" width="20.85546875" style="18" bestFit="1" customWidth="1"/>
    <col min="2087" max="2087" width="20.85546875" style="18" customWidth="1"/>
    <col min="2088" max="2088" width="18.85546875" style="18" customWidth="1"/>
    <col min="2089" max="2089" width="17.5703125" style="18" customWidth="1"/>
    <col min="2090" max="2091" width="19.42578125" style="18" customWidth="1"/>
    <col min="2092" max="2092" width="20.7109375" style="18" bestFit="1" customWidth="1"/>
    <col min="2093" max="2093" width="80.7109375" style="18" customWidth="1"/>
    <col min="2094" max="2094" width="14.7109375" style="18" bestFit="1" customWidth="1"/>
    <col min="2095" max="2095" width="18.140625" style="18" bestFit="1" customWidth="1"/>
    <col min="2096" max="2096" width="16.7109375" style="18" bestFit="1" customWidth="1"/>
    <col min="2097" max="2097" width="18.5703125" style="18" bestFit="1" customWidth="1"/>
    <col min="2098" max="2098" width="21.28515625" style="18" bestFit="1" customWidth="1"/>
    <col min="2099" max="2099" width="16.28515625" style="18" bestFit="1" customWidth="1"/>
    <col min="2100" max="2100" width="21.140625" style="18" bestFit="1" customWidth="1"/>
    <col min="2101" max="2101" width="19" style="18" bestFit="1" customWidth="1"/>
    <col min="2102" max="2102" width="19.140625" style="18" customWidth="1"/>
    <col min="2103" max="2103" width="16.7109375" style="18" customWidth="1"/>
    <col min="2104" max="2104" width="21.140625" style="18" bestFit="1" customWidth="1"/>
    <col min="2105" max="2105" width="20.42578125" style="18" bestFit="1" customWidth="1"/>
    <col min="2106" max="2106" width="21.140625" style="18" customWidth="1"/>
    <col min="2107" max="2107" width="20.5703125" style="18" bestFit="1" customWidth="1"/>
    <col min="2108" max="2108" width="19.7109375" style="18" bestFit="1" customWidth="1"/>
    <col min="2109" max="2109" width="20.28515625" style="18" customWidth="1"/>
    <col min="2110" max="2110" width="20.85546875" style="18" bestFit="1" customWidth="1"/>
    <col min="2111" max="2111" width="19.5703125" style="18" bestFit="1" customWidth="1"/>
    <col min="2112" max="2112" width="18" style="18" customWidth="1"/>
    <col min="2113" max="2113" width="20" style="18" bestFit="1" customWidth="1"/>
    <col min="2114" max="2114" width="35.7109375" style="18" customWidth="1"/>
    <col min="2115" max="2115" width="21.140625" style="18" bestFit="1" customWidth="1"/>
    <col min="2116" max="2116" width="20.5703125" style="18" bestFit="1" customWidth="1"/>
    <col min="2117" max="2117" width="19.42578125" style="18" bestFit="1" customWidth="1"/>
    <col min="2118" max="2118" width="18.5703125" style="18" bestFit="1" customWidth="1"/>
    <col min="2119" max="2119" width="20.5703125" style="18" bestFit="1" customWidth="1"/>
    <col min="2120" max="2120" width="21.28515625" style="18" bestFit="1" customWidth="1"/>
    <col min="2121" max="2121" width="15.42578125" style="18" customWidth="1"/>
    <col min="2122" max="2122" width="20.7109375" style="18" customWidth="1"/>
    <col min="2123" max="2123" width="21.28515625" style="18" customWidth="1"/>
    <col min="2124" max="2124" width="14.85546875" style="18" bestFit="1" customWidth="1"/>
    <col min="2125" max="2125" width="23" style="18" bestFit="1" customWidth="1"/>
    <col min="2126" max="2126" width="21.28515625" style="18" bestFit="1" customWidth="1"/>
    <col min="2127" max="2127" width="20.28515625" style="18" bestFit="1" customWidth="1"/>
    <col min="2128" max="2128" width="21" style="18" bestFit="1" customWidth="1"/>
    <col min="2129" max="2129" width="18.85546875" style="18" bestFit="1" customWidth="1"/>
    <col min="2130" max="2130" width="80.7109375" style="18" customWidth="1"/>
    <col min="2131" max="2318" width="9.140625" style="18"/>
    <col min="2319" max="2319" width="2.5703125" style="18" customWidth="1"/>
    <col min="2320" max="2320" width="17.85546875" style="18" customWidth="1"/>
    <col min="2321" max="2321" width="41.5703125" style="18" customWidth="1"/>
    <col min="2322" max="2323" width="12" style="18" customWidth="1"/>
    <col min="2324" max="2324" width="17" style="18" customWidth="1"/>
    <col min="2325" max="2325" width="9.7109375" style="18" customWidth="1"/>
    <col min="2326" max="2326" width="12.28515625" style="18" customWidth="1"/>
    <col min="2327" max="2327" width="13.7109375" style="18" customWidth="1"/>
    <col min="2328" max="2328" width="13.5703125" style="18" bestFit="1" customWidth="1"/>
    <col min="2329" max="2329" width="13.5703125" style="18" customWidth="1"/>
    <col min="2330" max="2330" width="21" style="18" customWidth="1"/>
    <col min="2331" max="2334" width="13.42578125" style="18" customWidth="1"/>
    <col min="2335" max="2336" width="19" style="18" customWidth="1"/>
    <col min="2337" max="2337" width="34" style="18" customWidth="1"/>
    <col min="2338" max="2338" width="19" style="18" customWidth="1"/>
    <col min="2339" max="2339" width="20" style="18" bestFit="1" customWidth="1"/>
    <col min="2340" max="2340" width="20.28515625" style="18" bestFit="1" customWidth="1"/>
    <col min="2341" max="2341" width="26.7109375" style="18" customWidth="1"/>
    <col min="2342" max="2342" width="20.85546875" style="18" bestFit="1" customWidth="1"/>
    <col min="2343" max="2343" width="20.85546875" style="18" customWidth="1"/>
    <col min="2344" max="2344" width="18.85546875" style="18" customWidth="1"/>
    <col min="2345" max="2345" width="17.5703125" style="18" customWidth="1"/>
    <col min="2346" max="2347" width="19.42578125" style="18" customWidth="1"/>
    <col min="2348" max="2348" width="20.7109375" style="18" bestFit="1" customWidth="1"/>
    <col min="2349" max="2349" width="80.7109375" style="18" customWidth="1"/>
    <col min="2350" max="2350" width="14.7109375" style="18" bestFit="1" customWidth="1"/>
    <col min="2351" max="2351" width="18.140625" style="18" bestFit="1" customWidth="1"/>
    <col min="2352" max="2352" width="16.7109375" style="18" bestFit="1" customWidth="1"/>
    <col min="2353" max="2353" width="18.5703125" style="18" bestFit="1" customWidth="1"/>
    <col min="2354" max="2354" width="21.28515625" style="18" bestFit="1" customWidth="1"/>
    <col min="2355" max="2355" width="16.28515625" style="18" bestFit="1" customWidth="1"/>
    <col min="2356" max="2356" width="21.140625" style="18" bestFit="1" customWidth="1"/>
    <col min="2357" max="2357" width="19" style="18" bestFit="1" customWidth="1"/>
    <col min="2358" max="2358" width="19.140625" style="18" customWidth="1"/>
    <col min="2359" max="2359" width="16.7109375" style="18" customWidth="1"/>
    <col min="2360" max="2360" width="21.140625" style="18" bestFit="1" customWidth="1"/>
    <col min="2361" max="2361" width="20.42578125" style="18" bestFit="1" customWidth="1"/>
    <col min="2362" max="2362" width="21.140625" style="18" customWidth="1"/>
    <col min="2363" max="2363" width="20.5703125" style="18" bestFit="1" customWidth="1"/>
    <col min="2364" max="2364" width="19.7109375" style="18" bestFit="1" customWidth="1"/>
    <col min="2365" max="2365" width="20.28515625" style="18" customWidth="1"/>
    <col min="2366" max="2366" width="20.85546875" style="18" bestFit="1" customWidth="1"/>
    <col min="2367" max="2367" width="19.5703125" style="18" bestFit="1" customWidth="1"/>
    <col min="2368" max="2368" width="18" style="18" customWidth="1"/>
    <col min="2369" max="2369" width="20" style="18" bestFit="1" customWidth="1"/>
    <col min="2370" max="2370" width="35.7109375" style="18" customWidth="1"/>
    <col min="2371" max="2371" width="21.140625" style="18" bestFit="1" customWidth="1"/>
    <col min="2372" max="2372" width="20.5703125" style="18" bestFit="1" customWidth="1"/>
    <col min="2373" max="2373" width="19.42578125" style="18" bestFit="1" customWidth="1"/>
    <col min="2374" max="2374" width="18.5703125" style="18" bestFit="1" customWidth="1"/>
    <col min="2375" max="2375" width="20.5703125" style="18" bestFit="1" customWidth="1"/>
    <col min="2376" max="2376" width="21.28515625" style="18" bestFit="1" customWidth="1"/>
    <col min="2377" max="2377" width="15.42578125" style="18" customWidth="1"/>
    <col min="2378" max="2378" width="20.7109375" style="18" customWidth="1"/>
    <col min="2379" max="2379" width="21.28515625" style="18" customWidth="1"/>
    <col min="2380" max="2380" width="14.85546875" style="18" bestFit="1" customWidth="1"/>
    <col min="2381" max="2381" width="23" style="18" bestFit="1" customWidth="1"/>
    <col min="2382" max="2382" width="21.28515625" style="18" bestFit="1" customWidth="1"/>
    <col min="2383" max="2383" width="20.28515625" style="18" bestFit="1" customWidth="1"/>
    <col min="2384" max="2384" width="21" style="18" bestFit="1" customWidth="1"/>
    <col min="2385" max="2385" width="18.85546875" style="18" bestFit="1" customWidth="1"/>
    <col min="2386" max="2386" width="80.7109375" style="18" customWidth="1"/>
    <col min="2387" max="2574" width="9.140625" style="18"/>
    <col min="2575" max="2575" width="2.5703125" style="18" customWidth="1"/>
    <col min="2576" max="2576" width="17.85546875" style="18" customWidth="1"/>
    <col min="2577" max="2577" width="41.5703125" style="18" customWidth="1"/>
    <col min="2578" max="2579" width="12" style="18" customWidth="1"/>
    <col min="2580" max="2580" width="17" style="18" customWidth="1"/>
    <col min="2581" max="2581" width="9.7109375" style="18" customWidth="1"/>
    <col min="2582" max="2582" width="12.28515625" style="18" customWidth="1"/>
    <col min="2583" max="2583" width="13.7109375" style="18" customWidth="1"/>
    <col min="2584" max="2584" width="13.5703125" style="18" bestFit="1" customWidth="1"/>
    <col min="2585" max="2585" width="13.5703125" style="18" customWidth="1"/>
    <col min="2586" max="2586" width="21" style="18" customWidth="1"/>
    <col min="2587" max="2590" width="13.42578125" style="18" customWidth="1"/>
    <col min="2591" max="2592" width="19" style="18" customWidth="1"/>
    <col min="2593" max="2593" width="34" style="18" customWidth="1"/>
    <col min="2594" max="2594" width="19" style="18" customWidth="1"/>
    <col min="2595" max="2595" width="20" style="18" bestFit="1" customWidth="1"/>
    <col min="2596" max="2596" width="20.28515625" style="18" bestFit="1" customWidth="1"/>
    <col min="2597" max="2597" width="26.7109375" style="18" customWidth="1"/>
    <col min="2598" max="2598" width="20.85546875" style="18" bestFit="1" customWidth="1"/>
    <col min="2599" max="2599" width="20.85546875" style="18" customWidth="1"/>
    <col min="2600" max="2600" width="18.85546875" style="18" customWidth="1"/>
    <col min="2601" max="2601" width="17.5703125" style="18" customWidth="1"/>
    <col min="2602" max="2603" width="19.42578125" style="18" customWidth="1"/>
    <col min="2604" max="2604" width="20.7109375" style="18" bestFit="1" customWidth="1"/>
    <col min="2605" max="2605" width="80.7109375" style="18" customWidth="1"/>
    <col min="2606" max="2606" width="14.7109375" style="18" bestFit="1" customWidth="1"/>
    <col min="2607" max="2607" width="18.140625" style="18" bestFit="1" customWidth="1"/>
    <col min="2608" max="2608" width="16.7109375" style="18" bestFit="1" customWidth="1"/>
    <col min="2609" max="2609" width="18.5703125" style="18" bestFit="1" customWidth="1"/>
    <col min="2610" max="2610" width="21.28515625" style="18" bestFit="1" customWidth="1"/>
    <col min="2611" max="2611" width="16.28515625" style="18" bestFit="1" customWidth="1"/>
    <col min="2612" max="2612" width="21.140625" style="18" bestFit="1" customWidth="1"/>
    <col min="2613" max="2613" width="19" style="18" bestFit="1" customWidth="1"/>
    <col min="2614" max="2614" width="19.140625" style="18" customWidth="1"/>
    <col min="2615" max="2615" width="16.7109375" style="18" customWidth="1"/>
    <col min="2616" max="2616" width="21.140625" style="18" bestFit="1" customWidth="1"/>
    <col min="2617" max="2617" width="20.42578125" style="18" bestFit="1" customWidth="1"/>
    <col min="2618" max="2618" width="21.140625" style="18" customWidth="1"/>
    <col min="2619" max="2619" width="20.5703125" style="18" bestFit="1" customWidth="1"/>
    <col min="2620" max="2620" width="19.7109375" style="18" bestFit="1" customWidth="1"/>
    <col min="2621" max="2621" width="20.28515625" style="18" customWidth="1"/>
    <col min="2622" max="2622" width="20.85546875" style="18" bestFit="1" customWidth="1"/>
    <col min="2623" max="2623" width="19.5703125" style="18" bestFit="1" customWidth="1"/>
    <col min="2624" max="2624" width="18" style="18" customWidth="1"/>
    <col min="2625" max="2625" width="20" style="18" bestFit="1" customWidth="1"/>
    <col min="2626" max="2626" width="35.7109375" style="18" customWidth="1"/>
    <col min="2627" max="2627" width="21.140625" style="18" bestFit="1" customWidth="1"/>
    <col min="2628" max="2628" width="20.5703125" style="18" bestFit="1" customWidth="1"/>
    <col min="2629" max="2629" width="19.42578125" style="18" bestFit="1" customWidth="1"/>
    <col min="2630" max="2630" width="18.5703125" style="18" bestFit="1" customWidth="1"/>
    <col min="2631" max="2631" width="20.5703125" style="18" bestFit="1" customWidth="1"/>
    <col min="2632" max="2632" width="21.28515625" style="18" bestFit="1" customWidth="1"/>
    <col min="2633" max="2633" width="15.42578125" style="18" customWidth="1"/>
    <col min="2634" max="2634" width="20.7109375" style="18" customWidth="1"/>
    <col min="2635" max="2635" width="21.28515625" style="18" customWidth="1"/>
    <col min="2636" max="2636" width="14.85546875" style="18" bestFit="1" customWidth="1"/>
    <col min="2637" max="2637" width="23" style="18" bestFit="1" customWidth="1"/>
    <col min="2638" max="2638" width="21.28515625" style="18" bestFit="1" customWidth="1"/>
    <col min="2639" max="2639" width="20.28515625" style="18" bestFit="1" customWidth="1"/>
    <col min="2640" max="2640" width="21" style="18" bestFit="1" customWidth="1"/>
    <col min="2641" max="2641" width="18.85546875" style="18" bestFit="1" customWidth="1"/>
    <col min="2642" max="2642" width="80.7109375" style="18" customWidth="1"/>
    <col min="2643" max="2830" width="9.140625" style="18"/>
    <col min="2831" max="2831" width="2.5703125" style="18" customWidth="1"/>
    <col min="2832" max="2832" width="17.85546875" style="18" customWidth="1"/>
    <col min="2833" max="2833" width="41.5703125" style="18" customWidth="1"/>
    <col min="2834" max="2835" width="12" style="18" customWidth="1"/>
    <col min="2836" max="2836" width="17" style="18" customWidth="1"/>
    <col min="2837" max="2837" width="9.7109375" style="18" customWidth="1"/>
    <col min="2838" max="2838" width="12.28515625" style="18" customWidth="1"/>
    <col min="2839" max="2839" width="13.7109375" style="18" customWidth="1"/>
    <col min="2840" max="2840" width="13.5703125" style="18" bestFit="1" customWidth="1"/>
    <col min="2841" max="2841" width="13.5703125" style="18" customWidth="1"/>
    <col min="2842" max="2842" width="21" style="18" customWidth="1"/>
    <col min="2843" max="2846" width="13.42578125" style="18" customWidth="1"/>
    <col min="2847" max="2848" width="19" style="18" customWidth="1"/>
    <col min="2849" max="2849" width="34" style="18" customWidth="1"/>
    <col min="2850" max="2850" width="19" style="18" customWidth="1"/>
    <col min="2851" max="2851" width="20" style="18" bestFit="1" customWidth="1"/>
    <col min="2852" max="2852" width="20.28515625" style="18" bestFit="1" customWidth="1"/>
    <col min="2853" max="2853" width="26.7109375" style="18" customWidth="1"/>
    <col min="2854" max="2854" width="20.85546875" style="18" bestFit="1" customWidth="1"/>
    <col min="2855" max="2855" width="20.85546875" style="18" customWidth="1"/>
    <col min="2856" max="2856" width="18.85546875" style="18" customWidth="1"/>
    <col min="2857" max="2857" width="17.5703125" style="18" customWidth="1"/>
    <col min="2858" max="2859" width="19.42578125" style="18" customWidth="1"/>
    <col min="2860" max="2860" width="20.7109375" style="18" bestFit="1" customWidth="1"/>
    <col min="2861" max="2861" width="80.7109375" style="18" customWidth="1"/>
    <col min="2862" max="2862" width="14.7109375" style="18" bestFit="1" customWidth="1"/>
    <col min="2863" max="2863" width="18.140625" style="18" bestFit="1" customWidth="1"/>
    <col min="2864" max="2864" width="16.7109375" style="18" bestFit="1" customWidth="1"/>
    <col min="2865" max="2865" width="18.5703125" style="18" bestFit="1" customWidth="1"/>
    <col min="2866" max="2866" width="21.28515625" style="18" bestFit="1" customWidth="1"/>
    <col min="2867" max="2867" width="16.28515625" style="18" bestFit="1" customWidth="1"/>
    <col min="2868" max="2868" width="21.140625" style="18" bestFit="1" customWidth="1"/>
    <col min="2869" max="2869" width="19" style="18" bestFit="1" customWidth="1"/>
    <col min="2870" max="2870" width="19.140625" style="18" customWidth="1"/>
    <col min="2871" max="2871" width="16.7109375" style="18" customWidth="1"/>
    <col min="2872" max="2872" width="21.140625" style="18" bestFit="1" customWidth="1"/>
    <col min="2873" max="2873" width="20.42578125" style="18" bestFit="1" customWidth="1"/>
    <col min="2874" max="2874" width="21.140625" style="18" customWidth="1"/>
    <col min="2875" max="2875" width="20.5703125" style="18" bestFit="1" customWidth="1"/>
    <col min="2876" max="2876" width="19.7109375" style="18" bestFit="1" customWidth="1"/>
    <col min="2877" max="2877" width="20.28515625" style="18" customWidth="1"/>
    <col min="2878" max="2878" width="20.85546875" style="18" bestFit="1" customWidth="1"/>
    <col min="2879" max="2879" width="19.5703125" style="18" bestFit="1" customWidth="1"/>
    <col min="2880" max="2880" width="18" style="18" customWidth="1"/>
    <col min="2881" max="2881" width="20" style="18" bestFit="1" customWidth="1"/>
    <col min="2882" max="2882" width="35.7109375" style="18" customWidth="1"/>
    <col min="2883" max="2883" width="21.140625" style="18" bestFit="1" customWidth="1"/>
    <col min="2884" max="2884" width="20.5703125" style="18" bestFit="1" customWidth="1"/>
    <col min="2885" max="2885" width="19.42578125" style="18" bestFit="1" customWidth="1"/>
    <col min="2886" max="2886" width="18.5703125" style="18" bestFit="1" customWidth="1"/>
    <col min="2887" max="2887" width="20.5703125" style="18" bestFit="1" customWidth="1"/>
    <col min="2888" max="2888" width="21.28515625" style="18" bestFit="1" customWidth="1"/>
    <col min="2889" max="2889" width="15.42578125" style="18" customWidth="1"/>
    <col min="2890" max="2890" width="20.7109375" style="18" customWidth="1"/>
    <col min="2891" max="2891" width="21.28515625" style="18" customWidth="1"/>
    <col min="2892" max="2892" width="14.85546875" style="18" bestFit="1" customWidth="1"/>
    <col min="2893" max="2893" width="23" style="18" bestFit="1" customWidth="1"/>
    <col min="2894" max="2894" width="21.28515625" style="18" bestFit="1" customWidth="1"/>
    <col min="2895" max="2895" width="20.28515625" style="18" bestFit="1" customWidth="1"/>
    <col min="2896" max="2896" width="21" style="18" bestFit="1" customWidth="1"/>
    <col min="2897" max="2897" width="18.85546875" style="18" bestFit="1" customWidth="1"/>
    <col min="2898" max="2898" width="80.7109375" style="18" customWidth="1"/>
    <col min="2899" max="3086" width="9.140625" style="18"/>
    <col min="3087" max="3087" width="2.5703125" style="18" customWidth="1"/>
    <col min="3088" max="3088" width="17.85546875" style="18" customWidth="1"/>
    <col min="3089" max="3089" width="41.5703125" style="18" customWidth="1"/>
    <col min="3090" max="3091" width="12" style="18" customWidth="1"/>
    <col min="3092" max="3092" width="17" style="18" customWidth="1"/>
    <col min="3093" max="3093" width="9.7109375" style="18" customWidth="1"/>
    <col min="3094" max="3094" width="12.28515625" style="18" customWidth="1"/>
    <col min="3095" max="3095" width="13.7109375" style="18" customWidth="1"/>
    <col min="3096" max="3096" width="13.5703125" style="18" bestFit="1" customWidth="1"/>
    <col min="3097" max="3097" width="13.5703125" style="18" customWidth="1"/>
    <col min="3098" max="3098" width="21" style="18" customWidth="1"/>
    <col min="3099" max="3102" width="13.42578125" style="18" customWidth="1"/>
    <col min="3103" max="3104" width="19" style="18" customWidth="1"/>
    <col min="3105" max="3105" width="34" style="18" customWidth="1"/>
    <col min="3106" max="3106" width="19" style="18" customWidth="1"/>
    <col min="3107" max="3107" width="20" style="18" bestFit="1" customWidth="1"/>
    <col min="3108" max="3108" width="20.28515625" style="18" bestFit="1" customWidth="1"/>
    <col min="3109" max="3109" width="26.7109375" style="18" customWidth="1"/>
    <col min="3110" max="3110" width="20.85546875" style="18" bestFit="1" customWidth="1"/>
    <col min="3111" max="3111" width="20.85546875" style="18" customWidth="1"/>
    <col min="3112" max="3112" width="18.85546875" style="18" customWidth="1"/>
    <col min="3113" max="3113" width="17.5703125" style="18" customWidth="1"/>
    <col min="3114" max="3115" width="19.42578125" style="18" customWidth="1"/>
    <col min="3116" max="3116" width="20.7109375" style="18" bestFit="1" customWidth="1"/>
    <col min="3117" max="3117" width="80.7109375" style="18" customWidth="1"/>
    <col min="3118" max="3118" width="14.7109375" style="18" bestFit="1" customWidth="1"/>
    <col min="3119" max="3119" width="18.140625" style="18" bestFit="1" customWidth="1"/>
    <col min="3120" max="3120" width="16.7109375" style="18" bestFit="1" customWidth="1"/>
    <col min="3121" max="3121" width="18.5703125" style="18" bestFit="1" customWidth="1"/>
    <col min="3122" max="3122" width="21.28515625" style="18" bestFit="1" customWidth="1"/>
    <col min="3123" max="3123" width="16.28515625" style="18" bestFit="1" customWidth="1"/>
    <col min="3124" max="3124" width="21.140625" style="18" bestFit="1" customWidth="1"/>
    <col min="3125" max="3125" width="19" style="18" bestFit="1" customWidth="1"/>
    <col min="3126" max="3126" width="19.140625" style="18" customWidth="1"/>
    <col min="3127" max="3127" width="16.7109375" style="18" customWidth="1"/>
    <col min="3128" max="3128" width="21.140625" style="18" bestFit="1" customWidth="1"/>
    <col min="3129" max="3129" width="20.42578125" style="18" bestFit="1" customWidth="1"/>
    <col min="3130" max="3130" width="21.140625" style="18" customWidth="1"/>
    <col min="3131" max="3131" width="20.5703125" style="18" bestFit="1" customWidth="1"/>
    <col min="3132" max="3132" width="19.7109375" style="18" bestFit="1" customWidth="1"/>
    <col min="3133" max="3133" width="20.28515625" style="18" customWidth="1"/>
    <col min="3134" max="3134" width="20.85546875" style="18" bestFit="1" customWidth="1"/>
    <col min="3135" max="3135" width="19.5703125" style="18" bestFit="1" customWidth="1"/>
    <col min="3136" max="3136" width="18" style="18" customWidth="1"/>
    <col min="3137" max="3137" width="20" style="18" bestFit="1" customWidth="1"/>
    <col min="3138" max="3138" width="35.7109375" style="18" customWidth="1"/>
    <col min="3139" max="3139" width="21.140625" style="18" bestFit="1" customWidth="1"/>
    <col min="3140" max="3140" width="20.5703125" style="18" bestFit="1" customWidth="1"/>
    <col min="3141" max="3141" width="19.42578125" style="18" bestFit="1" customWidth="1"/>
    <col min="3142" max="3142" width="18.5703125" style="18" bestFit="1" customWidth="1"/>
    <col min="3143" max="3143" width="20.5703125" style="18" bestFit="1" customWidth="1"/>
    <col min="3144" max="3144" width="21.28515625" style="18" bestFit="1" customWidth="1"/>
    <col min="3145" max="3145" width="15.42578125" style="18" customWidth="1"/>
    <col min="3146" max="3146" width="20.7109375" style="18" customWidth="1"/>
    <col min="3147" max="3147" width="21.28515625" style="18" customWidth="1"/>
    <col min="3148" max="3148" width="14.85546875" style="18" bestFit="1" customWidth="1"/>
    <col min="3149" max="3149" width="23" style="18" bestFit="1" customWidth="1"/>
    <col min="3150" max="3150" width="21.28515625" style="18" bestFit="1" customWidth="1"/>
    <col min="3151" max="3151" width="20.28515625" style="18" bestFit="1" customWidth="1"/>
    <col min="3152" max="3152" width="21" style="18" bestFit="1" customWidth="1"/>
    <col min="3153" max="3153" width="18.85546875" style="18" bestFit="1" customWidth="1"/>
    <col min="3154" max="3154" width="80.7109375" style="18" customWidth="1"/>
    <col min="3155" max="3342" width="9.140625" style="18"/>
    <col min="3343" max="3343" width="2.5703125" style="18" customWidth="1"/>
    <col min="3344" max="3344" width="17.85546875" style="18" customWidth="1"/>
    <col min="3345" max="3345" width="41.5703125" style="18" customWidth="1"/>
    <col min="3346" max="3347" width="12" style="18" customWidth="1"/>
    <col min="3348" max="3348" width="17" style="18" customWidth="1"/>
    <col min="3349" max="3349" width="9.7109375" style="18" customWidth="1"/>
    <col min="3350" max="3350" width="12.28515625" style="18" customWidth="1"/>
    <col min="3351" max="3351" width="13.7109375" style="18" customWidth="1"/>
    <col min="3352" max="3352" width="13.5703125" style="18" bestFit="1" customWidth="1"/>
    <col min="3353" max="3353" width="13.5703125" style="18" customWidth="1"/>
    <col min="3354" max="3354" width="21" style="18" customWidth="1"/>
    <col min="3355" max="3358" width="13.42578125" style="18" customWidth="1"/>
    <col min="3359" max="3360" width="19" style="18" customWidth="1"/>
    <col min="3361" max="3361" width="34" style="18" customWidth="1"/>
    <col min="3362" max="3362" width="19" style="18" customWidth="1"/>
    <col min="3363" max="3363" width="20" style="18" bestFit="1" customWidth="1"/>
    <col min="3364" max="3364" width="20.28515625" style="18" bestFit="1" customWidth="1"/>
    <col min="3365" max="3365" width="26.7109375" style="18" customWidth="1"/>
    <col min="3366" max="3366" width="20.85546875" style="18" bestFit="1" customWidth="1"/>
    <col min="3367" max="3367" width="20.85546875" style="18" customWidth="1"/>
    <col min="3368" max="3368" width="18.85546875" style="18" customWidth="1"/>
    <col min="3369" max="3369" width="17.5703125" style="18" customWidth="1"/>
    <col min="3370" max="3371" width="19.42578125" style="18" customWidth="1"/>
    <col min="3372" max="3372" width="20.7109375" style="18" bestFit="1" customWidth="1"/>
    <col min="3373" max="3373" width="80.7109375" style="18" customWidth="1"/>
    <col min="3374" max="3374" width="14.7109375" style="18" bestFit="1" customWidth="1"/>
    <col min="3375" max="3375" width="18.140625" style="18" bestFit="1" customWidth="1"/>
    <col min="3376" max="3376" width="16.7109375" style="18" bestFit="1" customWidth="1"/>
    <col min="3377" max="3377" width="18.5703125" style="18" bestFit="1" customWidth="1"/>
    <col min="3378" max="3378" width="21.28515625" style="18" bestFit="1" customWidth="1"/>
    <col min="3379" max="3379" width="16.28515625" style="18" bestFit="1" customWidth="1"/>
    <col min="3380" max="3380" width="21.140625" style="18" bestFit="1" customWidth="1"/>
    <col min="3381" max="3381" width="19" style="18" bestFit="1" customWidth="1"/>
    <col min="3382" max="3382" width="19.140625" style="18" customWidth="1"/>
    <col min="3383" max="3383" width="16.7109375" style="18" customWidth="1"/>
    <col min="3384" max="3384" width="21.140625" style="18" bestFit="1" customWidth="1"/>
    <col min="3385" max="3385" width="20.42578125" style="18" bestFit="1" customWidth="1"/>
    <col min="3386" max="3386" width="21.140625" style="18" customWidth="1"/>
    <col min="3387" max="3387" width="20.5703125" style="18" bestFit="1" customWidth="1"/>
    <col min="3388" max="3388" width="19.7109375" style="18" bestFit="1" customWidth="1"/>
    <col min="3389" max="3389" width="20.28515625" style="18" customWidth="1"/>
    <col min="3390" max="3390" width="20.85546875" style="18" bestFit="1" customWidth="1"/>
    <col min="3391" max="3391" width="19.5703125" style="18" bestFit="1" customWidth="1"/>
    <col min="3392" max="3392" width="18" style="18" customWidth="1"/>
    <col min="3393" max="3393" width="20" style="18" bestFit="1" customWidth="1"/>
    <col min="3394" max="3394" width="35.7109375" style="18" customWidth="1"/>
    <col min="3395" max="3395" width="21.140625" style="18" bestFit="1" customWidth="1"/>
    <col min="3396" max="3396" width="20.5703125" style="18" bestFit="1" customWidth="1"/>
    <col min="3397" max="3397" width="19.42578125" style="18" bestFit="1" customWidth="1"/>
    <col min="3398" max="3398" width="18.5703125" style="18" bestFit="1" customWidth="1"/>
    <col min="3399" max="3399" width="20.5703125" style="18" bestFit="1" customWidth="1"/>
    <col min="3400" max="3400" width="21.28515625" style="18" bestFit="1" customWidth="1"/>
    <col min="3401" max="3401" width="15.42578125" style="18" customWidth="1"/>
    <col min="3402" max="3402" width="20.7109375" style="18" customWidth="1"/>
    <col min="3403" max="3403" width="21.28515625" style="18" customWidth="1"/>
    <col min="3404" max="3404" width="14.85546875" style="18" bestFit="1" customWidth="1"/>
    <col min="3405" max="3405" width="23" style="18" bestFit="1" customWidth="1"/>
    <col min="3406" max="3406" width="21.28515625" style="18" bestFit="1" customWidth="1"/>
    <col min="3407" max="3407" width="20.28515625" style="18" bestFit="1" customWidth="1"/>
    <col min="3408" max="3408" width="21" style="18" bestFit="1" customWidth="1"/>
    <col min="3409" max="3409" width="18.85546875" style="18" bestFit="1" customWidth="1"/>
    <col min="3410" max="3410" width="80.7109375" style="18" customWidth="1"/>
    <col min="3411" max="3598" width="9.140625" style="18"/>
    <col min="3599" max="3599" width="2.5703125" style="18" customWidth="1"/>
    <col min="3600" max="3600" width="17.85546875" style="18" customWidth="1"/>
    <col min="3601" max="3601" width="41.5703125" style="18" customWidth="1"/>
    <col min="3602" max="3603" width="12" style="18" customWidth="1"/>
    <col min="3604" max="3604" width="17" style="18" customWidth="1"/>
    <col min="3605" max="3605" width="9.7109375" style="18" customWidth="1"/>
    <col min="3606" max="3606" width="12.28515625" style="18" customWidth="1"/>
    <col min="3607" max="3607" width="13.7109375" style="18" customWidth="1"/>
    <col min="3608" max="3608" width="13.5703125" style="18" bestFit="1" customWidth="1"/>
    <col min="3609" max="3609" width="13.5703125" style="18" customWidth="1"/>
    <col min="3610" max="3610" width="21" style="18" customWidth="1"/>
    <col min="3611" max="3614" width="13.42578125" style="18" customWidth="1"/>
    <col min="3615" max="3616" width="19" style="18" customWidth="1"/>
    <col min="3617" max="3617" width="34" style="18" customWidth="1"/>
    <col min="3618" max="3618" width="19" style="18" customWidth="1"/>
    <col min="3619" max="3619" width="20" style="18" bestFit="1" customWidth="1"/>
    <col min="3620" max="3620" width="20.28515625" style="18" bestFit="1" customWidth="1"/>
    <col min="3621" max="3621" width="26.7109375" style="18" customWidth="1"/>
    <col min="3622" max="3622" width="20.85546875" style="18" bestFit="1" customWidth="1"/>
    <col min="3623" max="3623" width="20.85546875" style="18" customWidth="1"/>
    <col min="3624" max="3624" width="18.85546875" style="18" customWidth="1"/>
    <col min="3625" max="3625" width="17.5703125" style="18" customWidth="1"/>
    <col min="3626" max="3627" width="19.42578125" style="18" customWidth="1"/>
    <col min="3628" max="3628" width="20.7109375" style="18" bestFit="1" customWidth="1"/>
    <col min="3629" max="3629" width="80.7109375" style="18" customWidth="1"/>
    <col min="3630" max="3630" width="14.7109375" style="18" bestFit="1" customWidth="1"/>
    <col min="3631" max="3631" width="18.140625" style="18" bestFit="1" customWidth="1"/>
    <col min="3632" max="3632" width="16.7109375" style="18" bestFit="1" customWidth="1"/>
    <col min="3633" max="3633" width="18.5703125" style="18" bestFit="1" customWidth="1"/>
    <col min="3634" max="3634" width="21.28515625" style="18" bestFit="1" customWidth="1"/>
    <col min="3635" max="3635" width="16.28515625" style="18" bestFit="1" customWidth="1"/>
    <col min="3636" max="3636" width="21.140625" style="18" bestFit="1" customWidth="1"/>
    <col min="3637" max="3637" width="19" style="18" bestFit="1" customWidth="1"/>
    <col min="3638" max="3638" width="19.140625" style="18" customWidth="1"/>
    <col min="3639" max="3639" width="16.7109375" style="18" customWidth="1"/>
    <col min="3640" max="3640" width="21.140625" style="18" bestFit="1" customWidth="1"/>
    <col min="3641" max="3641" width="20.42578125" style="18" bestFit="1" customWidth="1"/>
    <col min="3642" max="3642" width="21.140625" style="18" customWidth="1"/>
    <col min="3643" max="3643" width="20.5703125" style="18" bestFit="1" customWidth="1"/>
    <col min="3644" max="3644" width="19.7109375" style="18" bestFit="1" customWidth="1"/>
    <col min="3645" max="3645" width="20.28515625" style="18" customWidth="1"/>
    <col min="3646" max="3646" width="20.85546875" style="18" bestFit="1" customWidth="1"/>
    <col min="3647" max="3647" width="19.5703125" style="18" bestFit="1" customWidth="1"/>
    <col min="3648" max="3648" width="18" style="18" customWidth="1"/>
    <col min="3649" max="3649" width="20" style="18" bestFit="1" customWidth="1"/>
    <col min="3650" max="3650" width="35.7109375" style="18" customWidth="1"/>
    <col min="3651" max="3651" width="21.140625" style="18" bestFit="1" customWidth="1"/>
    <col min="3652" max="3652" width="20.5703125" style="18" bestFit="1" customWidth="1"/>
    <col min="3653" max="3653" width="19.42578125" style="18" bestFit="1" customWidth="1"/>
    <col min="3654" max="3654" width="18.5703125" style="18" bestFit="1" customWidth="1"/>
    <col min="3655" max="3655" width="20.5703125" style="18" bestFit="1" customWidth="1"/>
    <col min="3656" max="3656" width="21.28515625" style="18" bestFit="1" customWidth="1"/>
    <col min="3657" max="3657" width="15.42578125" style="18" customWidth="1"/>
    <col min="3658" max="3658" width="20.7109375" style="18" customWidth="1"/>
    <col min="3659" max="3659" width="21.28515625" style="18" customWidth="1"/>
    <col min="3660" max="3660" width="14.85546875" style="18" bestFit="1" customWidth="1"/>
    <col min="3661" max="3661" width="23" style="18" bestFit="1" customWidth="1"/>
    <col min="3662" max="3662" width="21.28515625" style="18" bestFit="1" customWidth="1"/>
    <col min="3663" max="3663" width="20.28515625" style="18" bestFit="1" customWidth="1"/>
    <col min="3664" max="3664" width="21" style="18" bestFit="1" customWidth="1"/>
    <col min="3665" max="3665" width="18.85546875" style="18" bestFit="1" customWidth="1"/>
    <col min="3666" max="3666" width="80.7109375" style="18" customWidth="1"/>
    <col min="3667" max="3854" width="9.140625" style="18"/>
    <col min="3855" max="3855" width="2.5703125" style="18" customWidth="1"/>
    <col min="3856" max="3856" width="17.85546875" style="18" customWidth="1"/>
    <col min="3857" max="3857" width="41.5703125" style="18" customWidth="1"/>
    <col min="3858" max="3859" width="12" style="18" customWidth="1"/>
    <col min="3860" max="3860" width="17" style="18" customWidth="1"/>
    <col min="3861" max="3861" width="9.7109375" style="18" customWidth="1"/>
    <col min="3862" max="3862" width="12.28515625" style="18" customWidth="1"/>
    <col min="3863" max="3863" width="13.7109375" style="18" customWidth="1"/>
    <col min="3864" max="3864" width="13.5703125" style="18" bestFit="1" customWidth="1"/>
    <col min="3865" max="3865" width="13.5703125" style="18" customWidth="1"/>
    <col min="3866" max="3866" width="21" style="18" customWidth="1"/>
    <col min="3867" max="3870" width="13.42578125" style="18" customWidth="1"/>
    <col min="3871" max="3872" width="19" style="18" customWidth="1"/>
    <col min="3873" max="3873" width="34" style="18" customWidth="1"/>
    <col min="3874" max="3874" width="19" style="18" customWidth="1"/>
    <col min="3875" max="3875" width="20" style="18" bestFit="1" customWidth="1"/>
    <col min="3876" max="3876" width="20.28515625" style="18" bestFit="1" customWidth="1"/>
    <col min="3877" max="3877" width="26.7109375" style="18" customWidth="1"/>
    <col min="3878" max="3878" width="20.85546875" style="18" bestFit="1" customWidth="1"/>
    <col min="3879" max="3879" width="20.85546875" style="18" customWidth="1"/>
    <col min="3880" max="3880" width="18.85546875" style="18" customWidth="1"/>
    <col min="3881" max="3881" width="17.5703125" style="18" customWidth="1"/>
    <col min="3882" max="3883" width="19.42578125" style="18" customWidth="1"/>
    <col min="3884" max="3884" width="20.7109375" style="18" bestFit="1" customWidth="1"/>
    <col min="3885" max="3885" width="80.7109375" style="18" customWidth="1"/>
    <col min="3886" max="3886" width="14.7109375" style="18" bestFit="1" customWidth="1"/>
    <col min="3887" max="3887" width="18.140625" style="18" bestFit="1" customWidth="1"/>
    <col min="3888" max="3888" width="16.7109375" style="18" bestFit="1" customWidth="1"/>
    <col min="3889" max="3889" width="18.5703125" style="18" bestFit="1" customWidth="1"/>
    <col min="3890" max="3890" width="21.28515625" style="18" bestFit="1" customWidth="1"/>
    <col min="3891" max="3891" width="16.28515625" style="18" bestFit="1" customWidth="1"/>
    <col min="3892" max="3892" width="21.140625" style="18" bestFit="1" customWidth="1"/>
    <col min="3893" max="3893" width="19" style="18" bestFit="1" customWidth="1"/>
    <col min="3894" max="3894" width="19.140625" style="18" customWidth="1"/>
    <col min="3895" max="3895" width="16.7109375" style="18" customWidth="1"/>
    <col min="3896" max="3896" width="21.140625" style="18" bestFit="1" customWidth="1"/>
    <col min="3897" max="3897" width="20.42578125" style="18" bestFit="1" customWidth="1"/>
    <col min="3898" max="3898" width="21.140625" style="18" customWidth="1"/>
    <col min="3899" max="3899" width="20.5703125" style="18" bestFit="1" customWidth="1"/>
    <col min="3900" max="3900" width="19.7109375" style="18" bestFit="1" customWidth="1"/>
    <col min="3901" max="3901" width="20.28515625" style="18" customWidth="1"/>
    <col min="3902" max="3902" width="20.85546875" style="18" bestFit="1" customWidth="1"/>
    <col min="3903" max="3903" width="19.5703125" style="18" bestFit="1" customWidth="1"/>
    <col min="3904" max="3904" width="18" style="18" customWidth="1"/>
    <col min="3905" max="3905" width="20" style="18" bestFit="1" customWidth="1"/>
    <col min="3906" max="3906" width="35.7109375" style="18" customWidth="1"/>
    <col min="3907" max="3907" width="21.140625" style="18" bestFit="1" customWidth="1"/>
    <col min="3908" max="3908" width="20.5703125" style="18" bestFit="1" customWidth="1"/>
    <col min="3909" max="3909" width="19.42578125" style="18" bestFit="1" customWidth="1"/>
    <col min="3910" max="3910" width="18.5703125" style="18" bestFit="1" customWidth="1"/>
    <col min="3911" max="3911" width="20.5703125" style="18" bestFit="1" customWidth="1"/>
    <col min="3912" max="3912" width="21.28515625" style="18" bestFit="1" customWidth="1"/>
    <col min="3913" max="3913" width="15.42578125" style="18" customWidth="1"/>
    <col min="3914" max="3914" width="20.7109375" style="18" customWidth="1"/>
    <col min="3915" max="3915" width="21.28515625" style="18" customWidth="1"/>
    <col min="3916" max="3916" width="14.85546875" style="18" bestFit="1" customWidth="1"/>
    <col min="3917" max="3917" width="23" style="18" bestFit="1" customWidth="1"/>
    <col min="3918" max="3918" width="21.28515625" style="18" bestFit="1" customWidth="1"/>
    <col min="3919" max="3919" width="20.28515625" style="18" bestFit="1" customWidth="1"/>
    <col min="3920" max="3920" width="21" style="18" bestFit="1" customWidth="1"/>
    <col min="3921" max="3921" width="18.85546875" style="18" bestFit="1" customWidth="1"/>
    <col min="3922" max="3922" width="80.7109375" style="18" customWidth="1"/>
    <col min="3923" max="4110" width="9.140625" style="18"/>
    <col min="4111" max="4111" width="2.5703125" style="18" customWidth="1"/>
    <col min="4112" max="4112" width="17.85546875" style="18" customWidth="1"/>
    <col min="4113" max="4113" width="41.5703125" style="18" customWidth="1"/>
    <col min="4114" max="4115" width="12" style="18" customWidth="1"/>
    <col min="4116" max="4116" width="17" style="18" customWidth="1"/>
    <col min="4117" max="4117" width="9.7109375" style="18" customWidth="1"/>
    <col min="4118" max="4118" width="12.28515625" style="18" customWidth="1"/>
    <col min="4119" max="4119" width="13.7109375" style="18" customWidth="1"/>
    <col min="4120" max="4120" width="13.5703125" style="18" bestFit="1" customWidth="1"/>
    <col min="4121" max="4121" width="13.5703125" style="18" customWidth="1"/>
    <col min="4122" max="4122" width="21" style="18" customWidth="1"/>
    <col min="4123" max="4126" width="13.42578125" style="18" customWidth="1"/>
    <col min="4127" max="4128" width="19" style="18" customWidth="1"/>
    <col min="4129" max="4129" width="34" style="18" customWidth="1"/>
    <col min="4130" max="4130" width="19" style="18" customWidth="1"/>
    <col min="4131" max="4131" width="20" style="18" bestFit="1" customWidth="1"/>
    <col min="4132" max="4132" width="20.28515625" style="18" bestFit="1" customWidth="1"/>
    <col min="4133" max="4133" width="26.7109375" style="18" customWidth="1"/>
    <col min="4134" max="4134" width="20.85546875" style="18" bestFit="1" customWidth="1"/>
    <col min="4135" max="4135" width="20.85546875" style="18" customWidth="1"/>
    <col min="4136" max="4136" width="18.85546875" style="18" customWidth="1"/>
    <col min="4137" max="4137" width="17.5703125" style="18" customWidth="1"/>
    <col min="4138" max="4139" width="19.42578125" style="18" customWidth="1"/>
    <col min="4140" max="4140" width="20.7109375" style="18" bestFit="1" customWidth="1"/>
    <col min="4141" max="4141" width="80.7109375" style="18" customWidth="1"/>
    <col min="4142" max="4142" width="14.7109375" style="18" bestFit="1" customWidth="1"/>
    <col min="4143" max="4143" width="18.140625" style="18" bestFit="1" customWidth="1"/>
    <col min="4144" max="4144" width="16.7109375" style="18" bestFit="1" customWidth="1"/>
    <col min="4145" max="4145" width="18.5703125" style="18" bestFit="1" customWidth="1"/>
    <col min="4146" max="4146" width="21.28515625" style="18" bestFit="1" customWidth="1"/>
    <col min="4147" max="4147" width="16.28515625" style="18" bestFit="1" customWidth="1"/>
    <col min="4148" max="4148" width="21.140625" style="18" bestFit="1" customWidth="1"/>
    <col min="4149" max="4149" width="19" style="18" bestFit="1" customWidth="1"/>
    <col min="4150" max="4150" width="19.140625" style="18" customWidth="1"/>
    <col min="4151" max="4151" width="16.7109375" style="18" customWidth="1"/>
    <col min="4152" max="4152" width="21.140625" style="18" bestFit="1" customWidth="1"/>
    <col min="4153" max="4153" width="20.42578125" style="18" bestFit="1" customWidth="1"/>
    <col min="4154" max="4154" width="21.140625" style="18" customWidth="1"/>
    <col min="4155" max="4155" width="20.5703125" style="18" bestFit="1" customWidth="1"/>
    <col min="4156" max="4156" width="19.7109375" style="18" bestFit="1" customWidth="1"/>
    <col min="4157" max="4157" width="20.28515625" style="18" customWidth="1"/>
    <col min="4158" max="4158" width="20.85546875" style="18" bestFit="1" customWidth="1"/>
    <col min="4159" max="4159" width="19.5703125" style="18" bestFit="1" customWidth="1"/>
    <col min="4160" max="4160" width="18" style="18" customWidth="1"/>
    <col min="4161" max="4161" width="20" style="18" bestFit="1" customWidth="1"/>
    <col min="4162" max="4162" width="35.7109375" style="18" customWidth="1"/>
    <col min="4163" max="4163" width="21.140625" style="18" bestFit="1" customWidth="1"/>
    <col min="4164" max="4164" width="20.5703125" style="18" bestFit="1" customWidth="1"/>
    <col min="4165" max="4165" width="19.42578125" style="18" bestFit="1" customWidth="1"/>
    <col min="4166" max="4166" width="18.5703125" style="18" bestFit="1" customWidth="1"/>
    <col min="4167" max="4167" width="20.5703125" style="18" bestFit="1" customWidth="1"/>
    <col min="4168" max="4168" width="21.28515625" style="18" bestFit="1" customWidth="1"/>
    <col min="4169" max="4169" width="15.42578125" style="18" customWidth="1"/>
    <col min="4170" max="4170" width="20.7109375" style="18" customWidth="1"/>
    <col min="4171" max="4171" width="21.28515625" style="18" customWidth="1"/>
    <col min="4172" max="4172" width="14.85546875" style="18" bestFit="1" customWidth="1"/>
    <col min="4173" max="4173" width="23" style="18" bestFit="1" customWidth="1"/>
    <col min="4174" max="4174" width="21.28515625" style="18" bestFit="1" customWidth="1"/>
    <col min="4175" max="4175" width="20.28515625" style="18" bestFit="1" customWidth="1"/>
    <col min="4176" max="4176" width="21" style="18" bestFit="1" customWidth="1"/>
    <col min="4177" max="4177" width="18.85546875" style="18" bestFit="1" customWidth="1"/>
    <col min="4178" max="4178" width="80.7109375" style="18" customWidth="1"/>
    <col min="4179" max="4366" width="9.140625" style="18"/>
    <col min="4367" max="4367" width="2.5703125" style="18" customWidth="1"/>
    <col min="4368" max="4368" width="17.85546875" style="18" customWidth="1"/>
    <col min="4369" max="4369" width="41.5703125" style="18" customWidth="1"/>
    <col min="4370" max="4371" width="12" style="18" customWidth="1"/>
    <col min="4372" max="4372" width="17" style="18" customWidth="1"/>
    <col min="4373" max="4373" width="9.7109375" style="18" customWidth="1"/>
    <col min="4374" max="4374" width="12.28515625" style="18" customWidth="1"/>
    <col min="4375" max="4375" width="13.7109375" style="18" customWidth="1"/>
    <col min="4376" max="4376" width="13.5703125" style="18" bestFit="1" customWidth="1"/>
    <col min="4377" max="4377" width="13.5703125" style="18" customWidth="1"/>
    <col min="4378" max="4378" width="21" style="18" customWidth="1"/>
    <col min="4379" max="4382" width="13.42578125" style="18" customWidth="1"/>
    <col min="4383" max="4384" width="19" style="18" customWidth="1"/>
    <col min="4385" max="4385" width="34" style="18" customWidth="1"/>
    <col min="4386" max="4386" width="19" style="18" customWidth="1"/>
    <col min="4387" max="4387" width="20" style="18" bestFit="1" customWidth="1"/>
    <col min="4388" max="4388" width="20.28515625" style="18" bestFit="1" customWidth="1"/>
    <col min="4389" max="4389" width="26.7109375" style="18" customWidth="1"/>
    <col min="4390" max="4390" width="20.85546875" style="18" bestFit="1" customWidth="1"/>
    <col min="4391" max="4391" width="20.85546875" style="18" customWidth="1"/>
    <col min="4392" max="4392" width="18.85546875" style="18" customWidth="1"/>
    <col min="4393" max="4393" width="17.5703125" style="18" customWidth="1"/>
    <col min="4394" max="4395" width="19.42578125" style="18" customWidth="1"/>
    <col min="4396" max="4396" width="20.7109375" style="18" bestFit="1" customWidth="1"/>
    <col min="4397" max="4397" width="80.7109375" style="18" customWidth="1"/>
    <col min="4398" max="4398" width="14.7109375" style="18" bestFit="1" customWidth="1"/>
    <col min="4399" max="4399" width="18.140625" style="18" bestFit="1" customWidth="1"/>
    <col min="4400" max="4400" width="16.7109375" style="18" bestFit="1" customWidth="1"/>
    <col min="4401" max="4401" width="18.5703125" style="18" bestFit="1" customWidth="1"/>
    <col min="4402" max="4402" width="21.28515625" style="18" bestFit="1" customWidth="1"/>
    <col min="4403" max="4403" width="16.28515625" style="18" bestFit="1" customWidth="1"/>
    <col min="4404" max="4404" width="21.140625" style="18" bestFit="1" customWidth="1"/>
    <col min="4405" max="4405" width="19" style="18" bestFit="1" customWidth="1"/>
    <col min="4406" max="4406" width="19.140625" style="18" customWidth="1"/>
    <col min="4407" max="4407" width="16.7109375" style="18" customWidth="1"/>
    <col min="4408" max="4408" width="21.140625" style="18" bestFit="1" customWidth="1"/>
    <col min="4409" max="4409" width="20.42578125" style="18" bestFit="1" customWidth="1"/>
    <col min="4410" max="4410" width="21.140625" style="18" customWidth="1"/>
    <col min="4411" max="4411" width="20.5703125" style="18" bestFit="1" customWidth="1"/>
    <col min="4412" max="4412" width="19.7109375" style="18" bestFit="1" customWidth="1"/>
    <col min="4413" max="4413" width="20.28515625" style="18" customWidth="1"/>
    <col min="4414" max="4414" width="20.85546875" style="18" bestFit="1" customWidth="1"/>
    <col min="4415" max="4415" width="19.5703125" style="18" bestFit="1" customWidth="1"/>
    <col min="4416" max="4416" width="18" style="18" customWidth="1"/>
    <col min="4417" max="4417" width="20" style="18" bestFit="1" customWidth="1"/>
    <col min="4418" max="4418" width="35.7109375" style="18" customWidth="1"/>
    <col min="4419" max="4419" width="21.140625" style="18" bestFit="1" customWidth="1"/>
    <col min="4420" max="4420" width="20.5703125" style="18" bestFit="1" customWidth="1"/>
    <col min="4421" max="4421" width="19.42578125" style="18" bestFit="1" customWidth="1"/>
    <col min="4422" max="4422" width="18.5703125" style="18" bestFit="1" customWidth="1"/>
    <col min="4423" max="4423" width="20.5703125" style="18" bestFit="1" customWidth="1"/>
    <col min="4424" max="4424" width="21.28515625" style="18" bestFit="1" customWidth="1"/>
    <col min="4425" max="4425" width="15.42578125" style="18" customWidth="1"/>
    <col min="4426" max="4426" width="20.7109375" style="18" customWidth="1"/>
    <col min="4427" max="4427" width="21.28515625" style="18" customWidth="1"/>
    <col min="4428" max="4428" width="14.85546875" style="18" bestFit="1" customWidth="1"/>
    <col min="4429" max="4429" width="23" style="18" bestFit="1" customWidth="1"/>
    <col min="4430" max="4430" width="21.28515625" style="18" bestFit="1" customWidth="1"/>
    <col min="4431" max="4431" width="20.28515625" style="18" bestFit="1" customWidth="1"/>
    <col min="4432" max="4432" width="21" style="18" bestFit="1" customWidth="1"/>
    <col min="4433" max="4433" width="18.85546875" style="18" bestFit="1" customWidth="1"/>
    <col min="4434" max="4434" width="80.7109375" style="18" customWidth="1"/>
    <col min="4435" max="4622" width="9.140625" style="18"/>
    <col min="4623" max="4623" width="2.5703125" style="18" customWidth="1"/>
    <col min="4624" max="4624" width="17.85546875" style="18" customWidth="1"/>
    <col min="4625" max="4625" width="41.5703125" style="18" customWidth="1"/>
    <col min="4626" max="4627" width="12" style="18" customWidth="1"/>
    <col min="4628" max="4628" width="17" style="18" customWidth="1"/>
    <col min="4629" max="4629" width="9.7109375" style="18" customWidth="1"/>
    <col min="4630" max="4630" width="12.28515625" style="18" customWidth="1"/>
    <col min="4631" max="4631" width="13.7109375" style="18" customWidth="1"/>
    <col min="4632" max="4632" width="13.5703125" style="18" bestFit="1" customWidth="1"/>
    <col min="4633" max="4633" width="13.5703125" style="18" customWidth="1"/>
    <col min="4634" max="4634" width="21" style="18" customWidth="1"/>
    <col min="4635" max="4638" width="13.42578125" style="18" customWidth="1"/>
    <col min="4639" max="4640" width="19" style="18" customWidth="1"/>
    <col min="4641" max="4641" width="34" style="18" customWidth="1"/>
    <col min="4642" max="4642" width="19" style="18" customWidth="1"/>
    <col min="4643" max="4643" width="20" style="18" bestFit="1" customWidth="1"/>
    <col min="4644" max="4644" width="20.28515625" style="18" bestFit="1" customWidth="1"/>
    <col min="4645" max="4645" width="26.7109375" style="18" customWidth="1"/>
    <col min="4646" max="4646" width="20.85546875" style="18" bestFit="1" customWidth="1"/>
    <col min="4647" max="4647" width="20.85546875" style="18" customWidth="1"/>
    <col min="4648" max="4648" width="18.85546875" style="18" customWidth="1"/>
    <col min="4649" max="4649" width="17.5703125" style="18" customWidth="1"/>
    <col min="4650" max="4651" width="19.42578125" style="18" customWidth="1"/>
    <col min="4652" max="4652" width="20.7109375" style="18" bestFit="1" customWidth="1"/>
    <col min="4653" max="4653" width="80.7109375" style="18" customWidth="1"/>
    <col min="4654" max="4654" width="14.7109375" style="18" bestFit="1" customWidth="1"/>
    <col min="4655" max="4655" width="18.140625" style="18" bestFit="1" customWidth="1"/>
    <col min="4656" max="4656" width="16.7109375" style="18" bestFit="1" customWidth="1"/>
    <col min="4657" max="4657" width="18.5703125" style="18" bestFit="1" customWidth="1"/>
    <col min="4658" max="4658" width="21.28515625" style="18" bestFit="1" customWidth="1"/>
    <col min="4659" max="4659" width="16.28515625" style="18" bestFit="1" customWidth="1"/>
    <col min="4660" max="4660" width="21.140625" style="18" bestFit="1" customWidth="1"/>
    <col min="4661" max="4661" width="19" style="18" bestFit="1" customWidth="1"/>
    <col min="4662" max="4662" width="19.140625" style="18" customWidth="1"/>
    <col min="4663" max="4663" width="16.7109375" style="18" customWidth="1"/>
    <col min="4664" max="4664" width="21.140625" style="18" bestFit="1" customWidth="1"/>
    <col min="4665" max="4665" width="20.42578125" style="18" bestFit="1" customWidth="1"/>
    <col min="4666" max="4666" width="21.140625" style="18" customWidth="1"/>
    <col min="4667" max="4667" width="20.5703125" style="18" bestFit="1" customWidth="1"/>
    <col min="4668" max="4668" width="19.7109375" style="18" bestFit="1" customWidth="1"/>
    <col min="4669" max="4669" width="20.28515625" style="18" customWidth="1"/>
    <col min="4670" max="4670" width="20.85546875" style="18" bestFit="1" customWidth="1"/>
    <col min="4671" max="4671" width="19.5703125" style="18" bestFit="1" customWidth="1"/>
    <col min="4672" max="4672" width="18" style="18" customWidth="1"/>
    <col min="4673" max="4673" width="20" style="18" bestFit="1" customWidth="1"/>
    <col min="4674" max="4674" width="35.7109375" style="18" customWidth="1"/>
    <col min="4675" max="4675" width="21.140625" style="18" bestFit="1" customWidth="1"/>
    <col min="4676" max="4676" width="20.5703125" style="18" bestFit="1" customWidth="1"/>
    <col min="4677" max="4677" width="19.42578125" style="18" bestFit="1" customWidth="1"/>
    <col min="4678" max="4678" width="18.5703125" style="18" bestFit="1" customWidth="1"/>
    <col min="4679" max="4679" width="20.5703125" style="18" bestFit="1" customWidth="1"/>
    <col min="4680" max="4680" width="21.28515625" style="18" bestFit="1" customWidth="1"/>
    <col min="4681" max="4681" width="15.42578125" style="18" customWidth="1"/>
    <col min="4682" max="4682" width="20.7109375" style="18" customWidth="1"/>
    <col min="4683" max="4683" width="21.28515625" style="18" customWidth="1"/>
    <col min="4684" max="4684" width="14.85546875" style="18" bestFit="1" customWidth="1"/>
    <col min="4685" max="4685" width="23" style="18" bestFit="1" customWidth="1"/>
    <col min="4686" max="4686" width="21.28515625" style="18" bestFit="1" customWidth="1"/>
    <col min="4687" max="4687" width="20.28515625" style="18" bestFit="1" customWidth="1"/>
    <col min="4688" max="4688" width="21" style="18" bestFit="1" customWidth="1"/>
    <col min="4689" max="4689" width="18.85546875" style="18" bestFit="1" customWidth="1"/>
    <col min="4690" max="4690" width="80.7109375" style="18" customWidth="1"/>
    <col min="4691" max="4878" width="9.140625" style="18"/>
    <col min="4879" max="4879" width="2.5703125" style="18" customWidth="1"/>
    <col min="4880" max="4880" width="17.85546875" style="18" customWidth="1"/>
    <col min="4881" max="4881" width="41.5703125" style="18" customWidth="1"/>
    <col min="4882" max="4883" width="12" style="18" customWidth="1"/>
    <col min="4884" max="4884" width="17" style="18" customWidth="1"/>
    <col min="4885" max="4885" width="9.7109375" style="18" customWidth="1"/>
    <col min="4886" max="4886" width="12.28515625" style="18" customWidth="1"/>
    <col min="4887" max="4887" width="13.7109375" style="18" customWidth="1"/>
    <col min="4888" max="4888" width="13.5703125" style="18" bestFit="1" customWidth="1"/>
    <col min="4889" max="4889" width="13.5703125" style="18" customWidth="1"/>
    <col min="4890" max="4890" width="21" style="18" customWidth="1"/>
    <col min="4891" max="4894" width="13.42578125" style="18" customWidth="1"/>
    <col min="4895" max="4896" width="19" style="18" customWidth="1"/>
    <col min="4897" max="4897" width="34" style="18" customWidth="1"/>
    <col min="4898" max="4898" width="19" style="18" customWidth="1"/>
    <col min="4899" max="4899" width="20" style="18" bestFit="1" customWidth="1"/>
    <col min="4900" max="4900" width="20.28515625" style="18" bestFit="1" customWidth="1"/>
    <col min="4901" max="4901" width="26.7109375" style="18" customWidth="1"/>
    <col min="4902" max="4902" width="20.85546875" style="18" bestFit="1" customWidth="1"/>
    <col min="4903" max="4903" width="20.85546875" style="18" customWidth="1"/>
    <col min="4904" max="4904" width="18.85546875" style="18" customWidth="1"/>
    <col min="4905" max="4905" width="17.5703125" style="18" customWidth="1"/>
    <col min="4906" max="4907" width="19.42578125" style="18" customWidth="1"/>
    <col min="4908" max="4908" width="20.7109375" style="18" bestFit="1" customWidth="1"/>
    <col min="4909" max="4909" width="80.7109375" style="18" customWidth="1"/>
    <col min="4910" max="4910" width="14.7109375" style="18" bestFit="1" customWidth="1"/>
    <col min="4911" max="4911" width="18.140625" style="18" bestFit="1" customWidth="1"/>
    <col min="4912" max="4912" width="16.7109375" style="18" bestFit="1" customWidth="1"/>
    <col min="4913" max="4913" width="18.5703125" style="18" bestFit="1" customWidth="1"/>
    <col min="4914" max="4914" width="21.28515625" style="18" bestFit="1" customWidth="1"/>
    <col min="4915" max="4915" width="16.28515625" style="18" bestFit="1" customWidth="1"/>
    <col min="4916" max="4916" width="21.140625" style="18" bestFit="1" customWidth="1"/>
    <col min="4917" max="4917" width="19" style="18" bestFit="1" customWidth="1"/>
    <col min="4918" max="4918" width="19.140625" style="18" customWidth="1"/>
    <col min="4919" max="4919" width="16.7109375" style="18" customWidth="1"/>
    <col min="4920" max="4920" width="21.140625" style="18" bestFit="1" customWidth="1"/>
    <col min="4921" max="4921" width="20.42578125" style="18" bestFit="1" customWidth="1"/>
    <col min="4922" max="4922" width="21.140625" style="18" customWidth="1"/>
    <col min="4923" max="4923" width="20.5703125" style="18" bestFit="1" customWidth="1"/>
    <col min="4924" max="4924" width="19.7109375" style="18" bestFit="1" customWidth="1"/>
    <col min="4925" max="4925" width="20.28515625" style="18" customWidth="1"/>
    <col min="4926" max="4926" width="20.85546875" style="18" bestFit="1" customWidth="1"/>
    <col min="4927" max="4927" width="19.5703125" style="18" bestFit="1" customWidth="1"/>
    <col min="4928" max="4928" width="18" style="18" customWidth="1"/>
    <col min="4929" max="4929" width="20" style="18" bestFit="1" customWidth="1"/>
    <col min="4930" max="4930" width="35.7109375" style="18" customWidth="1"/>
    <col min="4931" max="4931" width="21.140625" style="18" bestFit="1" customWidth="1"/>
    <col min="4932" max="4932" width="20.5703125" style="18" bestFit="1" customWidth="1"/>
    <col min="4933" max="4933" width="19.42578125" style="18" bestFit="1" customWidth="1"/>
    <col min="4934" max="4934" width="18.5703125" style="18" bestFit="1" customWidth="1"/>
    <col min="4935" max="4935" width="20.5703125" style="18" bestFit="1" customWidth="1"/>
    <col min="4936" max="4936" width="21.28515625" style="18" bestFit="1" customWidth="1"/>
    <col min="4937" max="4937" width="15.42578125" style="18" customWidth="1"/>
    <col min="4938" max="4938" width="20.7109375" style="18" customWidth="1"/>
    <col min="4939" max="4939" width="21.28515625" style="18" customWidth="1"/>
    <col min="4940" max="4940" width="14.85546875" style="18" bestFit="1" customWidth="1"/>
    <col min="4941" max="4941" width="23" style="18" bestFit="1" customWidth="1"/>
    <col min="4942" max="4942" width="21.28515625" style="18" bestFit="1" customWidth="1"/>
    <col min="4943" max="4943" width="20.28515625" style="18" bestFit="1" customWidth="1"/>
    <col min="4944" max="4944" width="21" style="18" bestFit="1" customWidth="1"/>
    <col min="4945" max="4945" width="18.85546875" style="18" bestFit="1" customWidth="1"/>
    <col min="4946" max="4946" width="80.7109375" style="18" customWidth="1"/>
    <col min="4947" max="5134" width="9.140625" style="18"/>
    <col min="5135" max="5135" width="2.5703125" style="18" customWidth="1"/>
    <col min="5136" max="5136" width="17.85546875" style="18" customWidth="1"/>
    <col min="5137" max="5137" width="41.5703125" style="18" customWidth="1"/>
    <col min="5138" max="5139" width="12" style="18" customWidth="1"/>
    <col min="5140" max="5140" width="17" style="18" customWidth="1"/>
    <col min="5141" max="5141" width="9.7109375" style="18" customWidth="1"/>
    <col min="5142" max="5142" width="12.28515625" style="18" customWidth="1"/>
    <col min="5143" max="5143" width="13.7109375" style="18" customWidth="1"/>
    <col min="5144" max="5144" width="13.5703125" style="18" bestFit="1" customWidth="1"/>
    <col min="5145" max="5145" width="13.5703125" style="18" customWidth="1"/>
    <col min="5146" max="5146" width="21" style="18" customWidth="1"/>
    <col min="5147" max="5150" width="13.42578125" style="18" customWidth="1"/>
    <col min="5151" max="5152" width="19" style="18" customWidth="1"/>
    <col min="5153" max="5153" width="34" style="18" customWidth="1"/>
    <col min="5154" max="5154" width="19" style="18" customWidth="1"/>
    <col min="5155" max="5155" width="20" style="18" bestFit="1" customWidth="1"/>
    <col min="5156" max="5156" width="20.28515625" style="18" bestFit="1" customWidth="1"/>
    <col min="5157" max="5157" width="26.7109375" style="18" customWidth="1"/>
    <col min="5158" max="5158" width="20.85546875" style="18" bestFit="1" customWidth="1"/>
    <col min="5159" max="5159" width="20.85546875" style="18" customWidth="1"/>
    <col min="5160" max="5160" width="18.85546875" style="18" customWidth="1"/>
    <col min="5161" max="5161" width="17.5703125" style="18" customWidth="1"/>
    <col min="5162" max="5163" width="19.42578125" style="18" customWidth="1"/>
    <col min="5164" max="5164" width="20.7109375" style="18" bestFit="1" customWidth="1"/>
    <col min="5165" max="5165" width="80.7109375" style="18" customWidth="1"/>
    <col min="5166" max="5166" width="14.7109375" style="18" bestFit="1" customWidth="1"/>
    <col min="5167" max="5167" width="18.140625" style="18" bestFit="1" customWidth="1"/>
    <col min="5168" max="5168" width="16.7109375" style="18" bestFit="1" customWidth="1"/>
    <col min="5169" max="5169" width="18.5703125" style="18" bestFit="1" customWidth="1"/>
    <col min="5170" max="5170" width="21.28515625" style="18" bestFit="1" customWidth="1"/>
    <col min="5171" max="5171" width="16.28515625" style="18" bestFit="1" customWidth="1"/>
    <col min="5172" max="5172" width="21.140625" style="18" bestFit="1" customWidth="1"/>
    <col min="5173" max="5173" width="19" style="18" bestFit="1" customWidth="1"/>
    <col min="5174" max="5174" width="19.140625" style="18" customWidth="1"/>
    <col min="5175" max="5175" width="16.7109375" style="18" customWidth="1"/>
    <col min="5176" max="5176" width="21.140625" style="18" bestFit="1" customWidth="1"/>
    <col min="5177" max="5177" width="20.42578125" style="18" bestFit="1" customWidth="1"/>
    <col min="5178" max="5178" width="21.140625" style="18" customWidth="1"/>
    <col min="5179" max="5179" width="20.5703125" style="18" bestFit="1" customWidth="1"/>
    <col min="5180" max="5180" width="19.7109375" style="18" bestFit="1" customWidth="1"/>
    <col min="5181" max="5181" width="20.28515625" style="18" customWidth="1"/>
    <col min="5182" max="5182" width="20.85546875" style="18" bestFit="1" customWidth="1"/>
    <col min="5183" max="5183" width="19.5703125" style="18" bestFit="1" customWidth="1"/>
    <col min="5184" max="5184" width="18" style="18" customWidth="1"/>
    <col min="5185" max="5185" width="20" style="18" bestFit="1" customWidth="1"/>
    <col min="5186" max="5186" width="35.7109375" style="18" customWidth="1"/>
    <col min="5187" max="5187" width="21.140625" style="18" bestFit="1" customWidth="1"/>
    <col min="5188" max="5188" width="20.5703125" style="18" bestFit="1" customWidth="1"/>
    <col min="5189" max="5189" width="19.42578125" style="18" bestFit="1" customWidth="1"/>
    <col min="5190" max="5190" width="18.5703125" style="18" bestFit="1" customWidth="1"/>
    <col min="5191" max="5191" width="20.5703125" style="18" bestFit="1" customWidth="1"/>
    <col min="5192" max="5192" width="21.28515625" style="18" bestFit="1" customWidth="1"/>
    <col min="5193" max="5193" width="15.42578125" style="18" customWidth="1"/>
    <col min="5194" max="5194" width="20.7109375" style="18" customWidth="1"/>
    <col min="5195" max="5195" width="21.28515625" style="18" customWidth="1"/>
    <col min="5196" max="5196" width="14.85546875" style="18" bestFit="1" customWidth="1"/>
    <col min="5197" max="5197" width="23" style="18" bestFit="1" customWidth="1"/>
    <col min="5198" max="5198" width="21.28515625" style="18" bestFit="1" customWidth="1"/>
    <col min="5199" max="5199" width="20.28515625" style="18" bestFit="1" customWidth="1"/>
    <col min="5200" max="5200" width="21" style="18" bestFit="1" customWidth="1"/>
    <col min="5201" max="5201" width="18.85546875" style="18" bestFit="1" customWidth="1"/>
    <col min="5202" max="5202" width="80.7109375" style="18" customWidth="1"/>
    <col min="5203" max="5390" width="9.140625" style="18"/>
    <col min="5391" max="5391" width="2.5703125" style="18" customWidth="1"/>
    <col min="5392" max="5392" width="17.85546875" style="18" customWidth="1"/>
    <col min="5393" max="5393" width="41.5703125" style="18" customWidth="1"/>
    <col min="5394" max="5395" width="12" style="18" customWidth="1"/>
    <col min="5396" max="5396" width="17" style="18" customWidth="1"/>
    <col min="5397" max="5397" width="9.7109375" style="18" customWidth="1"/>
    <col min="5398" max="5398" width="12.28515625" style="18" customWidth="1"/>
    <col min="5399" max="5399" width="13.7109375" style="18" customWidth="1"/>
    <col min="5400" max="5400" width="13.5703125" style="18" bestFit="1" customWidth="1"/>
    <col min="5401" max="5401" width="13.5703125" style="18" customWidth="1"/>
    <col min="5402" max="5402" width="21" style="18" customWidth="1"/>
    <col min="5403" max="5406" width="13.42578125" style="18" customWidth="1"/>
    <col min="5407" max="5408" width="19" style="18" customWidth="1"/>
    <col min="5409" max="5409" width="34" style="18" customWidth="1"/>
    <col min="5410" max="5410" width="19" style="18" customWidth="1"/>
    <col min="5411" max="5411" width="20" style="18" bestFit="1" customWidth="1"/>
    <col min="5412" max="5412" width="20.28515625" style="18" bestFit="1" customWidth="1"/>
    <col min="5413" max="5413" width="26.7109375" style="18" customWidth="1"/>
    <col min="5414" max="5414" width="20.85546875" style="18" bestFit="1" customWidth="1"/>
    <col min="5415" max="5415" width="20.85546875" style="18" customWidth="1"/>
    <col min="5416" max="5416" width="18.85546875" style="18" customWidth="1"/>
    <col min="5417" max="5417" width="17.5703125" style="18" customWidth="1"/>
    <col min="5418" max="5419" width="19.42578125" style="18" customWidth="1"/>
    <col min="5420" max="5420" width="20.7109375" style="18" bestFit="1" customWidth="1"/>
    <col min="5421" max="5421" width="80.7109375" style="18" customWidth="1"/>
    <col min="5422" max="5422" width="14.7109375" style="18" bestFit="1" customWidth="1"/>
    <col min="5423" max="5423" width="18.140625" style="18" bestFit="1" customWidth="1"/>
    <col min="5424" max="5424" width="16.7109375" style="18" bestFit="1" customWidth="1"/>
    <col min="5425" max="5425" width="18.5703125" style="18" bestFit="1" customWidth="1"/>
    <col min="5426" max="5426" width="21.28515625" style="18" bestFit="1" customWidth="1"/>
    <col min="5427" max="5427" width="16.28515625" style="18" bestFit="1" customWidth="1"/>
    <col min="5428" max="5428" width="21.140625" style="18" bestFit="1" customWidth="1"/>
    <col min="5429" max="5429" width="19" style="18" bestFit="1" customWidth="1"/>
    <col min="5430" max="5430" width="19.140625" style="18" customWidth="1"/>
    <col min="5431" max="5431" width="16.7109375" style="18" customWidth="1"/>
    <col min="5432" max="5432" width="21.140625" style="18" bestFit="1" customWidth="1"/>
    <col min="5433" max="5433" width="20.42578125" style="18" bestFit="1" customWidth="1"/>
    <col min="5434" max="5434" width="21.140625" style="18" customWidth="1"/>
    <col min="5435" max="5435" width="20.5703125" style="18" bestFit="1" customWidth="1"/>
    <col min="5436" max="5436" width="19.7109375" style="18" bestFit="1" customWidth="1"/>
    <col min="5437" max="5437" width="20.28515625" style="18" customWidth="1"/>
    <col min="5438" max="5438" width="20.85546875" style="18" bestFit="1" customWidth="1"/>
    <col min="5439" max="5439" width="19.5703125" style="18" bestFit="1" customWidth="1"/>
    <col min="5440" max="5440" width="18" style="18" customWidth="1"/>
    <col min="5441" max="5441" width="20" style="18" bestFit="1" customWidth="1"/>
    <col min="5442" max="5442" width="35.7109375" style="18" customWidth="1"/>
    <col min="5443" max="5443" width="21.140625" style="18" bestFit="1" customWidth="1"/>
    <col min="5444" max="5444" width="20.5703125" style="18" bestFit="1" customWidth="1"/>
    <col min="5445" max="5445" width="19.42578125" style="18" bestFit="1" customWidth="1"/>
    <col min="5446" max="5446" width="18.5703125" style="18" bestFit="1" customWidth="1"/>
    <col min="5447" max="5447" width="20.5703125" style="18" bestFit="1" customWidth="1"/>
    <col min="5448" max="5448" width="21.28515625" style="18" bestFit="1" customWidth="1"/>
    <col min="5449" max="5449" width="15.42578125" style="18" customWidth="1"/>
    <col min="5450" max="5450" width="20.7109375" style="18" customWidth="1"/>
    <col min="5451" max="5451" width="21.28515625" style="18" customWidth="1"/>
    <col min="5452" max="5452" width="14.85546875" style="18" bestFit="1" customWidth="1"/>
    <col min="5453" max="5453" width="23" style="18" bestFit="1" customWidth="1"/>
    <col min="5454" max="5454" width="21.28515625" style="18" bestFit="1" customWidth="1"/>
    <col min="5455" max="5455" width="20.28515625" style="18" bestFit="1" customWidth="1"/>
    <col min="5456" max="5456" width="21" style="18" bestFit="1" customWidth="1"/>
    <col min="5457" max="5457" width="18.85546875" style="18" bestFit="1" customWidth="1"/>
    <col min="5458" max="5458" width="80.7109375" style="18" customWidth="1"/>
    <col min="5459" max="5646" width="9.140625" style="18"/>
    <col min="5647" max="5647" width="2.5703125" style="18" customWidth="1"/>
    <col min="5648" max="5648" width="17.85546875" style="18" customWidth="1"/>
    <col min="5649" max="5649" width="41.5703125" style="18" customWidth="1"/>
    <col min="5650" max="5651" width="12" style="18" customWidth="1"/>
    <col min="5652" max="5652" width="17" style="18" customWidth="1"/>
    <col min="5653" max="5653" width="9.7109375" style="18" customWidth="1"/>
    <col min="5654" max="5654" width="12.28515625" style="18" customWidth="1"/>
    <col min="5655" max="5655" width="13.7109375" style="18" customWidth="1"/>
    <col min="5656" max="5656" width="13.5703125" style="18" bestFit="1" customWidth="1"/>
    <col min="5657" max="5657" width="13.5703125" style="18" customWidth="1"/>
    <col min="5658" max="5658" width="21" style="18" customWidth="1"/>
    <col min="5659" max="5662" width="13.42578125" style="18" customWidth="1"/>
    <col min="5663" max="5664" width="19" style="18" customWidth="1"/>
    <col min="5665" max="5665" width="34" style="18" customWidth="1"/>
    <col min="5666" max="5666" width="19" style="18" customWidth="1"/>
    <col min="5667" max="5667" width="20" style="18" bestFit="1" customWidth="1"/>
    <col min="5668" max="5668" width="20.28515625" style="18" bestFit="1" customWidth="1"/>
    <col min="5669" max="5669" width="26.7109375" style="18" customWidth="1"/>
    <col min="5670" max="5670" width="20.85546875" style="18" bestFit="1" customWidth="1"/>
    <col min="5671" max="5671" width="20.85546875" style="18" customWidth="1"/>
    <col min="5672" max="5672" width="18.85546875" style="18" customWidth="1"/>
    <col min="5673" max="5673" width="17.5703125" style="18" customWidth="1"/>
    <col min="5674" max="5675" width="19.42578125" style="18" customWidth="1"/>
    <col min="5676" max="5676" width="20.7109375" style="18" bestFit="1" customWidth="1"/>
    <col min="5677" max="5677" width="80.7109375" style="18" customWidth="1"/>
    <col min="5678" max="5678" width="14.7109375" style="18" bestFit="1" customWidth="1"/>
    <col min="5679" max="5679" width="18.140625" style="18" bestFit="1" customWidth="1"/>
    <col min="5680" max="5680" width="16.7109375" style="18" bestFit="1" customWidth="1"/>
    <col min="5681" max="5681" width="18.5703125" style="18" bestFit="1" customWidth="1"/>
    <col min="5682" max="5682" width="21.28515625" style="18" bestFit="1" customWidth="1"/>
    <col min="5683" max="5683" width="16.28515625" style="18" bestFit="1" customWidth="1"/>
    <col min="5684" max="5684" width="21.140625" style="18" bestFit="1" customWidth="1"/>
    <col min="5685" max="5685" width="19" style="18" bestFit="1" customWidth="1"/>
    <col min="5686" max="5686" width="19.140625" style="18" customWidth="1"/>
    <col min="5687" max="5687" width="16.7109375" style="18" customWidth="1"/>
    <col min="5688" max="5688" width="21.140625" style="18" bestFit="1" customWidth="1"/>
    <col min="5689" max="5689" width="20.42578125" style="18" bestFit="1" customWidth="1"/>
    <col min="5690" max="5690" width="21.140625" style="18" customWidth="1"/>
    <col min="5691" max="5691" width="20.5703125" style="18" bestFit="1" customWidth="1"/>
    <col min="5692" max="5692" width="19.7109375" style="18" bestFit="1" customWidth="1"/>
    <col min="5693" max="5693" width="20.28515625" style="18" customWidth="1"/>
    <col min="5694" max="5694" width="20.85546875" style="18" bestFit="1" customWidth="1"/>
    <col min="5695" max="5695" width="19.5703125" style="18" bestFit="1" customWidth="1"/>
    <col min="5696" max="5696" width="18" style="18" customWidth="1"/>
    <col min="5697" max="5697" width="20" style="18" bestFit="1" customWidth="1"/>
    <col min="5698" max="5698" width="35.7109375" style="18" customWidth="1"/>
    <col min="5699" max="5699" width="21.140625" style="18" bestFit="1" customWidth="1"/>
    <col min="5700" max="5700" width="20.5703125" style="18" bestFit="1" customWidth="1"/>
    <col min="5701" max="5701" width="19.42578125" style="18" bestFit="1" customWidth="1"/>
    <col min="5702" max="5702" width="18.5703125" style="18" bestFit="1" customWidth="1"/>
    <col min="5703" max="5703" width="20.5703125" style="18" bestFit="1" customWidth="1"/>
    <col min="5704" max="5704" width="21.28515625" style="18" bestFit="1" customWidth="1"/>
    <col min="5705" max="5705" width="15.42578125" style="18" customWidth="1"/>
    <col min="5706" max="5706" width="20.7109375" style="18" customWidth="1"/>
    <col min="5707" max="5707" width="21.28515625" style="18" customWidth="1"/>
    <col min="5708" max="5708" width="14.85546875" style="18" bestFit="1" customWidth="1"/>
    <col min="5709" max="5709" width="23" style="18" bestFit="1" customWidth="1"/>
    <col min="5710" max="5710" width="21.28515625" style="18" bestFit="1" customWidth="1"/>
    <col min="5711" max="5711" width="20.28515625" style="18" bestFit="1" customWidth="1"/>
    <col min="5712" max="5712" width="21" style="18" bestFit="1" customWidth="1"/>
    <col min="5713" max="5713" width="18.85546875" style="18" bestFit="1" customWidth="1"/>
    <col min="5714" max="5714" width="80.7109375" style="18" customWidth="1"/>
    <col min="5715" max="5902" width="9.140625" style="18"/>
    <col min="5903" max="5903" width="2.5703125" style="18" customWidth="1"/>
    <col min="5904" max="5904" width="17.85546875" style="18" customWidth="1"/>
    <col min="5905" max="5905" width="41.5703125" style="18" customWidth="1"/>
    <col min="5906" max="5907" width="12" style="18" customWidth="1"/>
    <col min="5908" max="5908" width="17" style="18" customWidth="1"/>
    <col min="5909" max="5909" width="9.7109375" style="18" customWidth="1"/>
    <col min="5910" max="5910" width="12.28515625" style="18" customWidth="1"/>
    <col min="5911" max="5911" width="13.7109375" style="18" customWidth="1"/>
    <col min="5912" max="5912" width="13.5703125" style="18" bestFit="1" customWidth="1"/>
    <col min="5913" max="5913" width="13.5703125" style="18" customWidth="1"/>
    <col min="5914" max="5914" width="21" style="18" customWidth="1"/>
    <col min="5915" max="5918" width="13.42578125" style="18" customWidth="1"/>
    <col min="5919" max="5920" width="19" style="18" customWidth="1"/>
    <col min="5921" max="5921" width="34" style="18" customWidth="1"/>
    <col min="5922" max="5922" width="19" style="18" customWidth="1"/>
    <col min="5923" max="5923" width="20" style="18" bestFit="1" customWidth="1"/>
    <col min="5924" max="5924" width="20.28515625" style="18" bestFit="1" customWidth="1"/>
    <col min="5925" max="5925" width="26.7109375" style="18" customWidth="1"/>
    <col min="5926" max="5926" width="20.85546875" style="18" bestFit="1" customWidth="1"/>
    <col min="5927" max="5927" width="20.85546875" style="18" customWidth="1"/>
    <col min="5928" max="5928" width="18.85546875" style="18" customWidth="1"/>
    <col min="5929" max="5929" width="17.5703125" style="18" customWidth="1"/>
    <col min="5930" max="5931" width="19.42578125" style="18" customWidth="1"/>
    <col min="5932" max="5932" width="20.7109375" style="18" bestFit="1" customWidth="1"/>
    <col min="5933" max="5933" width="80.7109375" style="18" customWidth="1"/>
    <col min="5934" max="5934" width="14.7109375" style="18" bestFit="1" customWidth="1"/>
    <col min="5935" max="5935" width="18.140625" style="18" bestFit="1" customWidth="1"/>
    <col min="5936" max="5936" width="16.7109375" style="18" bestFit="1" customWidth="1"/>
    <col min="5937" max="5937" width="18.5703125" style="18" bestFit="1" customWidth="1"/>
    <col min="5938" max="5938" width="21.28515625" style="18" bestFit="1" customWidth="1"/>
    <col min="5939" max="5939" width="16.28515625" style="18" bestFit="1" customWidth="1"/>
    <col min="5940" max="5940" width="21.140625" style="18" bestFit="1" customWidth="1"/>
    <col min="5941" max="5941" width="19" style="18" bestFit="1" customWidth="1"/>
    <col min="5942" max="5942" width="19.140625" style="18" customWidth="1"/>
    <col min="5943" max="5943" width="16.7109375" style="18" customWidth="1"/>
    <col min="5944" max="5944" width="21.140625" style="18" bestFit="1" customWidth="1"/>
    <col min="5945" max="5945" width="20.42578125" style="18" bestFit="1" customWidth="1"/>
    <col min="5946" max="5946" width="21.140625" style="18" customWidth="1"/>
    <col min="5947" max="5947" width="20.5703125" style="18" bestFit="1" customWidth="1"/>
    <col min="5948" max="5948" width="19.7109375" style="18" bestFit="1" customWidth="1"/>
    <col min="5949" max="5949" width="20.28515625" style="18" customWidth="1"/>
    <col min="5950" max="5950" width="20.85546875" style="18" bestFit="1" customWidth="1"/>
    <col min="5951" max="5951" width="19.5703125" style="18" bestFit="1" customWidth="1"/>
    <col min="5952" max="5952" width="18" style="18" customWidth="1"/>
    <col min="5953" max="5953" width="20" style="18" bestFit="1" customWidth="1"/>
    <col min="5954" max="5954" width="35.7109375" style="18" customWidth="1"/>
    <col min="5955" max="5955" width="21.140625" style="18" bestFit="1" customWidth="1"/>
    <col min="5956" max="5956" width="20.5703125" style="18" bestFit="1" customWidth="1"/>
    <col min="5957" max="5957" width="19.42578125" style="18" bestFit="1" customWidth="1"/>
    <col min="5958" max="5958" width="18.5703125" style="18" bestFit="1" customWidth="1"/>
    <col min="5959" max="5959" width="20.5703125" style="18" bestFit="1" customWidth="1"/>
    <col min="5960" max="5960" width="21.28515625" style="18" bestFit="1" customWidth="1"/>
    <col min="5961" max="5961" width="15.42578125" style="18" customWidth="1"/>
    <col min="5962" max="5962" width="20.7109375" style="18" customWidth="1"/>
    <col min="5963" max="5963" width="21.28515625" style="18" customWidth="1"/>
    <col min="5964" max="5964" width="14.85546875" style="18" bestFit="1" customWidth="1"/>
    <col min="5965" max="5965" width="23" style="18" bestFit="1" customWidth="1"/>
    <col min="5966" max="5966" width="21.28515625" style="18" bestFit="1" customWidth="1"/>
    <col min="5967" max="5967" width="20.28515625" style="18" bestFit="1" customWidth="1"/>
    <col min="5968" max="5968" width="21" style="18" bestFit="1" customWidth="1"/>
    <col min="5969" max="5969" width="18.85546875" style="18" bestFit="1" customWidth="1"/>
    <col min="5970" max="5970" width="80.7109375" style="18" customWidth="1"/>
    <col min="5971" max="6158" width="9.140625" style="18"/>
    <col min="6159" max="6159" width="2.5703125" style="18" customWidth="1"/>
    <col min="6160" max="6160" width="17.85546875" style="18" customWidth="1"/>
    <col min="6161" max="6161" width="41.5703125" style="18" customWidth="1"/>
    <col min="6162" max="6163" width="12" style="18" customWidth="1"/>
    <col min="6164" max="6164" width="17" style="18" customWidth="1"/>
    <col min="6165" max="6165" width="9.7109375" style="18" customWidth="1"/>
    <col min="6166" max="6166" width="12.28515625" style="18" customWidth="1"/>
    <col min="6167" max="6167" width="13.7109375" style="18" customWidth="1"/>
    <col min="6168" max="6168" width="13.5703125" style="18" bestFit="1" customWidth="1"/>
    <col min="6169" max="6169" width="13.5703125" style="18" customWidth="1"/>
    <col min="6170" max="6170" width="21" style="18" customWidth="1"/>
    <col min="6171" max="6174" width="13.42578125" style="18" customWidth="1"/>
    <col min="6175" max="6176" width="19" style="18" customWidth="1"/>
    <col min="6177" max="6177" width="34" style="18" customWidth="1"/>
    <col min="6178" max="6178" width="19" style="18" customWidth="1"/>
    <col min="6179" max="6179" width="20" style="18" bestFit="1" customWidth="1"/>
    <col min="6180" max="6180" width="20.28515625" style="18" bestFit="1" customWidth="1"/>
    <col min="6181" max="6181" width="26.7109375" style="18" customWidth="1"/>
    <col min="6182" max="6182" width="20.85546875" style="18" bestFit="1" customWidth="1"/>
    <col min="6183" max="6183" width="20.85546875" style="18" customWidth="1"/>
    <col min="6184" max="6184" width="18.85546875" style="18" customWidth="1"/>
    <col min="6185" max="6185" width="17.5703125" style="18" customWidth="1"/>
    <col min="6186" max="6187" width="19.42578125" style="18" customWidth="1"/>
    <col min="6188" max="6188" width="20.7109375" style="18" bestFit="1" customWidth="1"/>
    <col min="6189" max="6189" width="80.7109375" style="18" customWidth="1"/>
    <col min="6190" max="6190" width="14.7109375" style="18" bestFit="1" customWidth="1"/>
    <col min="6191" max="6191" width="18.140625" style="18" bestFit="1" customWidth="1"/>
    <col min="6192" max="6192" width="16.7109375" style="18" bestFit="1" customWidth="1"/>
    <col min="6193" max="6193" width="18.5703125" style="18" bestFit="1" customWidth="1"/>
    <col min="6194" max="6194" width="21.28515625" style="18" bestFit="1" customWidth="1"/>
    <col min="6195" max="6195" width="16.28515625" style="18" bestFit="1" customWidth="1"/>
    <col min="6196" max="6196" width="21.140625" style="18" bestFit="1" customWidth="1"/>
    <col min="6197" max="6197" width="19" style="18" bestFit="1" customWidth="1"/>
    <col min="6198" max="6198" width="19.140625" style="18" customWidth="1"/>
    <col min="6199" max="6199" width="16.7109375" style="18" customWidth="1"/>
    <col min="6200" max="6200" width="21.140625" style="18" bestFit="1" customWidth="1"/>
    <col min="6201" max="6201" width="20.42578125" style="18" bestFit="1" customWidth="1"/>
    <col min="6202" max="6202" width="21.140625" style="18" customWidth="1"/>
    <col min="6203" max="6203" width="20.5703125" style="18" bestFit="1" customWidth="1"/>
    <col min="6204" max="6204" width="19.7109375" style="18" bestFit="1" customWidth="1"/>
    <col min="6205" max="6205" width="20.28515625" style="18" customWidth="1"/>
    <col min="6206" max="6206" width="20.85546875" style="18" bestFit="1" customWidth="1"/>
    <col min="6207" max="6207" width="19.5703125" style="18" bestFit="1" customWidth="1"/>
    <col min="6208" max="6208" width="18" style="18" customWidth="1"/>
    <col min="6209" max="6209" width="20" style="18" bestFit="1" customWidth="1"/>
    <col min="6210" max="6210" width="35.7109375" style="18" customWidth="1"/>
    <col min="6211" max="6211" width="21.140625" style="18" bestFit="1" customWidth="1"/>
    <col min="6212" max="6212" width="20.5703125" style="18" bestFit="1" customWidth="1"/>
    <col min="6213" max="6213" width="19.42578125" style="18" bestFit="1" customWidth="1"/>
    <col min="6214" max="6214" width="18.5703125" style="18" bestFit="1" customWidth="1"/>
    <col min="6215" max="6215" width="20.5703125" style="18" bestFit="1" customWidth="1"/>
    <col min="6216" max="6216" width="21.28515625" style="18" bestFit="1" customWidth="1"/>
    <col min="6217" max="6217" width="15.42578125" style="18" customWidth="1"/>
    <col min="6218" max="6218" width="20.7109375" style="18" customWidth="1"/>
    <col min="6219" max="6219" width="21.28515625" style="18" customWidth="1"/>
    <col min="6220" max="6220" width="14.85546875" style="18" bestFit="1" customWidth="1"/>
    <col min="6221" max="6221" width="23" style="18" bestFit="1" customWidth="1"/>
    <col min="6222" max="6222" width="21.28515625" style="18" bestFit="1" customWidth="1"/>
    <col min="6223" max="6223" width="20.28515625" style="18" bestFit="1" customWidth="1"/>
    <col min="6224" max="6224" width="21" style="18" bestFit="1" customWidth="1"/>
    <col min="6225" max="6225" width="18.85546875" style="18" bestFit="1" customWidth="1"/>
    <col min="6226" max="6226" width="80.7109375" style="18" customWidth="1"/>
    <col min="6227" max="6414" width="9.140625" style="18"/>
    <col min="6415" max="6415" width="2.5703125" style="18" customWidth="1"/>
    <col min="6416" max="6416" width="17.85546875" style="18" customWidth="1"/>
    <col min="6417" max="6417" width="41.5703125" style="18" customWidth="1"/>
    <col min="6418" max="6419" width="12" style="18" customWidth="1"/>
    <col min="6420" max="6420" width="17" style="18" customWidth="1"/>
    <col min="6421" max="6421" width="9.7109375" style="18" customWidth="1"/>
    <col min="6422" max="6422" width="12.28515625" style="18" customWidth="1"/>
    <col min="6423" max="6423" width="13.7109375" style="18" customWidth="1"/>
    <col min="6424" max="6424" width="13.5703125" style="18" bestFit="1" customWidth="1"/>
    <col min="6425" max="6425" width="13.5703125" style="18" customWidth="1"/>
    <col min="6426" max="6426" width="21" style="18" customWidth="1"/>
    <col min="6427" max="6430" width="13.42578125" style="18" customWidth="1"/>
    <col min="6431" max="6432" width="19" style="18" customWidth="1"/>
    <col min="6433" max="6433" width="34" style="18" customWidth="1"/>
    <col min="6434" max="6434" width="19" style="18" customWidth="1"/>
    <col min="6435" max="6435" width="20" style="18" bestFit="1" customWidth="1"/>
    <col min="6436" max="6436" width="20.28515625" style="18" bestFit="1" customWidth="1"/>
    <col min="6437" max="6437" width="26.7109375" style="18" customWidth="1"/>
    <col min="6438" max="6438" width="20.85546875" style="18" bestFit="1" customWidth="1"/>
    <col min="6439" max="6439" width="20.85546875" style="18" customWidth="1"/>
    <col min="6440" max="6440" width="18.85546875" style="18" customWidth="1"/>
    <col min="6441" max="6441" width="17.5703125" style="18" customWidth="1"/>
    <col min="6442" max="6443" width="19.42578125" style="18" customWidth="1"/>
    <col min="6444" max="6444" width="20.7109375" style="18" bestFit="1" customWidth="1"/>
    <col min="6445" max="6445" width="80.7109375" style="18" customWidth="1"/>
    <col min="6446" max="6446" width="14.7109375" style="18" bestFit="1" customWidth="1"/>
    <col min="6447" max="6447" width="18.140625" style="18" bestFit="1" customWidth="1"/>
    <col min="6448" max="6448" width="16.7109375" style="18" bestFit="1" customWidth="1"/>
    <col min="6449" max="6449" width="18.5703125" style="18" bestFit="1" customWidth="1"/>
    <col min="6450" max="6450" width="21.28515625" style="18" bestFit="1" customWidth="1"/>
    <col min="6451" max="6451" width="16.28515625" style="18" bestFit="1" customWidth="1"/>
    <col min="6452" max="6452" width="21.140625" style="18" bestFit="1" customWidth="1"/>
    <col min="6453" max="6453" width="19" style="18" bestFit="1" customWidth="1"/>
    <col min="6454" max="6454" width="19.140625" style="18" customWidth="1"/>
    <col min="6455" max="6455" width="16.7109375" style="18" customWidth="1"/>
    <col min="6456" max="6456" width="21.140625" style="18" bestFit="1" customWidth="1"/>
    <col min="6457" max="6457" width="20.42578125" style="18" bestFit="1" customWidth="1"/>
    <col min="6458" max="6458" width="21.140625" style="18" customWidth="1"/>
    <col min="6459" max="6459" width="20.5703125" style="18" bestFit="1" customWidth="1"/>
    <col min="6460" max="6460" width="19.7109375" style="18" bestFit="1" customWidth="1"/>
    <col min="6461" max="6461" width="20.28515625" style="18" customWidth="1"/>
    <col min="6462" max="6462" width="20.85546875" style="18" bestFit="1" customWidth="1"/>
    <col min="6463" max="6463" width="19.5703125" style="18" bestFit="1" customWidth="1"/>
    <col min="6464" max="6464" width="18" style="18" customWidth="1"/>
    <col min="6465" max="6465" width="20" style="18" bestFit="1" customWidth="1"/>
    <col min="6466" max="6466" width="35.7109375" style="18" customWidth="1"/>
    <col min="6467" max="6467" width="21.140625" style="18" bestFit="1" customWidth="1"/>
    <col min="6468" max="6468" width="20.5703125" style="18" bestFit="1" customWidth="1"/>
    <col min="6469" max="6469" width="19.42578125" style="18" bestFit="1" customWidth="1"/>
    <col min="6470" max="6470" width="18.5703125" style="18" bestFit="1" customWidth="1"/>
    <col min="6471" max="6471" width="20.5703125" style="18" bestFit="1" customWidth="1"/>
    <col min="6472" max="6472" width="21.28515625" style="18" bestFit="1" customWidth="1"/>
    <col min="6473" max="6473" width="15.42578125" style="18" customWidth="1"/>
    <col min="6474" max="6474" width="20.7109375" style="18" customWidth="1"/>
    <col min="6475" max="6475" width="21.28515625" style="18" customWidth="1"/>
    <col min="6476" max="6476" width="14.85546875" style="18" bestFit="1" customWidth="1"/>
    <col min="6477" max="6477" width="23" style="18" bestFit="1" customWidth="1"/>
    <col min="6478" max="6478" width="21.28515625" style="18" bestFit="1" customWidth="1"/>
    <col min="6479" max="6479" width="20.28515625" style="18" bestFit="1" customWidth="1"/>
    <col min="6480" max="6480" width="21" style="18" bestFit="1" customWidth="1"/>
    <col min="6481" max="6481" width="18.85546875" style="18" bestFit="1" customWidth="1"/>
    <col min="6482" max="6482" width="80.7109375" style="18" customWidth="1"/>
    <col min="6483" max="6670" width="9.140625" style="18"/>
    <col min="6671" max="6671" width="2.5703125" style="18" customWidth="1"/>
    <col min="6672" max="6672" width="17.85546875" style="18" customWidth="1"/>
    <col min="6673" max="6673" width="41.5703125" style="18" customWidth="1"/>
    <col min="6674" max="6675" width="12" style="18" customWidth="1"/>
    <col min="6676" max="6676" width="17" style="18" customWidth="1"/>
    <col min="6677" max="6677" width="9.7109375" style="18" customWidth="1"/>
    <col min="6678" max="6678" width="12.28515625" style="18" customWidth="1"/>
    <col min="6679" max="6679" width="13.7109375" style="18" customWidth="1"/>
    <col min="6680" max="6680" width="13.5703125" style="18" bestFit="1" customWidth="1"/>
    <col min="6681" max="6681" width="13.5703125" style="18" customWidth="1"/>
    <col min="6682" max="6682" width="21" style="18" customWidth="1"/>
    <col min="6683" max="6686" width="13.42578125" style="18" customWidth="1"/>
    <col min="6687" max="6688" width="19" style="18" customWidth="1"/>
    <col min="6689" max="6689" width="34" style="18" customWidth="1"/>
    <col min="6690" max="6690" width="19" style="18" customWidth="1"/>
    <col min="6691" max="6691" width="20" style="18" bestFit="1" customWidth="1"/>
    <col min="6692" max="6692" width="20.28515625" style="18" bestFit="1" customWidth="1"/>
    <col min="6693" max="6693" width="26.7109375" style="18" customWidth="1"/>
    <col min="6694" max="6694" width="20.85546875" style="18" bestFit="1" customWidth="1"/>
    <col min="6695" max="6695" width="20.85546875" style="18" customWidth="1"/>
    <col min="6696" max="6696" width="18.85546875" style="18" customWidth="1"/>
    <col min="6697" max="6697" width="17.5703125" style="18" customWidth="1"/>
    <col min="6698" max="6699" width="19.42578125" style="18" customWidth="1"/>
    <col min="6700" max="6700" width="20.7109375" style="18" bestFit="1" customWidth="1"/>
    <col min="6701" max="6701" width="80.7109375" style="18" customWidth="1"/>
    <col min="6702" max="6702" width="14.7109375" style="18" bestFit="1" customWidth="1"/>
    <col min="6703" max="6703" width="18.140625" style="18" bestFit="1" customWidth="1"/>
    <col min="6704" max="6704" width="16.7109375" style="18" bestFit="1" customWidth="1"/>
    <col min="6705" max="6705" width="18.5703125" style="18" bestFit="1" customWidth="1"/>
    <col min="6706" max="6706" width="21.28515625" style="18" bestFit="1" customWidth="1"/>
    <col min="6707" max="6707" width="16.28515625" style="18" bestFit="1" customWidth="1"/>
    <col min="6708" max="6708" width="21.140625" style="18" bestFit="1" customWidth="1"/>
    <col min="6709" max="6709" width="19" style="18" bestFit="1" customWidth="1"/>
    <col min="6710" max="6710" width="19.140625" style="18" customWidth="1"/>
    <col min="6711" max="6711" width="16.7109375" style="18" customWidth="1"/>
    <col min="6712" max="6712" width="21.140625" style="18" bestFit="1" customWidth="1"/>
    <col min="6713" max="6713" width="20.42578125" style="18" bestFit="1" customWidth="1"/>
    <col min="6714" max="6714" width="21.140625" style="18" customWidth="1"/>
    <col min="6715" max="6715" width="20.5703125" style="18" bestFit="1" customWidth="1"/>
    <col min="6716" max="6716" width="19.7109375" style="18" bestFit="1" customWidth="1"/>
    <col min="6717" max="6717" width="20.28515625" style="18" customWidth="1"/>
    <col min="6718" max="6718" width="20.85546875" style="18" bestFit="1" customWidth="1"/>
    <col min="6719" max="6719" width="19.5703125" style="18" bestFit="1" customWidth="1"/>
    <col min="6720" max="6720" width="18" style="18" customWidth="1"/>
    <col min="6721" max="6721" width="20" style="18" bestFit="1" customWidth="1"/>
    <col min="6722" max="6722" width="35.7109375" style="18" customWidth="1"/>
    <col min="6723" max="6723" width="21.140625" style="18" bestFit="1" customWidth="1"/>
    <col min="6724" max="6724" width="20.5703125" style="18" bestFit="1" customWidth="1"/>
    <col min="6725" max="6725" width="19.42578125" style="18" bestFit="1" customWidth="1"/>
    <col min="6726" max="6726" width="18.5703125" style="18" bestFit="1" customWidth="1"/>
    <col min="6727" max="6727" width="20.5703125" style="18" bestFit="1" customWidth="1"/>
    <col min="6728" max="6728" width="21.28515625" style="18" bestFit="1" customWidth="1"/>
    <col min="6729" max="6729" width="15.42578125" style="18" customWidth="1"/>
    <col min="6730" max="6730" width="20.7109375" style="18" customWidth="1"/>
    <col min="6731" max="6731" width="21.28515625" style="18" customWidth="1"/>
    <col min="6732" max="6732" width="14.85546875" style="18" bestFit="1" customWidth="1"/>
    <col min="6733" max="6733" width="23" style="18" bestFit="1" customWidth="1"/>
    <col min="6734" max="6734" width="21.28515625" style="18" bestFit="1" customWidth="1"/>
    <col min="6735" max="6735" width="20.28515625" style="18" bestFit="1" customWidth="1"/>
    <col min="6736" max="6736" width="21" style="18" bestFit="1" customWidth="1"/>
    <col min="6737" max="6737" width="18.85546875" style="18" bestFit="1" customWidth="1"/>
    <col min="6738" max="6738" width="80.7109375" style="18" customWidth="1"/>
    <col min="6739" max="6926" width="9.140625" style="18"/>
    <col min="6927" max="6927" width="2.5703125" style="18" customWidth="1"/>
    <col min="6928" max="6928" width="17.85546875" style="18" customWidth="1"/>
    <col min="6929" max="6929" width="41.5703125" style="18" customWidth="1"/>
    <col min="6930" max="6931" width="12" style="18" customWidth="1"/>
    <col min="6932" max="6932" width="17" style="18" customWidth="1"/>
    <col min="6933" max="6933" width="9.7109375" style="18" customWidth="1"/>
    <col min="6934" max="6934" width="12.28515625" style="18" customWidth="1"/>
    <col min="6935" max="6935" width="13.7109375" style="18" customWidth="1"/>
    <col min="6936" max="6936" width="13.5703125" style="18" bestFit="1" customWidth="1"/>
    <col min="6937" max="6937" width="13.5703125" style="18" customWidth="1"/>
    <col min="6938" max="6938" width="21" style="18" customWidth="1"/>
    <col min="6939" max="6942" width="13.42578125" style="18" customWidth="1"/>
    <col min="6943" max="6944" width="19" style="18" customWidth="1"/>
    <col min="6945" max="6945" width="34" style="18" customWidth="1"/>
    <col min="6946" max="6946" width="19" style="18" customWidth="1"/>
    <col min="6947" max="6947" width="20" style="18" bestFit="1" customWidth="1"/>
    <col min="6948" max="6948" width="20.28515625" style="18" bestFit="1" customWidth="1"/>
    <col min="6949" max="6949" width="26.7109375" style="18" customWidth="1"/>
    <col min="6950" max="6950" width="20.85546875" style="18" bestFit="1" customWidth="1"/>
    <col min="6951" max="6951" width="20.85546875" style="18" customWidth="1"/>
    <col min="6952" max="6952" width="18.85546875" style="18" customWidth="1"/>
    <col min="6953" max="6953" width="17.5703125" style="18" customWidth="1"/>
    <col min="6954" max="6955" width="19.42578125" style="18" customWidth="1"/>
    <col min="6956" max="6956" width="20.7109375" style="18" bestFit="1" customWidth="1"/>
    <col min="6957" max="6957" width="80.7109375" style="18" customWidth="1"/>
    <col min="6958" max="6958" width="14.7109375" style="18" bestFit="1" customWidth="1"/>
    <col min="6959" max="6959" width="18.140625" style="18" bestFit="1" customWidth="1"/>
    <col min="6960" max="6960" width="16.7109375" style="18" bestFit="1" customWidth="1"/>
    <col min="6961" max="6961" width="18.5703125" style="18" bestFit="1" customWidth="1"/>
    <col min="6962" max="6962" width="21.28515625" style="18" bestFit="1" customWidth="1"/>
    <col min="6963" max="6963" width="16.28515625" style="18" bestFit="1" customWidth="1"/>
    <col min="6964" max="6964" width="21.140625" style="18" bestFit="1" customWidth="1"/>
    <col min="6965" max="6965" width="19" style="18" bestFit="1" customWidth="1"/>
    <col min="6966" max="6966" width="19.140625" style="18" customWidth="1"/>
    <col min="6967" max="6967" width="16.7109375" style="18" customWidth="1"/>
    <col min="6968" max="6968" width="21.140625" style="18" bestFit="1" customWidth="1"/>
    <col min="6969" max="6969" width="20.42578125" style="18" bestFit="1" customWidth="1"/>
    <col min="6970" max="6970" width="21.140625" style="18" customWidth="1"/>
    <col min="6971" max="6971" width="20.5703125" style="18" bestFit="1" customWidth="1"/>
    <col min="6972" max="6972" width="19.7109375" style="18" bestFit="1" customWidth="1"/>
    <col min="6973" max="6973" width="20.28515625" style="18" customWidth="1"/>
    <col min="6974" max="6974" width="20.85546875" style="18" bestFit="1" customWidth="1"/>
    <col min="6975" max="6975" width="19.5703125" style="18" bestFit="1" customWidth="1"/>
    <col min="6976" max="6976" width="18" style="18" customWidth="1"/>
    <col min="6977" max="6977" width="20" style="18" bestFit="1" customWidth="1"/>
    <col min="6978" max="6978" width="35.7109375" style="18" customWidth="1"/>
    <col min="6979" max="6979" width="21.140625" style="18" bestFit="1" customWidth="1"/>
    <col min="6980" max="6980" width="20.5703125" style="18" bestFit="1" customWidth="1"/>
    <col min="6981" max="6981" width="19.42578125" style="18" bestFit="1" customWidth="1"/>
    <col min="6982" max="6982" width="18.5703125" style="18" bestFit="1" customWidth="1"/>
    <col min="6983" max="6983" width="20.5703125" style="18" bestFit="1" customWidth="1"/>
    <col min="6984" max="6984" width="21.28515625" style="18" bestFit="1" customWidth="1"/>
    <col min="6985" max="6985" width="15.42578125" style="18" customWidth="1"/>
    <col min="6986" max="6986" width="20.7109375" style="18" customWidth="1"/>
    <col min="6987" max="6987" width="21.28515625" style="18" customWidth="1"/>
    <col min="6988" max="6988" width="14.85546875" style="18" bestFit="1" customWidth="1"/>
    <col min="6989" max="6989" width="23" style="18" bestFit="1" customWidth="1"/>
    <col min="6990" max="6990" width="21.28515625" style="18" bestFit="1" customWidth="1"/>
    <col min="6991" max="6991" width="20.28515625" style="18" bestFit="1" customWidth="1"/>
    <col min="6992" max="6992" width="21" style="18" bestFit="1" customWidth="1"/>
    <col min="6993" max="6993" width="18.85546875" style="18" bestFit="1" customWidth="1"/>
    <col min="6994" max="6994" width="80.7109375" style="18" customWidth="1"/>
    <col min="6995" max="7182" width="9.140625" style="18"/>
    <col min="7183" max="7183" width="2.5703125" style="18" customWidth="1"/>
    <col min="7184" max="7184" width="17.85546875" style="18" customWidth="1"/>
    <col min="7185" max="7185" width="41.5703125" style="18" customWidth="1"/>
    <col min="7186" max="7187" width="12" style="18" customWidth="1"/>
    <col min="7188" max="7188" width="17" style="18" customWidth="1"/>
    <col min="7189" max="7189" width="9.7109375" style="18" customWidth="1"/>
    <col min="7190" max="7190" width="12.28515625" style="18" customWidth="1"/>
    <col min="7191" max="7191" width="13.7109375" style="18" customWidth="1"/>
    <col min="7192" max="7192" width="13.5703125" style="18" bestFit="1" customWidth="1"/>
    <col min="7193" max="7193" width="13.5703125" style="18" customWidth="1"/>
    <col min="7194" max="7194" width="21" style="18" customWidth="1"/>
    <col min="7195" max="7198" width="13.42578125" style="18" customWidth="1"/>
    <col min="7199" max="7200" width="19" style="18" customWidth="1"/>
    <col min="7201" max="7201" width="34" style="18" customWidth="1"/>
    <col min="7202" max="7202" width="19" style="18" customWidth="1"/>
    <col min="7203" max="7203" width="20" style="18" bestFit="1" customWidth="1"/>
    <col min="7204" max="7204" width="20.28515625" style="18" bestFit="1" customWidth="1"/>
    <col min="7205" max="7205" width="26.7109375" style="18" customWidth="1"/>
    <col min="7206" max="7206" width="20.85546875" style="18" bestFit="1" customWidth="1"/>
    <col min="7207" max="7207" width="20.85546875" style="18" customWidth="1"/>
    <col min="7208" max="7208" width="18.85546875" style="18" customWidth="1"/>
    <col min="7209" max="7209" width="17.5703125" style="18" customWidth="1"/>
    <col min="7210" max="7211" width="19.42578125" style="18" customWidth="1"/>
    <col min="7212" max="7212" width="20.7109375" style="18" bestFit="1" customWidth="1"/>
    <col min="7213" max="7213" width="80.7109375" style="18" customWidth="1"/>
    <col min="7214" max="7214" width="14.7109375" style="18" bestFit="1" customWidth="1"/>
    <col min="7215" max="7215" width="18.140625" style="18" bestFit="1" customWidth="1"/>
    <col min="7216" max="7216" width="16.7109375" style="18" bestFit="1" customWidth="1"/>
    <col min="7217" max="7217" width="18.5703125" style="18" bestFit="1" customWidth="1"/>
    <col min="7218" max="7218" width="21.28515625" style="18" bestFit="1" customWidth="1"/>
    <col min="7219" max="7219" width="16.28515625" style="18" bestFit="1" customWidth="1"/>
    <col min="7220" max="7220" width="21.140625" style="18" bestFit="1" customWidth="1"/>
    <col min="7221" max="7221" width="19" style="18" bestFit="1" customWidth="1"/>
    <col min="7222" max="7222" width="19.140625" style="18" customWidth="1"/>
    <col min="7223" max="7223" width="16.7109375" style="18" customWidth="1"/>
    <col min="7224" max="7224" width="21.140625" style="18" bestFit="1" customWidth="1"/>
    <col min="7225" max="7225" width="20.42578125" style="18" bestFit="1" customWidth="1"/>
    <col min="7226" max="7226" width="21.140625" style="18" customWidth="1"/>
    <col min="7227" max="7227" width="20.5703125" style="18" bestFit="1" customWidth="1"/>
    <col min="7228" max="7228" width="19.7109375" style="18" bestFit="1" customWidth="1"/>
    <col min="7229" max="7229" width="20.28515625" style="18" customWidth="1"/>
    <col min="7230" max="7230" width="20.85546875" style="18" bestFit="1" customWidth="1"/>
    <col min="7231" max="7231" width="19.5703125" style="18" bestFit="1" customWidth="1"/>
    <col min="7232" max="7232" width="18" style="18" customWidth="1"/>
    <col min="7233" max="7233" width="20" style="18" bestFit="1" customWidth="1"/>
    <col min="7234" max="7234" width="35.7109375" style="18" customWidth="1"/>
    <col min="7235" max="7235" width="21.140625" style="18" bestFit="1" customWidth="1"/>
    <col min="7236" max="7236" width="20.5703125" style="18" bestFit="1" customWidth="1"/>
    <col min="7237" max="7237" width="19.42578125" style="18" bestFit="1" customWidth="1"/>
    <col min="7238" max="7238" width="18.5703125" style="18" bestFit="1" customWidth="1"/>
    <col min="7239" max="7239" width="20.5703125" style="18" bestFit="1" customWidth="1"/>
    <col min="7240" max="7240" width="21.28515625" style="18" bestFit="1" customWidth="1"/>
    <col min="7241" max="7241" width="15.42578125" style="18" customWidth="1"/>
    <col min="7242" max="7242" width="20.7109375" style="18" customWidth="1"/>
    <col min="7243" max="7243" width="21.28515625" style="18" customWidth="1"/>
    <col min="7244" max="7244" width="14.85546875" style="18" bestFit="1" customWidth="1"/>
    <col min="7245" max="7245" width="23" style="18" bestFit="1" customWidth="1"/>
    <col min="7246" max="7246" width="21.28515625" style="18" bestFit="1" customWidth="1"/>
    <col min="7247" max="7247" width="20.28515625" style="18" bestFit="1" customWidth="1"/>
    <col min="7248" max="7248" width="21" style="18" bestFit="1" customWidth="1"/>
    <col min="7249" max="7249" width="18.85546875" style="18" bestFit="1" customWidth="1"/>
    <col min="7250" max="7250" width="80.7109375" style="18" customWidth="1"/>
    <col min="7251" max="7438" width="9.140625" style="18"/>
    <col min="7439" max="7439" width="2.5703125" style="18" customWidth="1"/>
    <col min="7440" max="7440" width="17.85546875" style="18" customWidth="1"/>
    <col min="7441" max="7441" width="41.5703125" style="18" customWidth="1"/>
    <col min="7442" max="7443" width="12" style="18" customWidth="1"/>
    <col min="7444" max="7444" width="17" style="18" customWidth="1"/>
    <col min="7445" max="7445" width="9.7109375" style="18" customWidth="1"/>
    <col min="7446" max="7446" width="12.28515625" style="18" customWidth="1"/>
    <col min="7447" max="7447" width="13.7109375" style="18" customWidth="1"/>
    <col min="7448" max="7448" width="13.5703125" style="18" bestFit="1" customWidth="1"/>
    <col min="7449" max="7449" width="13.5703125" style="18" customWidth="1"/>
    <col min="7450" max="7450" width="21" style="18" customWidth="1"/>
    <col min="7451" max="7454" width="13.42578125" style="18" customWidth="1"/>
    <col min="7455" max="7456" width="19" style="18" customWidth="1"/>
    <col min="7457" max="7457" width="34" style="18" customWidth="1"/>
    <col min="7458" max="7458" width="19" style="18" customWidth="1"/>
    <col min="7459" max="7459" width="20" style="18" bestFit="1" customWidth="1"/>
    <col min="7460" max="7460" width="20.28515625" style="18" bestFit="1" customWidth="1"/>
    <col min="7461" max="7461" width="26.7109375" style="18" customWidth="1"/>
    <col min="7462" max="7462" width="20.85546875" style="18" bestFit="1" customWidth="1"/>
    <col min="7463" max="7463" width="20.85546875" style="18" customWidth="1"/>
    <col min="7464" max="7464" width="18.85546875" style="18" customWidth="1"/>
    <col min="7465" max="7465" width="17.5703125" style="18" customWidth="1"/>
    <col min="7466" max="7467" width="19.42578125" style="18" customWidth="1"/>
    <col min="7468" max="7468" width="20.7109375" style="18" bestFit="1" customWidth="1"/>
    <col min="7469" max="7469" width="80.7109375" style="18" customWidth="1"/>
    <col min="7470" max="7470" width="14.7109375" style="18" bestFit="1" customWidth="1"/>
    <col min="7471" max="7471" width="18.140625" style="18" bestFit="1" customWidth="1"/>
    <col min="7472" max="7472" width="16.7109375" style="18" bestFit="1" customWidth="1"/>
    <col min="7473" max="7473" width="18.5703125" style="18" bestFit="1" customWidth="1"/>
    <col min="7474" max="7474" width="21.28515625" style="18" bestFit="1" customWidth="1"/>
    <col min="7475" max="7475" width="16.28515625" style="18" bestFit="1" customWidth="1"/>
    <col min="7476" max="7476" width="21.140625" style="18" bestFit="1" customWidth="1"/>
    <col min="7477" max="7477" width="19" style="18" bestFit="1" customWidth="1"/>
    <col min="7478" max="7478" width="19.140625" style="18" customWidth="1"/>
    <col min="7479" max="7479" width="16.7109375" style="18" customWidth="1"/>
    <col min="7480" max="7480" width="21.140625" style="18" bestFit="1" customWidth="1"/>
    <col min="7481" max="7481" width="20.42578125" style="18" bestFit="1" customWidth="1"/>
    <col min="7482" max="7482" width="21.140625" style="18" customWidth="1"/>
    <col min="7483" max="7483" width="20.5703125" style="18" bestFit="1" customWidth="1"/>
    <col min="7484" max="7484" width="19.7109375" style="18" bestFit="1" customWidth="1"/>
    <col min="7485" max="7485" width="20.28515625" style="18" customWidth="1"/>
    <col min="7486" max="7486" width="20.85546875" style="18" bestFit="1" customWidth="1"/>
    <col min="7487" max="7487" width="19.5703125" style="18" bestFit="1" customWidth="1"/>
    <col min="7488" max="7488" width="18" style="18" customWidth="1"/>
    <col min="7489" max="7489" width="20" style="18" bestFit="1" customWidth="1"/>
    <col min="7490" max="7490" width="35.7109375" style="18" customWidth="1"/>
    <col min="7491" max="7491" width="21.140625" style="18" bestFit="1" customWidth="1"/>
    <col min="7492" max="7492" width="20.5703125" style="18" bestFit="1" customWidth="1"/>
    <col min="7493" max="7493" width="19.42578125" style="18" bestFit="1" customWidth="1"/>
    <col min="7494" max="7494" width="18.5703125" style="18" bestFit="1" customWidth="1"/>
    <col min="7495" max="7495" width="20.5703125" style="18" bestFit="1" customWidth="1"/>
    <col min="7496" max="7496" width="21.28515625" style="18" bestFit="1" customWidth="1"/>
    <col min="7497" max="7497" width="15.42578125" style="18" customWidth="1"/>
    <col min="7498" max="7498" width="20.7109375" style="18" customWidth="1"/>
    <col min="7499" max="7499" width="21.28515625" style="18" customWidth="1"/>
    <col min="7500" max="7500" width="14.85546875" style="18" bestFit="1" customWidth="1"/>
    <col min="7501" max="7501" width="23" style="18" bestFit="1" customWidth="1"/>
    <col min="7502" max="7502" width="21.28515625" style="18" bestFit="1" customWidth="1"/>
    <col min="7503" max="7503" width="20.28515625" style="18" bestFit="1" customWidth="1"/>
    <col min="7504" max="7504" width="21" style="18" bestFit="1" customWidth="1"/>
    <col min="7505" max="7505" width="18.85546875" style="18" bestFit="1" customWidth="1"/>
    <col min="7506" max="7506" width="80.7109375" style="18" customWidth="1"/>
    <col min="7507" max="7694" width="9.140625" style="18"/>
    <col min="7695" max="7695" width="2.5703125" style="18" customWidth="1"/>
    <col min="7696" max="7696" width="17.85546875" style="18" customWidth="1"/>
    <col min="7697" max="7697" width="41.5703125" style="18" customWidth="1"/>
    <col min="7698" max="7699" width="12" style="18" customWidth="1"/>
    <col min="7700" max="7700" width="17" style="18" customWidth="1"/>
    <col min="7701" max="7701" width="9.7109375" style="18" customWidth="1"/>
    <col min="7702" max="7702" width="12.28515625" style="18" customWidth="1"/>
    <col min="7703" max="7703" width="13.7109375" style="18" customWidth="1"/>
    <col min="7704" max="7704" width="13.5703125" style="18" bestFit="1" customWidth="1"/>
    <col min="7705" max="7705" width="13.5703125" style="18" customWidth="1"/>
    <col min="7706" max="7706" width="21" style="18" customWidth="1"/>
    <col min="7707" max="7710" width="13.42578125" style="18" customWidth="1"/>
    <col min="7711" max="7712" width="19" style="18" customWidth="1"/>
    <col min="7713" max="7713" width="34" style="18" customWidth="1"/>
    <col min="7714" max="7714" width="19" style="18" customWidth="1"/>
    <col min="7715" max="7715" width="20" style="18" bestFit="1" customWidth="1"/>
    <col min="7716" max="7716" width="20.28515625" style="18" bestFit="1" customWidth="1"/>
    <col min="7717" max="7717" width="26.7109375" style="18" customWidth="1"/>
    <col min="7718" max="7718" width="20.85546875" style="18" bestFit="1" customWidth="1"/>
    <col min="7719" max="7719" width="20.85546875" style="18" customWidth="1"/>
    <col min="7720" max="7720" width="18.85546875" style="18" customWidth="1"/>
    <col min="7721" max="7721" width="17.5703125" style="18" customWidth="1"/>
    <col min="7722" max="7723" width="19.42578125" style="18" customWidth="1"/>
    <col min="7724" max="7724" width="20.7109375" style="18" bestFit="1" customWidth="1"/>
    <col min="7725" max="7725" width="80.7109375" style="18" customWidth="1"/>
    <col min="7726" max="7726" width="14.7109375" style="18" bestFit="1" customWidth="1"/>
    <col min="7727" max="7727" width="18.140625" style="18" bestFit="1" customWidth="1"/>
    <col min="7728" max="7728" width="16.7109375" style="18" bestFit="1" customWidth="1"/>
    <col min="7729" max="7729" width="18.5703125" style="18" bestFit="1" customWidth="1"/>
    <col min="7730" max="7730" width="21.28515625" style="18" bestFit="1" customWidth="1"/>
    <col min="7731" max="7731" width="16.28515625" style="18" bestFit="1" customWidth="1"/>
    <col min="7732" max="7732" width="21.140625" style="18" bestFit="1" customWidth="1"/>
    <col min="7733" max="7733" width="19" style="18" bestFit="1" customWidth="1"/>
    <col min="7734" max="7734" width="19.140625" style="18" customWidth="1"/>
    <col min="7735" max="7735" width="16.7109375" style="18" customWidth="1"/>
    <col min="7736" max="7736" width="21.140625" style="18" bestFit="1" customWidth="1"/>
    <col min="7737" max="7737" width="20.42578125" style="18" bestFit="1" customWidth="1"/>
    <col min="7738" max="7738" width="21.140625" style="18" customWidth="1"/>
    <col min="7739" max="7739" width="20.5703125" style="18" bestFit="1" customWidth="1"/>
    <col min="7740" max="7740" width="19.7109375" style="18" bestFit="1" customWidth="1"/>
    <col min="7741" max="7741" width="20.28515625" style="18" customWidth="1"/>
    <col min="7742" max="7742" width="20.85546875" style="18" bestFit="1" customWidth="1"/>
    <col min="7743" max="7743" width="19.5703125" style="18" bestFit="1" customWidth="1"/>
    <col min="7744" max="7744" width="18" style="18" customWidth="1"/>
    <col min="7745" max="7745" width="20" style="18" bestFit="1" customWidth="1"/>
    <col min="7746" max="7746" width="35.7109375" style="18" customWidth="1"/>
    <col min="7747" max="7747" width="21.140625" style="18" bestFit="1" customWidth="1"/>
    <col min="7748" max="7748" width="20.5703125" style="18" bestFit="1" customWidth="1"/>
    <col min="7749" max="7749" width="19.42578125" style="18" bestFit="1" customWidth="1"/>
    <col min="7750" max="7750" width="18.5703125" style="18" bestFit="1" customWidth="1"/>
    <col min="7751" max="7751" width="20.5703125" style="18" bestFit="1" customWidth="1"/>
    <col min="7752" max="7752" width="21.28515625" style="18" bestFit="1" customWidth="1"/>
    <col min="7753" max="7753" width="15.42578125" style="18" customWidth="1"/>
    <col min="7754" max="7754" width="20.7109375" style="18" customWidth="1"/>
    <col min="7755" max="7755" width="21.28515625" style="18" customWidth="1"/>
    <col min="7756" max="7756" width="14.85546875" style="18" bestFit="1" customWidth="1"/>
    <col min="7757" max="7757" width="23" style="18" bestFit="1" customWidth="1"/>
    <col min="7758" max="7758" width="21.28515625" style="18" bestFit="1" customWidth="1"/>
    <col min="7759" max="7759" width="20.28515625" style="18" bestFit="1" customWidth="1"/>
    <col min="7760" max="7760" width="21" style="18" bestFit="1" customWidth="1"/>
    <col min="7761" max="7761" width="18.85546875" style="18" bestFit="1" customWidth="1"/>
    <col min="7762" max="7762" width="80.7109375" style="18" customWidth="1"/>
    <col min="7763" max="7950" width="9.140625" style="18"/>
    <col min="7951" max="7951" width="2.5703125" style="18" customWidth="1"/>
    <col min="7952" max="7952" width="17.85546875" style="18" customWidth="1"/>
    <col min="7953" max="7953" width="41.5703125" style="18" customWidth="1"/>
    <col min="7954" max="7955" width="12" style="18" customWidth="1"/>
    <col min="7956" max="7956" width="17" style="18" customWidth="1"/>
    <col min="7957" max="7957" width="9.7109375" style="18" customWidth="1"/>
    <col min="7958" max="7958" width="12.28515625" style="18" customWidth="1"/>
    <col min="7959" max="7959" width="13.7109375" style="18" customWidth="1"/>
    <col min="7960" max="7960" width="13.5703125" style="18" bestFit="1" customWidth="1"/>
    <col min="7961" max="7961" width="13.5703125" style="18" customWidth="1"/>
    <col min="7962" max="7962" width="21" style="18" customWidth="1"/>
    <col min="7963" max="7966" width="13.42578125" style="18" customWidth="1"/>
    <col min="7967" max="7968" width="19" style="18" customWidth="1"/>
    <col min="7969" max="7969" width="34" style="18" customWidth="1"/>
    <col min="7970" max="7970" width="19" style="18" customWidth="1"/>
    <col min="7971" max="7971" width="20" style="18" bestFit="1" customWidth="1"/>
    <col min="7972" max="7972" width="20.28515625" style="18" bestFit="1" customWidth="1"/>
    <col min="7973" max="7973" width="26.7109375" style="18" customWidth="1"/>
    <col min="7974" max="7974" width="20.85546875" style="18" bestFit="1" customWidth="1"/>
    <col min="7975" max="7975" width="20.85546875" style="18" customWidth="1"/>
    <col min="7976" max="7976" width="18.85546875" style="18" customWidth="1"/>
    <col min="7977" max="7977" width="17.5703125" style="18" customWidth="1"/>
    <col min="7978" max="7979" width="19.42578125" style="18" customWidth="1"/>
    <col min="7980" max="7980" width="20.7109375" style="18" bestFit="1" customWidth="1"/>
    <col min="7981" max="7981" width="80.7109375" style="18" customWidth="1"/>
    <col min="7982" max="7982" width="14.7109375" style="18" bestFit="1" customWidth="1"/>
    <col min="7983" max="7983" width="18.140625" style="18" bestFit="1" customWidth="1"/>
    <col min="7984" max="7984" width="16.7109375" style="18" bestFit="1" customWidth="1"/>
    <col min="7985" max="7985" width="18.5703125" style="18" bestFit="1" customWidth="1"/>
    <col min="7986" max="7986" width="21.28515625" style="18" bestFit="1" customWidth="1"/>
    <col min="7987" max="7987" width="16.28515625" style="18" bestFit="1" customWidth="1"/>
    <col min="7988" max="7988" width="21.140625" style="18" bestFit="1" customWidth="1"/>
    <col min="7989" max="7989" width="19" style="18" bestFit="1" customWidth="1"/>
    <col min="7990" max="7990" width="19.140625" style="18" customWidth="1"/>
    <col min="7991" max="7991" width="16.7109375" style="18" customWidth="1"/>
    <col min="7992" max="7992" width="21.140625" style="18" bestFit="1" customWidth="1"/>
    <col min="7993" max="7993" width="20.42578125" style="18" bestFit="1" customWidth="1"/>
    <col min="7994" max="7994" width="21.140625" style="18" customWidth="1"/>
    <col min="7995" max="7995" width="20.5703125" style="18" bestFit="1" customWidth="1"/>
    <col min="7996" max="7996" width="19.7109375" style="18" bestFit="1" customWidth="1"/>
    <col min="7997" max="7997" width="20.28515625" style="18" customWidth="1"/>
    <col min="7998" max="7998" width="20.85546875" style="18" bestFit="1" customWidth="1"/>
    <col min="7999" max="7999" width="19.5703125" style="18" bestFit="1" customWidth="1"/>
    <col min="8000" max="8000" width="18" style="18" customWidth="1"/>
    <col min="8001" max="8001" width="20" style="18" bestFit="1" customWidth="1"/>
    <col min="8002" max="8002" width="35.7109375" style="18" customWidth="1"/>
    <col min="8003" max="8003" width="21.140625" style="18" bestFit="1" customWidth="1"/>
    <col min="8004" max="8004" width="20.5703125" style="18" bestFit="1" customWidth="1"/>
    <col min="8005" max="8005" width="19.42578125" style="18" bestFit="1" customWidth="1"/>
    <col min="8006" max="8006" width="18.5703125" style="18" bestFit="1" customWidth="1"/>
    <col min="8007" max="8007" width="20.5703125" style="18" bestFit="1" customWidth="1"/>
    <col min="8008" max="8008" width="21.28515625" style="18" bestFit="1" customWidth="1"/>
    <col min="8009" max="8009" width="15.42578125" style="18" customWidth="1"/>
    <col min="8010" max="8010" width="20.7109375" style="18" customWidth="1"/>
    <col min="8011" max="8011" width="21.28515625" style="18" customWidth="1"/>
    <col min="8012" max="8012" width="14.85546875" style="18" bestFit="1" customWidth="1"/>
    <col min="8013" max="8013" width="23" style="18" bestFit="1" customWidth="1"/>
    <col min="8014" max="8014" width="21.28515625" style="18" bestFit="1" customWidth="1"/>
    <col min="8015" max="8015" width="20.28515625" style="18" bestFit="1" customWidth="1"/>
    <col min="8016" max="8016" width="21" style="18" bestFit="1" customWidth="1"/>
    <col min="8017" max="8017" width="18.85546875" style="18" bestFit="1" customWidth="1"/>
    <col min="8018" max="8018" width="80.7109375" style="18" customWidth="1"/>
    <col min="8019" max="8206" width="9.140625" style="18"/>
    <col min="8207" max="8207" width="2.5703125" style="18" customWidth="1"/>
    <col min="8208" max="8208" width="17.85546875" style="18" customWidth="1"/>
    <col min="8209" max="8209" width="41.5703125" style="18" customWidth="1"/>
    <col min="8210" max="8211" width="12" style="18" customWidth="1"/>
    <col min="8212" max="8212" width="17" style="18" customWidth="1"/>
    <col min="8213" max="8213" width="9.7109375" style="18" customWidth="1"/>
    <col min="8214" max="8214" width="12.28515625" style="18" customWidth="1"/>
    <col min="8215" max="8215" width="13.7109375" style="18" customWidth="1"/>
    <col min="8216" max="8216" width="13.5703125" style="18" bestFit="1" customWidth="1"/>
    <col min="8217" max="8217" width="13.5703125" style="18" customWidth="1"/>
    <col min="8218" max="8218" width="21" style="18" customWidth="1"/>
    <col min="8219" max="8222" width="13.42578125" style="18" customWidth="1"/>
    <col min="8223" max="8224" width="19" style="18" customWidth="1"/>
    <col min="8225" max="8225" width="34" style="18" customWidth="1"/>
    <col min="8226" max="8226" width="19" style="18" customWidth="1"/>
    <col min="8227" max="8227" width="20" style="18" bestFit="1" customWidth="1"/>
    <col min="8228" max="8228" width="20.28515625" style="18" bestFit="1" customWidth="1"/>
    <col min="8229" max="8229" width="26.7109375" style="18" customWidth="1"/>
    <col min="8230" max="8230" width="20.85546875" style="18" bestFit="1" customWidth="1"/>
    <col min="8231" max="8231" width="20.85546875" style="18" customWidth="1"/>
    <col min="8232" max="8232" width="18.85546875" style="18" customWidth="1"/>
    <col min="8233" max="8233" width="17.5703125" style="18" customWidth="1"/>
    <col min="8234" max="8235" width="19.42578125" style="18" customWidth="1"/>
    <col min="8236" max="8236" width="20.7109375" style="18" bestFit="1" customWidth="1"/>
    <col min="8237" max="8237" width="80.7109375" style="18" customWidth="1"/>
    <col min="8238" max="8238" width="14.7109375" style="18" bestFit="1" customWidth="1"/>
    <col min="8239" max="8239" width="18.140625" style="18" bestFit="1" customWidth="1"/>
    <col min="8240" max="8240" width="16.7109375" style="18" bestFit="1" customWidth="1"/>
    <col min="8241" max="8241" width="18.5703125" style="18" bestFit="1" customWidth="1"/>
    <col min="8242" max="8242" width="21.28515625" style="18" bestFit="1" customWidth="1"/>
    <col min="8243" max="8243" width="16.28515625" style="18" bestFit="1" customWidth="1"/>
    <col min="8244" max="8244" width="21.140625" style="18" bestFit="1" customWidth="1"/>
    <col min="8245" max="8245" width="19" style="18" bestFit="1" customWidth="1"/>
    <col min="8246" max="8246" width="19.140625" style="18" customWidth="1"/>
    <col min="8247" max="8247" width="16.7109375" style="18" customWidth="1"/>
    <col min="8248" max="8248" width="21.140625" style="18" bestFit="1" customWidth="1"/>
    <col min="8249" max="8249" width="20.42578125" style="18" bestFit="1" customWidth="1"/>
    <col min="8250" max="8250" width="21.140625" style="18" customWidth="1"/>
    <col min="8251" max="8251" width="20.5703125" style="18" bestFit="1" customWidth="1"/>
    <col min="8252" max="8252" width="19.7109375" style="18" bestFit="1" customWidth="1"/>
    <col min="8253" max="8253" width="20.28515625" style="18" customWidth="1"/>
    <col min="8254" max="8254" width="20.85546875" style="18" bestFit="1" customWidth="1"/>
    <col min="8255" max="8255" width="19.5703125" style="18" bestFit="1" customWidth="1"/>
    <col min="8256" max="8256" width="18" style="18" customWidth="1"/>
    <col min="8257" max="8257" width="20" style="18" bestFit="1" customWidth="1"/>
    <col min="8258" max="8258" width="35.7109375" style="18" customWidth="1"/>
    <col min="8259" max="8259" width="21.140625" style="18" bestFit="1" customWidth="1"/>
    <col min="8260" max="8260" width="20.5703125" style="18" bestFit="1" customWidth="1"/>
    <col min="8261" max="8261" width="19.42578125" style="18" bestFit="1" customWidth="1"/>
    <col min="8262" max="8262" width="18.5703125" style="18" bestFit="1" customWidth="1"/>
    <col min="8263" max="8263" width="20.5703125" style="18" bestFit="1" customWidth="1"/>
    <col min="8264" max="8264" width="21.28515625" style="18" bestFit="1" customWidth="1"/>
    <col min="8265" max="8265" width="15.42578125" style="18" customWidth="1"/>
    <col min="8266" max="8266" width="20.7109375" style="18" customWidth="1"/>
    <col min="8267" max="8267" width="21.28515625" style="18" customWidth="1"/>
    <col min="8268" max="8268" width="14.85546875" style="18" bestFit="1" customWidth="1"/>
    <col min="8269" max="8269" width="23" style="18" bestFit="1" customWidth="1"/>
    <col min="8270" max="8270" width="21.28515625" style="18" bestFit="1" customWidth="1"/>
    <col min="8271" max="8271" width="20.28515625" style="18" bestFit="1" customWidth="1"/>
    <col min="8272" max="8272" width="21" style="18" bestFit="1" customWidth="1"/>
    <col min="8273" max="8273" width="18.85546875" style="18" bestFit="1" customWidth="1"/>
    <col min="8274" max="8274" width="80.7109375" style="18" customWidth="1"/>
    <col min="8275" max="8462" width="9.140625" style="18"/>
    <col min="8463" max="8463" width="2.5703125" style="18" customWidth="1"/>
    <col min="8464" max="8464" width="17.85546875" style="18" customWidth="1"/>
    <col min="8465" max="8465" width="41.5703125" style="18" customWidth="1"/>
    <col min="8466" max="8467" width="12" style="18" customWidth="1"/>
    <col min="8468" max="8468" width="17" style="18" customWidth="1"/>
    <col min="8469" max="8469" width="9.7109375" style="18" customWidth="1"/>
    <col min="8470" max="8470" width="12.28515625" style="18" customWidth="1"/>
    <col min="8471" max="8471" width="13.7109375" style="18" customWidth="1"/>
    <col min="8472" max="8472" width="13.5703125" style="18" bestFit="1" customWidth="1"/>
    <col min="8473" max="8473" width="13.5703125" style="18" customWidth="1"/>
    <col min="8474" max="8474" width="21" style="18" customWidth="1"/>
    <col min="8475" max="8478" width="13.42578125" style="18" customWidth="1"/>
    <col min="8479" max="8480" width="19" style="18" customWidth="1"/>
    <col min="8481" max="8481" width="34" style="18" customWidth="1"/>
    <col min="8482" max="8482" width="19" style="18" customWidth="1"/>
    <col min="8483" max="8483" width="20" style="18" bestFit="1" customWidth="1"/>
    <col min="8484" max="8484" width="20.28515625" style="18" bestFit="1" customWidth="1"/>
    <col min="8485" max="8485" width="26.7109375" style="18" customWidth="1"/>
    <col min="8486" max="8486" width="20.85546875" style="18" bestFit="1" customWidth="1"/>
    <col min="8487" max="8487" width="20.85546875" style="18" customWidth="1"/>
    <col min="8488" max="8488" width="18.85546875" style="18" customWidth="1"/>
    <col min="8489" max="8489" width="17.5703125" style="18" customWidth="1"/>
    <col min="8490" max="8491" width="19.42578125" style="18" customWidth="1"/>
    <col min="8492" max="8492" width="20.7109375" style="18" bestFit="1" customWidth="1"/>
    <col min="8493" max="8493" width="80.7109375" style="18" customWidth="1"/>
    <col min="8494" max="8494" width="14.7109375" style="18" bestFit="1" customWidth="1"/>
    <col min="8495" max="8495" width="18.140625" style="18" bestFit="1" customWidth="1"/>
    <col min="8496" max="8496" width="16.7109375" style="18" bestFit="1" customWidth="1"/>
    <col min="8497" max="8497" width="18.5703125" style="18" bestFit="1" customWidth="1"/>
    <col min="8498" max="8498" width="21.28515625" style="18" bestFit="1" customWidth="1"/>
    <col min="8499" max="8499" width="16.28515625" style="18" bestFit="1" customWidth="1"/>
    <col min="8500" max="8500" width="21.140625" style="18" bestFit="1" customWidth="1"/>
    <col min="8501" max="8501" width="19" style="18" bestFit="1" customWidth="1"/>
    <col min="8502" max="8502" width="19.140625" style="18" customWidth="1"/>
    <col min="8503" max="8503" width="16.7109375" style="18" customWidth="1"/>
    <col min="8504" max="8504" width="21.140625" style="18" bestFit="1" customWidth="1"/>
    <col min="8505" max="8505" width="20.42578125" style="18" bestFit="1" customWidth="1"/>
    <col min="8506" max="8506" width="21.140625" style="18" customWidth="1"/>
    <col min="8507" max="8507" width="20.5703125" style="18" bestFit="1" customWidth="1"/>
    <col min="8508" max="8508" width="19.7109375" style="18" bestFit="1" customWidth="1"/>
    <col min="8509" max="8509" width="20.28515625" style="18" customWidth="1"/>
    <col min="8510" max="8510" width="20.85546875" style="18" bestFit="1" customWidth="1"/>
    <col min="8511" max="8511" width="19.5703125" style="18" bestFit="1" customWidth="1"/>
    <col min="8512" max="8512" width="18" style="18" customWidth="1"/>
    <col min="8513" max="8513" width="20" style="18" bestFit="1" customWidth="1"/>
    <col min="8514" max="8514" width="35.7109375" style="18" customWidth="1"/>
    <col min="8515" max="8515" width="21.140625" style="18" bestFit="1" customWidth="1"/>
    <col min="8516" max="8516" width="20.5703125" style="18" bestFit="1" customWidth="1"/>
    <col min="8517" max="8517" width="19.42578125" style="18" bestFit="1" customWidth="1"/>
    <col min="8518" max="8518" width="18.5703125" style="18" bestFit="1" customWidth="1"/>
    <col min="8519" max="8519" width="20.5703125" style="18" bestFit="1" customWidth="1"/>
    <col min="8520" max="8520" width="21.28515625" style="18" bestFit="1" customWidth="1"/>
    <col min="8521" max="8521" width="15.42578125" style="18" customWidth="1"/>
    <col min="8522" max="8522" width="20.7109375" style="18" customWidth="1"/>
    <col min="8523" max="8523" width="21.28515625" style="18" customWidth="1"/>
    <col min="8524" max="8524" width="14.85546875" style="18" bestFit="1" customWidth="1"/>
    <col min="8525" max="8525" width="23" style="18" bestFit="1" customWidth="1"/>
    <col min="8526" max="8526" width="21.28515625" style="18" bestFit="1" customWidth="1"/>
    <col min="8527" max="8527" width="20.28515625" style="18" bestFit="1" customWidth="1"/>
    <col min="8528" max="8528" width="21" style="18" bestFit="1" customWidth="1"/>
    <col min="8529" max="8529" width="18.85546875" style="18" bestFit="1" customWidth="1"/>
    <col min="8530" max="8530" width="80.7109375" style="18" customWidth="1"/>
    <col min="8531" max="8718" width="9.140625" style="18"/>
    <col min="8719" max="8719" width="2.5703125" style="18" customWidth="1"/>
    <col min="8720" max="8720" width="17.85546875" style="18" customWidth="1"/>
    <col min="8721" max="8721" width="41.5703125" style="18" customWidth="1"/>
    <col min="8722" max="8723" width="12" style="18" customWidth="1"/>
    <col min="8724" max="8724" width="17" style="18" customWidth="1"/>
    <col min="8725" max="8725" width="9.7109375" style="18" customWidth="1"/>
    <col min="8726" max="8726" width="12.28515625" style="18" customWidth="1"/>
    <col min="8727" max="8727" width="13.7109375" style="18" customWidth="1"/>
    <col min="8728" max="8728" width="13.5703125" style="18" bestFit="1" customWidth="1"/>
    <col min="8729" max="8729" width="13.5703125" style="18" customWidth="1"/>
    <col min="8730" max="8730" width="21" style="18" customWidth="1"/>
    <col min="8731" max="8734" width="13.42578125" style="18" customWidth="1"/>
    <col min="8735" max="8736" width="19" style="18" customWidth="1"/>
    <col min="8737" max="8737" width="34" style="18" customWidth="1"/>
    <col min="8738" max="8738" width="19" style="18" customWidth="1"/>
    <col min="8739" max="8739" width="20" style="18" bestFit="1" customWidth="1"/>
    <col min="8740" max="8740" width="20.28515625" style="18" bestFit="1" customWidth="1"/>
    <col min="8741" max="8741" width="26.7109375" style="18" customWidth="1"/>
    <col min="8742" max="8742" width="20.85546875" style="18" bestFit="1" customWidth="1"/>
    <col min="8743" max="8743" width="20.85546875" style="18" customWidth="1"/>
    <col min="8744" max="8744" width="18.85546875" style="18" customWidth="1"/>
    <col min="8745" max="8745" width="17.5703125" style="18" customWidth="1"/>
    <col min="8746" max="8747" width="19.42578125" style="18" customWidth="1"/>
    <col min="8748" max="8748" width="20.7109375" style="18" bestFit="1" customWidth="1"/>
    <col min="8749" max="8749" width="80.7109375" style="18" customWidth="1"/>
    <col min="8750" max="8750" width="14.7109375" style="18" bestFit="1" customWidth="1"/>
    <col min="8751" max="8751" width="18.140625" style="18" bestFit="1" customWidth="1"/>
    <col min="8752" max="8752" width="16.7109375" style="18" bestFit="1" customWidth="1"/>
    <col min="8753" max="8753" width="18.5703125" style="18" bestFit="1" customWidth="1"/>
    <col min="8754" max="8754" width="21.28515625" style="18" bestFit="1" customWidth="1"/>
    <col min="8755" max="8755" width="16.28515625" style="18" bestFit="1" customWidth="1"/>
    <col min="8756" max="8756" width="21.140625" style="18" bestFit="1" customWidth="1"/>
    <col min="8757" max="8757" width="19" style="18" bestFit="1" customWidth="1"/>
    <col min="8758" max="8758" width="19.140625" style="18" customWidth="1"/>
    <col min="8759" max="8759" width="16.7109375" style="18" customWidth="1"/>
    <col min="8760" max="8760" width="21.140625" style="18" bestFit="1" customWidth="1"/>
    <col min="8761" max="8761" width="20.42578125" style="18" bestFit="1" customWidth="1"/>
    <col min="8762" max="8762" width="21.140625" style="18" customWidth="1"/>
    <col min="8763" max="8763" width="20.5703125" style="18" bestFit="1" customWidth="1"/>
    <col min="8764" max="8764" width="19.7109375" style="18" bestFit="1" customWidth="1"/>
    <col min="8765" max="8765" width="20.28515625" style="18" customWidth="1"/>
    <col min="8766" max="8766" width="20.85546875" style="18" bestFit="1" customWidth="1"/>
    <col min="8767" max="8767" width="19.5703125" style="18" bestFit="1" customWidth="1"/>
    <col min="8768" max="8768" width="18" style="18" customWidth="1"/>
    <col min="8769" max="8769" width="20" style="18" bestFit="1" customWidth="1"/>
    <col min="8770" max="8770" width="35.7109375" style="18" customWidth="1"/>
    <col min="8771" max="8771" width="21.140625" style="18" bestFit="1" customWidth="1"/>
    <col min="8772" max="8772" width="20.5703125" style="18" bestFit="1" customWidth="1"/>
    <col min="8773" max="8773" width="19.42578125" style="18" bestFit="1" customWidth="1"/>
    <col min="8774" max="8774" width="18.5703125" style="18" bestFit="1" customWidth="1"/>
    <col min="8775" max="8775" width="20.5703125" style="18" bestFit="1" customWidth="1"/>
    <col min="8776" max="8776" width="21.28515625" style="18" bestFit="1" customWidth="1"/>
    <col min="8777" max="8777" width="15.42578125" style="18" customWidth="1"/>
    <col min="8778" max="8778" width="20.7109375" style="18" customWidth="1"/>
    <col min="8779" max="8779" width="21.28515625" style="18" customWidth="1"/>
    <col min="8780" max="8780" width="14.85546875" style="18" bestFit="1" customWidth="1"/>
    <col min="8781" max="8781" width="23" style="18" bestFit="1" customWidth="1"/>
    <col min="8782" max="8782" width="21.28515625" style="18" bestFit="1" customWidth="1"/>
    <col min="8783" max="8783" width="20.28515625" style="18" bestFit="1" customWidth="1"/>
    <col min="8784" max="8784" width="21" style="18" bestFit="1" customWidth="1"/>
    <col min="8785" max="8785" width="18.85546875" style="18" bestFit="1" customWidth="1"/>
    <col min="8786" max="8786" width="80.7109375" style="18" customWidth="1"/>
    <col min="8787" max="8974" width="9.140625" style="18"/>
    <col min="8975" max="8975" width="2.5703125" style="18" customWidth="1"/>
    <col min="8976" max="8976" width="17.85546875" style="18" customWidth="1"/>
    <col min="8977" max="8977" width="41.5703125" style="18" customWidth="1"/>
    <col min="8978" max="8979" width="12" style="18" customWidth="1"/>
    <col min="8980" max="8980" width="17" style="18" customWidth="1"/>
    <col min="8981" max="8981" width="9.7109375" style="18" customWidth="1"/>
    <col min="8982" max="8982" width="12.28515625" style="18" customWidth="1"/>
    <col min="8983" max="8983" width="13.7109375" style="18" customWidth="1"/>
    <col min="8984" max="8984" width="13.5703125" style="18" bestFit="1" customWidth="1"/>
    <col min="8985" max="8985" width="13.5703125" style="18" customWidth="1"/>
    <col min="8986" max="8986" width="21" style="18" customWidth="1"/>
    <col min="8987" max="8990" width="13.42578125" style="18" customWidth="1"/>
    <col min="8991" max="8992" width="19" style="18" customWidth="1"/>
    <col min="8993" max="8993" width="34" style="18" customWidth="1"/>
    <col min="8994" max="8994" width="19" style="18" customWidth="1"/>
    <col min="8995" max="8995" width="20" style="18" bestFit="1" customWidth="1"/>
    <col min="8996" max="8996" width="20.28515625" style="18" bestFit="1" customWidth="1"/>
    <col min="8997" max="8997" width="26.7109375" style="18" customWidth="1"/>
    <col min="8998" max="8998" width="20.85546875" style="18" bestFit="1" customWidth="1"/>
    <col min="8999" max="8999" width="20.85546875" style="18" customWidth="1"/>
    <col min="9000" max="9000" width="18.85546875" style="18" customWidth="1"/>
    <col min="9001" max="9001" width="17.5703125" style="18" customWidth="1"/>
    <col min="9002" max="9003" width="19.42578125" style="18" customWidth="1"/>
    <col min="9004" max="9004" width="20.7109375" style="18" bestFit="1" customWidth="1"/>
    <col min="9005" max="9005" width="80.7109375" style="18" customWidth="1"/>
    <col min="9006" max="9006" width="14.7109375" style="18" bestFit="1" customWidth="1"/>
    <col min="9007" max="9007" width="18.140625" style="18" bestFit="1" customWidth="1"/>
    <col min="9008" max="9008" width="16.7109375" style="18" bestFit="1" customWidth="1"/>
    <col min="9009" max="9009" width="18.5703125" style="18" bestFit="1" customWidth="1"/>
    <col min="9010" max="9010" width="21.28515625" style="18" bestFit="1" customWidth="1"/>
    <col min="9011" max="9011" width="16.28515625" style="18" bestFit="1" customWidth="1"/>
    <col min="9012" max="9012" width="21.140625" style="18" bestFit="1" customWidth="1"/>
    <col min="9013" max="9013" width="19" style="18" bestFit="1" customWidth="1"/>
    <col min="9014" max="9014" width="19.140625" style="18" customWidth="1"/>
    <col min="9015" max="9015" width="16.7109375" style="18" customWidth="1"/>
    <col min="9016" max="9016" width="21.140625" style="18" bestFit="1" customWidth="1"/>
    <col min="9017" max="9017" width="20.42578125" style="18" bestFit="1" customWidth="1"/>
    <col min="9018" max="9018" width="21.140625" style="18" customWidth="1"/>
    <col min="9019" max="9019" width="20.5703125" style="18" bestFit="1" customWidth="1"/>
    <col min="9020" max="9020" width="19.7109375" style="18" bestFit="1" customWidth="1"/>
    <col min="9021" max="9021" width="20.28515625" style="18" customWidth="1"/>
    <col min="9022" max="9022" width="20.85546875" style="18" bestFit="1" customWidth="1"/>
    <col min="9023" max="9023" width="19.5703125" style="18" bestFit="1" customWidth="1"/>
    <col min="9024" max="9024" width="18" style="18" customWidth="1"/>
    <col min="9025" max="9025" width="20" style="18" bestFit="1" customWidth="1"/>
    <col min="9026" max="9026" width="35.7109375" style="18" customWidth="1"/>
    <col min="9027" max="9027" width="21.140625" style="18" bestFit="1" customWidth="1"/>
    <col min="9028" max="9028" width="20.5703125" style="18" bestFit="1" customWidth="1"/>
    <col min="9029" max="9029" width="19.42578125" style="18" bestFit="1" customWidth="1"/>
    <col min="9030" max="9030" width="18.5703125" style="18" bestFit="1" customWidth="1"/>
    <col min="9031" max="9031" width="20.5703125" style="18" bestFit="1" customWidth="1"/>
    <col min="9032" max="9032" width="21.28515625" style="18" bestFit="1" customWidth="1"/>
    <col min="9033" max="9033" width="15.42578125" style="18" customWidth="1"/>
    <col min="9034" max="9034" width="20.7109375" style="18" customWidth="1"/>
    <col min="9035" max="9035" width="21.28515625" style="18" customWidth="1"/>
    <col min="9036" max="9036" width="14.85546875" style="18" bestFit="1" customWidth="1"/>
    <col min="9037" max="9037" width="23" style="18" bestFit="1" customWidth="1"/>
    <col min="9038" max="9038" width="21.28515625" style="18" bestFit="1" customWidth="1"/>
    <col min="9039" max="9039" width="20.28515625" style="18" bestFit="1" customWidth="1"/>
    <col min="9040" max="9040" width="21" style="18" bestFit="1" customWidth="1"/>
    <col min="9041" max="9041" width="18.85546875" style="18" bestFit="1" customWidth="1"/>
    <col min="9042" max="9042" width="80.7109375" style="18" customWidth="1"/>
    <col min="9043" max="9230" width="9.140625" style="18"/>
    <col min="9231" max="9231" width="2.5703125" style="18" customWidth="1"/>
    <col min="9232" max="9232" width="17.85546875" style="18" customWidth="1"/>
    <col min="9233" max="9233" width="41.5703125" style="18" customWidth="1"/>
    <col min="9234" max="9235" width="12" style="18" customWidth="1"/>
    <col min="9236" max="9236" width="17" style="18" customWidth="1"/>
    <col min="9237" max="9237" width="9.7109375" style="18" customWidth="1"/>
    <col min="9238" max="9238" width="12.28515625" style="18" customWidth="1"/>
    <col min="9239" max="9239" width="13.7109375" style="18" customWidth="1"/>
    <col min="9240" max="9240" width="13.5703125" style="18" bestFit="1" customWidth="1"/>
    <col min="9241" max="9241" width="13.5703125" style="18" customWidth="1"/>
    <col min="9242" max="9242" width="21" style="18" customWidth="1"/>
    <col min="9243" max="9246" width="13.42578125" style="18" customWidth="1"/>
    <col min="9247" max="9248" width="19" style="18" customWidth="1"/>
    <col min="9249" max="9249" width="34" style="18" customWidth="1"/>
    <col min="9250" max="9250" width="19" style="18" customWidth="1"/>
    <col min="9251" max="9251" width="20" style="18" bestFit="1" customWidth="1"/>
    <col min="9252" max="9252" width="20.28515625" style="18" bestFit="1" customWidth="1"/>
    <col min="9253" max="9253" width="26.7109375" style="18" customWidth="1"/>
    <col min="9254" max="9254" width="20.85546875" style="18" bestFit="1" customWidth="1"/>
    <col min="9255" max="9255" width="20.85546875" style="18" customWidth="1"/>
    <col min="9256" max="9256" width="18.85546875" style="18" customWidth="1"/>
    <col min="9257" max="9257" width="17.5703125" style="18" customWidth="1"/>
    <col min="9258" max="9259" width="19.42578125" style="18" customWidth="1"/>
    <col min="9260" max="9260" width="20.7109375" style="18" bestFit="1" customWidth="1"/>
    <col min="9261" max="9261" width="80.7109375" style="18" customWidth="1"/>
    <col min="9262" max="9262" width="14.7109375" style="18" bestFit="1" customWidth="1"/>
    <col min="9263" max="9263" width="18.140625" style="18" bestFit="1" customWidth="1"/>
    <col min="9264" max="9264" width="16.7109375" style="18" bestFit="1" customWidth="1"/>
    <col min="9265" max="9265" width="18.5703125" style="18" bestFit="1" customWidth="1"/>
    <col min="9266" max="9266" width="21.28515625" style="18" bestFit="1" customWidth="1"/>
    <col min="9267" max="9267" width="16.28515625" style="18" bestFit="1" customWidth="1"/>
    <col min="9268" max="9268" width="21.140625" style="18" bestFit="1" customWidth="1"/>
    <col min="9269" max="9269" width="19" style="18" bestFit="1" customWidth="1"/>
    <col min="9270" max="9270" width="19.140625" style="18" customWidth="1"/>
    <col min="9271" max="9271" width="16.7109375" style="18" customWidth="1"/>
    <col min="9272" max="9272" width="21.140625" style="18" bestFit="1" customWidth="1"/>
    <col min="9273" max="9273" width="20.42578125" style="18" bestFit="1" customWidth="1"/>
    <col min="9274" max="9274" width="21.140625" style="18" customWidth="1"/>
    <col min="9275" max="9275" width="20.5703125" style="18" bestFit="1" customWidth="1"/>
    <col min="9276" max="9276" width="19.7109375" style="18" bestFit="1" customWidth="1"/>
    <col min="9277" max="9277" width="20.28515625" style="18" customWidth="1"/>
    <col min="9278" max="9278" width="20.85546875" style="18" bestFit="1" customWidth="1"/>
    <col min="9279" max="9279" width="19.5703125" style="18" bestFit="1" customWidth="1"/>
    <col min="9280" max="9280" width="18" style="18" customWidth="1"/>
    <col min="9281" max="9281" width="20" style="18" bestFit="1" customWidth="1"/>
    <col min="9282" max="9282" width="35.7109375" style="18" customWidth="1"/>
    <col min="9283" max="9283" width="21.140625" style="18" bestFit="1" customWidth="1"/>
    <col min="9284" max="9284" width="20.5703125" style="18" bestFit="1" customWidth="1"/>
    <col min="9285" max="9285" width="19.42578125" style="18" bestFit="1" customWidth="1"/>
    <col min="9286" max="9286" width="18.5703125" style="18" bestFit="1" customWidth="1"/>
    <col min="9287" max="9287" width="20.5703125" style="18" bestFit="1" customWidth="1"/>
    <col min="9288" max="9288" width="21.28515625" style="18" bestFit="1" customWidth="1"/>
    <col min="9289" max="9289" width="15.42578125" style="18" customWidth="1"/>
    <col min="9290" max="9290" width="20.7109375" style="18" customWidth="1"/>
    <col min="9291" max="9291" width="21.28515625" style="18" customWidth="1"/>
    <col min="9292" max="9292" width="14.85546875" style="18" bestFit="1" customWidth="1"/>
    <col min="9293" max="9293" width="23" style="18" bestFit="1" customWidth="1"/>
    <col min="9294" max="9294" width="21.28515625" style="18" bestFit="1" customWidth="1"/>
    <col min="9295" max="9295" width="20.28515625" style="18" bestFit="1" customWidth="1"/>
    <col min="9296" max="9296" width="21" style="18" bestFit="1" customWidth="1"/>
    <col min="9297" max="9297" width="18.85546875" style="18" bestFit="1" customWidth="1"/>
    <col min="9298" max="9298" width="80.7109375" style="18" customWidth="1"/>
    <col min="9299" max="9486" width="9.140625" style="18"/>
    <col min="9487" max="9487" width="2.5703125" style="18" customWidth="1"/>
    <col min="9488" max="9488" width="17.85546875" style="18" customWidth="1"/>
    <col min="9489" max="9489" width="41.5703125" style="18" customWidth="1"/>
    <col min="9490" max="9491" width="12" style="18" customWidth="1"/>
    <col min="9492" max="9492" width="17" style="18" customWidth="1"/>
    <col min="9493" max="9493" width="9.7109375" style="18" customWidth="1"/>
    <col min="9494" max="9494" width="12.28515625" style="18" customWidth="1"/>
    <col min="9495" max="9495" width="13.7109375" style="18" customWidth="1"/>
    <col min="9496" max="9496" width="13.5703125" style="18" bestFit="1" customWidth="1"/>
    <col min="9497" max="9497" width="13.5703125" style="18" customWidth="1"/>
    <col min="9498" max="9498" width="21" style="18" customWidth="1"/>
    <col min="9499" max="9502" width="13.42578125" style="18" customWidth="1"/>
    <col min="9503" max="9504" width="19" style="18" customWidth="1"/>
    <col min="9505" max="9505" width="34" style="18" customWidth="1"/>
    <col min="9506" max="9506" width="19" style="18" customWidth="1"/>
    <col min="9507" max="9507" width="20" style="18" bestFit="1" customWidth="1"/>
    <col min="9508" max="9508" width="20.28515625" style="18" bestFit="1" customWidth="1"/>
    <col min="9509" max="9509" width="26.7109375" style="18" customWidth="1"/>
    <col min="9510" max="9510" width="20.85546875" style="18" bestFit="1" customWidth="1"/>
    <col min="9511" max="9511" width="20.85546875" style="18" customWidth="1"/>
    <col min="9512" max="9512" width="18.85546875" style="18" customWidth="1"/>
    <col min="9513" max="9513" width="17.5703125" style="18" customWidth="1"/>
    <col min="9514" max="9515" width="19.42578125" style="18" customWidth="1"/>
    <col min="9516" max="9516" width="20.7109375" style="18" bestFit="1" customWidth="1"/>
    <col min="9517" max="9517" width="80.7109375" style="18" customWidth="1"/>
    <col min="9518" max="9518" width="14.7109375" style="18" bestFit="1" customWidth="1"/>
    <col min="9519" max="9519" width="18.140625" style="18" bestFit="1" customWidth="1"/>
    <col min="9520" max="9520" width="16.7109375" style="18" bestFit="1" customWidth="1"/>
    <col min="9521" max="9521" width="18.5703125" style="18" bestFit="1" customWidth="1"/>
    <col min="9522" max="9522" width="21.28515625" style="18" bestFit="1" customWidth="1"/>
    <col min="9523" max="9523" width="16.28515625" style="18" bestFit="1" customWidth="1"/>
    <col min="9524" max="9524" width="21.140625" style="18" bestFit="1" customWidth="1"/>
    <col min="9525" max="9525" width="19" style="18" bestFit="1" customWidth="1"/>
    <col min="9526" max="9526" width="19.140625" style="18" customWidth="1"/>
    <col min="9527" max="9527" width="16.7109375" style="18" customWidth="1"/>
    <col min="9528" max="9528" width="21.140625" style="18" bestFit="1" customWidth="1"/>
    <col min="9529" max="9529" width="20.42578125" style="18" bestFit="1" customWidth="1"/>
    <col min="9530" max="9530" width="21.140625" style="18" customWidth="1"/>
    <col min="9531" max="9531" width="20.5703125" style="18" bestFit="1" customWidth="1"/>
    <col min="9532" max="9532" width="19.7109375" style="18" bestFit="1" customWidth="1"/>
    <col min="9533" max="9533" width="20.28515625" style="18" customWidth="1"/>
    <col min="9534" max="9534" width="20.85546875" style="18" bestFit="1" customWidth="1"/>
    <col min="9535" max="9535" width="19.5703125" style="18" bestFit="1" customWidth="1"/>
    <col min="9536" max="9536" width="18" style="18" customWidth="1"/>
    <col min="9537" max="9537" width="20" style="18" bestFit="1" customWidth="1"/>
    <col min="9538" max="9538" width="35.7109375" style="18" customWidth="1"/>
    <col min="9539" max="9539" width="21.140625" style="18" bestFit="1" customWidth="1"/>
    <col min="9540" max="9540" width="20.5703125" style="18" bestFit="1" customWidth="1"/>
    <col min="9541" max="9541" width="19.42578125" style="18" bestFit="1" customWidth="1"/>
    <col min="9542" max="9542" width="18.5703125" style="18" bestFit="1" customWidth="1"/>
    <col min="9543" max="9543" width="20.5703125" style="18" bestFit="1" customWidth="1"/>
    <col min="9544" max="9544" width="21.28515625" style="18" bestFit="1" customWidth="1"/>
    <col min="9545" max="9545" width="15.42578125" style="18" customWidth="1"/>
    <col min="9546" max="9546" width="20.7109375" style="18" customWidth="1"/>
    <col min="9547" max="9547" width="21.28515625" style="18" customWidth="1"/>
    <col min="9548" max="9548" width="14.85546875" style="18" bestFit="1" customWidth="1"/>
    <col min="9549" max="9549" width="23" style="18" bestFit="1" customWidth="1"/>
    <col min="9550" max="9550" width="21.28515625" style="18" bestFit="1" customWidth="1"/>
    <col min="9551" max="9551" width="20.28515625" style="18" bestFit="1" customWidth="1"/>
    <col min="9552" max="9552" width="21" style="18" bestFit="1" customWidth="1"/>
    <col min="9553" max="9553" width="18.85546875" style="18" bestFit="1" customWidth="1"/>
    <col min="9554" max="9554" width="80.7109375" style="18" customWidth="1"/>
    <col min="9555" max="9742" width="9.140625" style="18"/>
    <col min="9743" max="9743" width="2.5703125" style="18" customWidth="1"/>
    <col min="9744" max="9744" width="17.85546875" style="18" customWidth="1"/>
    <col min="9745" max="9745" width="41.5703125" style="18" customWidth="1"/>
    <col min="9746" max="9747" width="12" style="18" customWidth="1"/>
    <col min="9748" max="9748" width="17" style="18" customWidth="1"/>
    <col min="9749" max="9749" width="9.7109375" style="18" customWidth="1"/>
    <col min="9750" max="9750" width="12.28515625" style="18" customWidth="1"/>
    <col min="9751" max="9751" width="13.7109375" style="18" customWidth="1"/>
    <col min="9752" max="9752" width="13.5703125" style="18" bestFit="1" customWidth="1"/>
    <col min="9753" max="9753" width="13.5703125" style="18" customWidth="1"/>
    <col min="9754" max="9754" width="21" style="18" customWidth="1"/>
    <col min="9755" max="9758" width="13.42578125" style="18" customWidth="1"/>
    <col min="9759" max="9760" width="19" style="18" customWidth="1"/>
    <col min="9761" max="9761" width="34" style="18" customWidth="1"/>
    <col min="9762" max="9762" width="19" style="18" customWidth="1"/>
    <col min="9763" max="9763" width="20" style="18" bestFit="1" customWidth="1"/>
    <col min="9764" max="9764" width="20.28515625" style="18" bestFit="1" customWidth="1"/>
    <col min="9765" max="9765" width="26.7109375" style="18" customWidth="1"/>
    <col min="9766" max="9766" width="20.85546875" style="18" bestFit="1" customWidth="1"/>
    <col min="9767" max="9767" width="20.85546875" style="18" customWidth="1"/>
    <col min="9768" max="9768" width="18.85546875" style="18" customWidth="1"/>
    <col min="9769" max="9769" width="17.5703125" style="18" customWidth="1"/>
    <col min="9770" max="9771" width="19.42578125" style="18" customWidth="1"/>
    <col min="9772" max="9772" width="20.7109375" style="18" bestFit="1" customWidth="1"/>
    <col min="9773" max="9773" width="80.7109375" style="18" customWidth="1"/>
    <col min="9774" max="9774" width="14.7109375" style="18" bestFit="1" customWidth="1"/>
    <col min="9775" max="9775" width="18.140625" style="18" bestFit="1" customWidth="1"/>
    <col min="9776" max="9776" width="16.7109375" style="18" bestFit="1" customWidth="1"/>
    <col min="9777" max="9777" width="18.5703125" style="18" bestFit="1" customWidth="1"/>
    <col min="9778" max="9778" width="21.28515625" style="18" bestFit="1" customWidth="1"/>
    <col min="9779" max="9779" width="16.28515625" style="18" bestFit="1" customWidth="1"/>
    <col min="9780" max="9780" width="21.140625" style="18" bestFit="1" customWidth="1"/>
    <col min="9781" max="9781" width="19" style="18" bestFit="1" customWidth="1"/>
    <col min="9782" max="9782" width="19.140625" style="18" customWidth="1"/>
    <col min="9783" max="9783" width="16.7109375" style="18" customWidth="1"/>
    <col min="9784" max="9784" width="21.140625" style="18" bestFit="1" customWidth="1"/>
    <col min="9785" max="9785" width="20.42578125" style="18" bestFit="1" customWidth="1"/>
    <col min="9786" max="9786" width="21.140625" style="18" customWidth="1"/>
    <col min="9787" max="9787" width="20.5703125" style="18" bestFit="1" customWidth="1"/>
    <col min="9788" max="9788" width="19.7109375" style="18" bestFit="1" customWidth="1"/>
    <col min="9789" max="9789" width="20.28515625" style="18" customWidth="1"/>
    <col min="9790" max="9790" width="20.85546875" style="18" bestFit="1" customWidth="1"/>
    <col min="9791" max="9791" width="19.5703125" style="18" bestFit="1" customWidth="1"/>
    <col min="9792" max="9792" width="18" style="18" customWidth="1"/>
    <col min="9793" max="9793" width="20" style="18" bestFit="1" customWidth="1"/>
    <col min="9794" max="9794" width="35.7109375" style="18" customWidth="1"/>
    <col min="9795" max="9795" width="21.140625" style="18" bestFit="1" customWidth="1"/>
    <col min="9796" max="9796" width="20.5703125" style="18" bestFit="1" customWidth="1"/>
    <col min="9797" max="9797" width="19.42578125" style="18" bestFit="1" customWidth="1"/>
    <col min="9798" max="9798" width="18.5703125" style="18" bestFit="1" customWidth="1"/>
    <col min="9799" max="9799" width="20.5703125" style="18" bestFit="1" customWidth="1"/>
    <col min="9800" max="9800" width="21.28515625" style="18" bestFit="1" customWidth="1"/>
    <col min="9801" max="9801" width="15.42578125" style="18" customWidth="1"/>
    <col min="9802" max="9802" width="20.7109375" style="18" customWidth="1"/>
    <col min="9803" max="9803" width="21.28515625" style="18" customWidth="1"/>
    <col min="9804" max="9804" width="14.85546875" style="18" bestFit="1" customWidth="1"/>
    <col min="9805" max="9805" width="23" style="18" bestFit="1" customWidth="1"/>
    <col min="9806" max="9806" width="21.28515625" style="18" bestFit="1" customWidth="1"/>
    <col min="9807" max="9807" width="20.28515625" style="18" bestFit="1" customWidth="1"/>
    <col min="9808" max="9808" width="21" style="18" bestFit="1" customWidth="1"/>
    <col min="9809" max="9809" width="18.85546875" style="18" bestFit="1" customWidth="1"/>
    <col min="9810" max="9810" width="80.7109375" style="18" customWidth="1"/>
    <col min="9811" max="9998" width="9.140625" style="18"/>
    <col min="9999" max="9999" width="2.5703125" style="18" customWidth="1"/>
    <col min="10000" max="10000" width="17.85546875" style="18" customWidth="1"/>
    <col min="10001" max="10001" width="41.5703125" style="18" customWidth="1"/>
    <col min="10002" max="10003" width="12" style="18" customWidth="1"/>
    <col min="10004" max="10004" width="17" style="18" customWidth="1"/>
    <col min="10005" max="10005" width="9.7109375" style="18" customWidth="1"/>
    <col min="10006" max="10006" width="12.28515625" style="18" customWidth="1"/>
    <col min="10007" max="10007" width="13.7109375" style="18" customWidth="1"/>
    <col min="10008" max="10008" width="13.5703125" style="18" bestFit="1" customWidth="1"/>
    <col min="10009" max="10009" width="13.5703125" style="18" customWidth="1"/>
    <col min="10010" max="10010" width="21" style="18" customWidth="1"/>
    <col min="10011" max="10014" width="13.42578125" style="18" customWidth="1"/>
    <col min="10015" max="10016" width="19" style="18" customWidth="1"/>
    <col min="10017" max="10017" width="34" style="18" customWidth="1"/>
    <col min="10018" max="10018" width="19" style="18" customWidth="1"/>
    <col min="10019" max="10019" width="20" style="18" bestFit="1" customWidth="1"/>
    <col min="10020" max="10020" width="20.28515625" style="18" bestFit="1" customWidth="1"/>
    <col min="10021" max="10021" width="26.7109375" style="18" customWidth="1"/>
    <col min="10022" max="10022" width="20.85546875" style="18" bestFit="1" customWidth="1"/>
    <col min="10023" max="10023" width="20.85546875" style="18" customWidth="1"/>
    <col min="10024" max="10024" width="18.85546875" style="18" customWidth="1"/>
    <col min="10025" max="10025" width="17.5703125" style="18" customWidth="1"/>
    <col min="10026" max="10027" width="19.42578125" style="18" customWidth="1"/>
    <col min="10028" max="10028" width="20.7109375" style="18" bestFit="1" customWidth="1"/>
    <col min="10029" max="10029" width="80.7109375" style="18" customWidth="1"/>
    <col min="10030" max="10030" width="14.7109375" style="18" bestFit="1" customWidth="1"/>
    <col min="10031" max="10031" width="18.140625" style="18" bestFit="1" customWidth="1"/>
    <col min="10032" max="10032" width="16.7109375" style="18" bestFit="1" customWidth="1"/>
    <col min="10033" max="10033" width="18.5703125" style="18" bestFit="1" customWidth="1"/>
    <col min="10034" max="10034" width="21.28515625" style="18" bestFit="1" customWidth="1"/>
    <col min="10035" max="10035" width="16.28515625" style="18" bestFit="1" customWidth="1"/>
    <col min="10036" max="10036" width="21.140625" style="18" bestFit="1" customWidth="1"/>
    <col min="10037" max="10037" width="19" style="18" bestFit="1" customWidth="1"/>
    <col min="10038" max="10038" width="19.140625" style="18" customWidth="1"/>
    <col min="10039" max="10039" width="16.7109375" style="18" customWidth="1"/>
    <col min="10040" max="10040" width="21.140625" style="18" bestFit="1" customWidth="1"/>
    <col min="10041" max="10041" width="20.42578125" style="18" bestFit="1" customWidth="1"/>
    <col min="10042" max="10042" width="21.140625" style="18" customWidth="1"/>
    <col min="10043" max="10043" width="20.5703125" style="18" bestFit="1" customWidth="1"/>
    <col min="10044" max="10044" width="19.7109375" style="18" bestFit="1" customWidth="1"/>
    <col min="10045" max="10045" width="20.28515625" style="18" customWidth="1"/>
    <col min="10046" max="10046" width="20.85546875" style="18" bestFit="1" customWidth="1"/>
    <col min="10047" max="10047" width="19.5703125" style="18" bestFit="1" customWidth="1"/>
    <col min="10048" max="10048" width="18" style="18" customWidth="1"/>
    <col min="10049" max="10049" width="20" style="18" bestFit="1" customWidth="1"/>
    <col min="10050" max="10050" width="35.7109375" style="18" customWidth="1"/>
    <col min="10051" max="10051" width="21.140625" style="18" bestFit="1" customWidth="1"/>
    <col min="10052" max="10052" width="20.5703125" style="18" bestFit="1" customWidth="1"/>
    <col min="10053" max="10053" width="19.42578125" style="18" bestFit="1" customWidth="1"/>
    <col min="10054" max="10054" width="18.5703125" style="18" bestFit="1" customWidth="1"/>
    <col min="10055" max="10055" width="20.5703125" style="18" bestFit="1" customWidth="1"/>
    <col min="10056" max="10056" width="21.28515625" style="18" bestFit="1" customWidth="1"/>
    <col min="10057" max="10057" width="15.42578125" style="18" customWidth="1"/>
    <col min="10058" max="10058" width="20.7109375" style="18" customWidth="1"/>
    <col min="10059" max="10059" width="21.28515625" style="18" customWidth="1"/>
    <col min="10060" max="10060" width="14.85546875" style="18" bestFit="1" customWidth="1"/>
    <col min="10061" max="10061" width="23" style="18" bestFit="1" customWidth="1"/>
    <col min="10062" max="10062" width="21.28515625" style="18" bestFit="1" customWidth="1"/>
    <col min="10063" max="10063" width="20.28515625" style="18" bestFit="1" customWidth="1"/>
    <col min="10064" max="10064" width="21" style="18" bestFit="1" customWidth="1"/>
    <col min="10065" max="10065" width="18.85546875" style="18" bestFit="1" customWidth="1"/>
    <col min="10066" max="10066" width="80.7109375" style="18" customWidth="1"/>
    <col min="10067" max="10254" width="9.140625" style="18"/>
    <col min="10255" max="10255" width="2.5703125" style="18" customWidth="1"/>
    <col min="10256" max="10256" width="17.85546875" style="18" customWidth="1"/>
    <col min="10257" max="10257" width="41.5703125" style="18" customWidth="1"/>
    <col min="10258" max="10259" width="12" style="18" customWidth="1"/>
    <col min="10260" max="10260" width="17" style="18" customWidth="1"/>
    <col min="10261" max="10261" width="9.7109375" style="18" customWidth="1"/>
    <col min="10262" max="10262" width="12.28515625" style="18" customWidth="1"/>
    <col min="10263" max="10263" width="13.7109375" style="18" customWidth="1"/>
    <col min="10264" max="10264" width="13.5703125" style="18" bestFit="1" customWidth="1"/>
    <col min="10265" max="10265" width="13.5703125" style="18" customWidth="1"/>
    <col min="10266" max="10266" width="21" style="18" customWidth="1"/>
    <col min="10267" max="10270" width="13.42578125" style="18" customWidth="1"/>
    <col min="10271" max="10272" width="19" style="18" customWidth="1"/>
    <col min="10273" max="10273" width="34" style="18" customWidth="1"/>
    <col min="10274" max="10274" width="19" style="18" customWidth="1"/>
    <col min="10275" max="10275" width="20" style="18" bestFit="1" customWidth="1"/>
    <col min="10276" max="10276" width="20.28515625" style="18" bestFit="1" customWidth="1"/>
    <col min="10277" max="10277" width="26.7109375" style="18" customWidth="1"/>
    <col min="10278" max="10278" width="20.85546875" style="18" bestFit="1" customWidth="1"/>
    <col min="10279" max="10279" width="20.85546875" style="18" customWidth="1"/>
    <col min="10280" max="10280" width="18.85546875" style="18" customWidth="1"/>
    <col min="10281" max="10281" width="17.5703125" style="18" customWidth="1"/>
    <col min="10282" max="10283" width="19.42578125" style="18" customWidth="1"/>
    <col min="10284" max="10284" width="20.7109375" style="18" bestFit="1" customWidth="1"/>
    <col min="10285" max="10285" width="80.7109375" style="18" customWidth="1"/>
    <col min="10286" max="10286" width="14.7109375" style="18" bestFit="1" customWidth="1"/>
    <col min="10287" max="10287" width="18.140625" style="18" bestFit="1" customWidth="1"/>
    <col min="10288" max="10288" width="16.7109375" style="18" bestFit="1" customWidth="1"/>
    <col min="10289" max="10289" width="18.5703125" style="18" bestFit="1" customWidth="1"/>
    <col min="10290" max="10290" width="21.28515625" style="18" bestFit="1" customWidth="1"/>
    <col min="10291" max="10291" width="16.28515625" style="18" bestFit="1" customWidth="1"/>
    <col min="10292" max="10292" width="21.140625" style="18" bestFit="1" customWidth="1"/>
    <col min="10293" max="10293" width="19" style="18" bestFit="1" customWidth="1"/>
    <col min="10294" max="10294" width="19.140625" style="18" customWidth="1"/>
    <col min="10295" max="10295" width="16.7109375" style="18" customWidth="1"/>
    <col min="10296" max="10296" width="21.140625" style="18" bestFit="1" customWidth="1"/>
    <col min="10297" max="10297" width="20.42578125" style="18" bestFit="1" customWidth="1"/>
    <col min="10298" max="10298" width="21.140625" style="18" customWidth="1"/>
    <col min="10299" max="10299" width="20.5703125" style="18" bestFit="1" customWidth="1"/>
    <col min="10300" max="10300" width="19.7109375" style="18" bestFit="1" customWidth="1"/>
    <col min="10301" max="10301" width="20.28515625" style="18" customWidth="1"/>
    <col min="10302" max="10302" width="20.85546875" style="18" bestFit="1" customWidth="1"/>
    <col min="10303" max="10303" width="19.5703125" style="18" bestFit="1" customWidth="1"/>
    <col min="10304" max="10304" width="18" style="18" customWidth="1"/>
    <col min="10305" max="10305" width="20" style="18" bestFit="1" customWidth="1"/>
    <col min="10306" max="10306" width="35.7109375" style="18" customWidth="1"/>
    <col min="10307" max="10307" width="21.140625" style="18" bestFit="1" customWidth="1"/>
    <col min="10308" max="10308" width="20.5703125" style="18" bestFit="1" customWidth="1"/>
    <col min="10309" max="10309" width="19.42578125" style="18" bestFit="1" customWidth="1"/>
    <col min="10310" max="10310" width="18.5703125" style="18" bestFit="1" customWidth="1"/>
    <col min="10311" max="10311" width="20.5703125" style="18" bestFit="1" customWidth="1"/>
    <col min="10312" max="10312" width="21.28515625" style="18" bestFit="1" customWidth="1"/>
    <col min="10313" max="10313" width="15.42578125" style="18" customWidth="1"/>
    <col min="10314" max="10314" width="20.7109375" style="18" customWidth="1"/>
    <col min="10315" max="10315" width="21.28515625" style="18" customWidth="1"/>
    <col min="10316" max="10316" width="14.85546875" style="18" bestFit="1" customWidth="1"/>
    <col min="10317" max="10317" width="23" style="18" bestFit="1" customWidth="1"/>
    <col min="10318" max="10318" width="21.28515625" style="18" bestFit="1" customWidth="1"/>
    <col min="10319" max="10319" width="20.28515625" style="18" bestFit="1" customWidth="1"/>
    <col min="10320" max="10320" width="21" style="18" bestFit="1" customWidth="1"/>
    <col min="10321" max="10321" width="18.85546875" style="18" bestFit="1" customWidth="1"/>
    <col min="10322" max="10322" width="80.7109375" style="18" customWidth="1"/>
    <col min="10323" max="10510" width="9.140625" style="18"/>
    <col min="10511" max="10511" width="2.5703125" style="18" customWidth="1"/>
    <col min="10512" max="10512" width="17.85546875" style="18" customWidth="1"/>
    <col min="10513" max="10513" width="41.5703125" style="18" customWidth="1"/>
    <col min="10514" max="10515" width="12" style="18" customWidth="1"/>
    <col min="10516" max="10516" width="17" style="18" customWidth="1"/>
    <col min="10517" max="10517" width="9.7109375" style="18" customWidth="1"/>
    <col min="10518" max="10518" width="12.28515625" style="18" customWidth="1"/>
    <col min="10519" max="10519" width="13.7109375" style="18" customWidth="1"/>
    <col min="10520" max="10520" width="13.5703125" style="18" bestFit="1" customWidth="1"/>
    <col min="10521" max="10521" width="13.5703125" style="18" customWidth="1"/>
    <col min="10522" max="10522" width="21" style="18" customWidth="1"/>
    <col min="10523" max="10526" width="13.42578125" style="18" customWidth="1"/>
    <col min="10527" max="10528" width="19" style="18" customWidth="1"/>
    <col min="10529" max="10529" width="34" style="18" customWidth="1"/>
    <col min="10530" max="10530" width="19" style="18" customWidth="1"/>
    <col min="10531" max="10531" width="20" style="18" bestFit="1" customWidth="1"/>
    <col min="10532" max="10532" width="20.28515625" style="18" bestFit="1" customWidth="1"/>
    <col min="10533" max="10533" width="26.7109375" style="18" customWidth="1"/>
    <col min="10534" max="10534" width="20.85546875" style="18" bestFit="1" customWidth="1"/>
    <col min="10535" max="10535" width="20.85546875" style="18" customWidth="1"/>
    <col min="10536" max="10536" width="18.85546875" style="18" customWidth="1"/>
    <col min="10537" max="10537" width="17.5703125" style="18" customWidth="1"/>
    <col min="10538" max="10539" width="19.42578125" style="18" customWidth="1"/>
    <col min="10540" max="10540" width="20.7109375" style="18" bestFit="1" customWidth="1"/>
    <col min="10541" max="10541" width="80.7109375" style="18" customWidth="1"/>
    <col min="10542" max="10542" width="14.7109375" style="18" bestFit="1" customWidth="1"/>
    <col min="10543" max="10543" width="18.140625" style="18" bestFit="1" customWidth="1"/>
    <col min="10544" max="10544" width="16.7109375" style="18" bestFit="1" customWidth="1"/>
    <col min="10545" max="10545" width="18.5703125" style="18" bestFit="1" customWidth="1"/>
    <col min="10546" max="10546" width="21.28515625" style="18" bestFit="1" customWidth="1"/>
    <col min="10547" max="10547" width="16.28515625" style="18" bestFit="1" customWidth="1"/>
    <col min="10548" max="10548" width="21.140625" style="18" bestFit="1" customWidth="1"/>
    <col min="10549" max="10549" width="19" style="18" bestFit="1" customWidth="1"/>
    <col min="10550" max="10550" width="19.140625" style="18" customWidth="1"/>
    <col min="10551" max="10551" width="16.7109375" style="18" customWidth="1"/>
    <col min="10552" max="10552" width="21.140625" style="18" bestFit="1" customWidth="1"/>
    <col min="10553" max="10553" width="20.42578125" style="18" bestFit="1" customWidth="1"/>
    <col min="10554" max="10554" width="21.140625" style="18" customWidth="1"/>
    <col min="10555" max="10555" width="20.5703125" style="18" bestFit="1" customWidth="1"/>
    <col min="10556" max="10556" width="19.7109375" style="18" bestFit="1" customWidth="1"/>
    <col min="10557" max="10557" width="20.28515625" style="18" customWidth="1"/>
    <col min="10558" max="10558" width="20.85546875" style="18" bestFit="1" customWidth="1"/>
    <col min="10559" max="10559" width="19.5703125" style="18" bestFit="1" customWidth="1"/>
    <col min="10560" max="10560" width="18" style="18" customWidth="1"/>
    <col min="10561" max="10561" width="20" style="18" bestFit="1" customWidth="1"/>
    <col min="10562" max="10562" width="35.7109375" style="18" customWidth="1"/>
    <col min="10563" max="10563" width="21.140625" style="18" bestFit="1" customWidth="1"/>
    <col min="10564" max="10564" width="20.5703125" style="18" bestFit="1" customWidth="1"/>
    <col min="10565" max="10565" width="19.42578125" style="18" bestFit="1" customWidth="1"/>
    <col min="10566" max="10566" width="18.5703125" style="18" bestFit="1" customWidth="1"/>
    <col min="10567" max="10567" width="20.5703125" style="18" bestFit="1" customWidth="1"/>
    <col min="10568" max="10568" width="21.28515625" style="18" bestFit="1" customWidth="1"/>
    <col min="10569" max="10569" width="15.42578125" style="18" customWidth="1"/>
    <col min="10570" max="10570" width="20.7109375" style="18" customWidth="1"/>
    <col min="10571" max="10571" width="21.28515625" style="18" customWidth="1"/>
    <col min="10572" max="10572" width="14.85546875" style="18" bestFit="1" customWidth="1"/>
    <col min="10573" max="10573" width="23" style="18" bestFit="1" customWidth="1"/>
    <col min="10574" max="10574" width="21.28515625" style="18" bestFit="1" customWidth="1"/>
    <col min="10575" max="10575" width="20.28515625" style="18" bestFit="1" customWidth="1"/>
    <col min="10576" max="10576" width="21" style="18" bestFit="1" customWidth="1"/>
    <col min="10577" max="10577" width="18.85546875" style="18" bestFit="1" customWidth="1"/>
    <col min="10578" max="10578" width="80.7109375" style="18" customWidth="1"/>
    <col min="10579" max="10766" width="9.140625" style="18"/>
    <col min="10767" max="10767" width="2.5703125" style="18" customWidth="1"/>
    <col min="10768" max="10768" width="17.85546875" style="18" customWidth="1"/>
    <col min="10769" max="10769" width="41.5703125" style="18" customWidth="1"/>
    <col min="10770" max="10771" width="12" style="18" customWidth="1"/>
    <col min="10772" max="10772" width="17" style="18" customWidth="1"/>
    <col min="10773" max="10773" width="9.7109375" style="18" customWidth="1"/>
    <col min="10774" max="10774" width="12.28515625" style="18" customWidth="1"/>
    <col min="10775" max="10775" width="13.7109375" style="18" customWidth="1"/>
    <col min="10776" max="10776" width="13.5703125" style="18" bestFit="1" customWidth="1"/>
    <col min="10777" max="10777" width="13.5703125" style="18" customWidth="1"/>
    <col min="10778" max="10778" width="21" style="18" customWidth="1"/>
    <col min="10779" max="10782" width="13.42578125" style="18" customWidth="1"/>
    <col min="10783" max="10784" width="19" style="18" customWidth="1"/>
    <col min="10785" max="10785" width="34" style="18" customWidth="1"/>
    <col min="10786" max="10786" width="19" style="18" customWidth="1"/>
    <col min="10787" max="10787" width="20" style="18" bestFit="1" customWidth="1"/>
    <col min="10788" max="10788" width="20.28515625" style="18" bestFit="1" customWidth="1"/>
    <col min="10789" max="10789" width="26.7109375" style="18" customWidth="1"/>
    <col min="10790" max="10790" width="20.85546875" style="18" bestFit="1" customWidth="1"/>
    <col min="10791" max="10791" width="20.85546875" style="18" customWidth="1"/>
    <col min="10792" max="10792" width="18.85546875" style="18" customWidth="1"/>
    <col min="10793" max="10793" width="17.5703125" style="18" customWidth="1"/>
    <col min="10794" max="10795" width="19.42578125" style="18" customWidth="1"/>
    <col min="10796" max="10796" width="20.7109375" style="18" bestFit="1" customWidth="1"/>
    <col min="10797" max="10797" width="80.7109375" style="18" customWidth="1"/>
    <col min="10798" max="10798" width="14.7109375" style="18" bestFit="1" customWidth="1"/>
    <col min="10799" max="10799" width="18.140625" style="18" bestFit="1" customWidth="1"/>
    <col min="10800" max="10800" width="16.7109375" style="18" bestFit="1" customWidth="1"/>
    <col min="10801" max="10801" width="18.5703125" style="18" bestFit="1" customWidth="1"/>
    <col min="10802" max="10802" width="21.28515625" style="18" bestFit="1" customWidth="1"/>
    <col min="10803" max="10803" width="16.28515625" style="18" bestFit="1" customWidth="1"/>
    <col min="10804" max="10804" width="21.140625" style="18" bestFit="1" customWidth="1"/>
    <col min="10805" max="10805" width="19" style="18" bestFit="1" customWidth="1"/>
    <col min="10806" max="10806" width="19.140625" style="18" customWidth="1"/>
    <col min="10807" max="10807" width="16.7109375" style="18" customWidth="1"/>
    <col min="10808" max="10808" width="21.140625" style="18" bestFit="1" customWidth="1"/>
    <col min="10809" max="10809" width="20.42578125" style="18" bestFit="1" customWidth="1"/>
    <col min="10810" max="10810" width="21.140625" style="18" customWidth="1"/>
    <col min="10811" max="10811" width="20.5703125" style="18" bestFit="1" customWidth="1"/>
    <col min="10812" max="10812" width="19.7109375" style="18" bestFit="1" customWidth="1"/>
    <col min="10813" max="10813" width="20.28515625" style="18" customWidth="1"/>
    <col min="10814" max="10814" width="20.85546875" style="18" bestFit="1" customWidth="1"/>
    <col min="10815" max="10815" width="19.5703125" style="18" bestFit="1" customWidth="1"/>
    <col min="10816" max="10816" width="18" style="18" customWidth="1"/>
    <col min="10817" max="10817" width="20" style="18" bestFit="1" customWidth="1"/>
    <col min="10818" max="10818" width="35.7109375" style="18" customWidth="1"/>
    <col min="10819" max="10819" width="21.140625" style="18" bestFit="1" customWidth="1"/>
    <col min="10820" max="10820" width="20.5703125" style="18" bestFit="1" customWidth="1"/>
    <col min="10821" max="10821" width="19.42578125" style="18" bestFit="1" customWidth="1"/>
    <col min="10822" max="10822" width="18.5703125" style="18" bestFit="1" customWidth="1"/>
    <col min="10823" max="10823" width="20.5703125" style="18" bestFit="1" customWidth="1"/>
    <col min="10824" max="10824" width="21.28515625" style="18" bestFit="1" customWidth="1"/>
    <col min="10825" max="10825" width="15.42578125" style="18" customWidth="1"/>
    <col min="10826" max="10826" width="20.7109375" style="18" customWidth="1"/>
    <col min="10827" max="10827" width="21.28515625" style="18" customWidth="1"/>
    <col min="10828" max="10828" width="14.85546875" style="18" bestFit="1" customWidth="1"/>
    <col min="10829" max="10829" width="23" style="18" bestFit="1" customWidth="1"/>
    <col min="10830" max="10830" width="21.28515625" style="18" bestFit="1" customWidth="1"/>
    <col min="10831" max="10831" width="20.28515625" style="18" bestFit="1" customWidth="1"/>
    <col min="10832" max="10832" width="21" style="18" bestFit="1" customWidth="1"/>
    <col min="10833" max="10833" width="18.85546875" style="18" bestFit="1" customWidth="1"/>
    <col min="10834" max="10834" width="80.7109375" style="18" customWidth="1"/>
    <col min="10835" max="11022" width="9.140625" style="18"/>
    <col min="11023" max="11023" width="2.5703125" style="18" customWidth="1"/>
    <col min="11024" max="11024" width="17.85546875" style="18" customWidth="1"/>
    <col min="11025" max="11025" width="41.5703125" style="18" customWidth="1"/>
    <col min="11026" max="11027" width="12" style="18" customWidth="1"/>
    <col min="11028" max="11028" width="17" style="18" customWidth="1"/>
    <col min="11029" max="11029" width="9.7109375" style="18" customWidth="1"/>
    <col min="11030" max="11030" width="12.28515625" style="18" customWidth="1"/>
    <col min="11031" max="11031" width="13.7109375" style="18" customWidth="1"/>
    <col min="11032" max="11032" width="13.5703125" style="18" bestFit="1" customWidth="1"/>
    <col min="11033" max="11033" width="13.5703125" style="18" customWidth="1"/>
    <col min="11034" max="11034" width="21" style="18" customWidth="1"/>
    <col min="11035" max="11038" width="13.42578125" style="18" customWidth="1"/>
    <col min="11039" max="11040" width="19" style="18" customWidth="1"/>
    <col min="11041" max="11041" width="34" style="18" customWidth="1"/>
    <col min="11042" max="11042" width="19" style="18" customWidth="1"/>
    <col min="11043" max="11043" width="20" style="18" bestFit="1" customWidth="1"/>
    <col min="11044" max="11044" width="20.28515625" style="18" bestFit="1" customWidth="1"/>
    <col min="11045" max="11045" width="26.7109375" style="18" customWidth="1"/>
    <col min="11046" max="11046" width="20.85546875" style="18" bestFit="1" customWidth="1"/>
    <col min="11047" max="11047" width="20.85546875" style="18" customWidth="1"/>
    <col min="11048" max="11048" width="18.85546875" style="18" customWidth="1"/>
    <col min="11049" max="11049" width="17.5703125" style="18" customWidth="1"/>
    <col min="11050" max="11051" width="19.42578125" style="18" customWidth="1"/>
    <col min="11052" max="11052" width="20.7109375" style="18" bestFit="1" customWidth="1"/>
    <col min="11053" max="11053" width="80.7109375" style="18" customWidth="1"/>
    <col min="11054" max="11054" width="14.7109375" style="18" bestFit="1" customWidth="1"/>
    <col min="11055" max="11055" width="18.140625" style="18" bestFit="1" customWidth="1"/>
    <col min="11056" max="11056" width="16.7109375" style="18" bestFit="1" customWidth="1"/>
    <col min="11057" max="11057" width="18.5703125" style="18" bestFit="1" customWidth="1"/>
    <col min="11058" max="11058" width="21.28515625" style="18" bestFit="1" customWidth="1"/>
    <col min="11059" max="11059" width="16.28515625" style="18" bestFit="1" customWidth="1"/>
    <col min="11060" max="11060" width="21.140625" style="18" bestFit="1" customWidth="1"/>
    <col min="11061" max="11061" width="19" style="18" bestFit="1" customWidth="1"/>
    <col min="11062" max="11062" width="19.140625" style="18" customWidth="1"/>
    <col min="11063" max="11063" width="16.7109375" style="18" customWidth="1"/>
    <col min="11064" max="11064" width="21.140625" style="18" bestFit="1" customWidth="1"/>
    <col min="11065" max="11065" width="20.42578125" style="18" bestFit="1" customWidth="1"/>
    <col min="11066" max="11066" width="21.140625" style="18" customWidth="1"/>
    <col min="11067" max="11067" width="20.5703125" style="18" bestFit="1" customWidth="1"/>
    <col min="11068" max="11068" width="19.7109375" style="18" bestFit="1" customWidth="1"/>
    <col min="11069" max="11069" width="20.28515625" style="18" customWidth="1"/>
    <col min="11070" max="11070" width="20.85546875" style="18" bestFit="1" customWidth="1"/>
    <col min="11071" max="11071" width="19.5703125" style="18" bestFit="1" customWidth="1"/>
    <col min="11072" max="11072" width="18" style="18" customWidth="1"/>
    <col min="11073" max="11073" width="20" style="18" bestFit="1" customWidth="1"/>
    <col min="11074" max="11074" width="35.7109375" style="18" customWidth="1"/>
    <col min="11075" max="11075" width="21.140625" style="18" bestFit="1" customWidth="1"/>
    <col min="11076" max="11076" width="20.5703125" style="18" bestFit="1" customWidth="1"/>
    <col min="11077" max="11077" width="19.42578125" style="18" bestFit="1" customWidth="1"/>
    <col min="11078" max="11078" width="18.5703125" style="18" bestFit="1" customWidth="1"/>
    <col min="11079" max="11079" width="20.5703125" style="18" bestFit="1" customWidth="1"/>
    <col min="11080" max="11080" width="21.28515625" style="18" bestFit="1" customWidth="1"/>
    <col min="11081" max="11081" width="15.42578125" style="18" customWidth="1"/>
    <col min="11082" max="11082" width="20.7109375" style="18" customWidth="1"/>
    <col min="11083" max="11083" width="21.28515625" style="18" customWidth="1"/>
    <col min="11084" max="11084" width="14.85546875" style="18" bestFit="1" customWidth="1"/>
    <col min="11085" max="11085" width="23" style="18" bestFit="1" customWidth="1"/>
    <col min="11086" max="11086" width="21.28515625" style="18" bestFit="1" customWidth="1"/>
    <col min="11087" max="11087" width="20.28515625" style="18" bestFit="1" customWidth="1"/>
    <col min="11088" max="11088" width="21" style="18" bestFit="1" customWidth="1"/>
    <col min="11089" max="11089" width="18.85546875" style="18" bestFit="1" customWidth="1"/>
    <col min="11090" max="11090" width="80.7109375" style="18" customWidth="1"/>
    <col min="11091" max="11278" width="9.140625" style="18"/>
    <col min="11279" max="11279" width="2.5703125" style="18" customWidth="1"/>
    <col min="11280" max="11280" width="17.85546875" style="18" customWidth="1"/>
    <col min="11281" max="11281" width="41.5703125" style="18" customWidth="1"/>
    <col min="11282" max="11283" width="12" style="18" customWidth="1"/>
    <col min="11284" max="11284" width="17" style="18" customWidth="1"/>
    <col min="11285" max="11285" width="9.7109375" style="18" customWidth="1"/>
    <col min="11286" max="11286" width="12.28515625" style="18" customWidth="1"/>
    <col min="11287" max="11287" width="13.7109375" style="18" customWidth="1"/>
    <col min="11288" max="11288" width="13.5703125" style="18" bestFit="1" customWidth="1"/>
    <col min="11289" max="11289" width="13.5703125" style="18" customWidth="1"/>
    <col min="11290" max="11290" width="21" style="18" customWidth="1"/>
    <col min="11291" max="11294" width="13.42578125" style="18" customWidth="1"/>
    <col min="11295" max="11296" width="19" style="18" customWidth="1"/>
    <col min="11297" max="11297" width="34" style="18" customWidth="1"/>
    <col min="11298" max="11298" width="19" style="18" customWidth="1"/>
    <col min="11299" max="11299" width="20" style="18" bestFit="1" customWidth="1"/>
    <col min="11300" max="11300" width="20.28515625" style="18" bestFit="1" customWidth="1"/>
    <col min="11301" max="11301" width="26.7109375" style="18" customWidth="1"/>
    <col min="11302" max="11302" width="20.85546875" style="18" bestFit="1" customWidth="1"/>
    <col min="11303" max="11303" width="20.85546875" style="18" customWidth="1"/>
    <col min="11304" max="11304" width="18.85546875" style="18" customWidth="1"/>
    <col min="11305" max="11305" width="17.5703125" style="18" customWidth="1"/>
    <col min="11306" max="11307" width="19.42578125" style="18" customWidth="1"/>
    <col min="11308" max="11308" width="20.7109375" style="18" bestFit="1" customWidth="1"/>
    <col min="11309" max="11309" width="80.7109375" style="18" customWidth="1"/>
    <col min="11310" max="11310" width="14.7109375" style="18" bestFit="1" customWidth="1"/>
    <col min="11311" max="11311" width="18.140625" style="18" bestFit="1" customWidth="1"/>
    <col min="11312" max="11312" width="16.7109375" style="18" bestFit="1" customWidth="1"/>
    <col min="11313" max="11313" width="18.5703125" style="18" bestFit="1" customWidth="1"/>
    <col min="11314" max="11314" width="21.28515625" style="18" bestFit="1" customWidth="1"/>
    <col min="11315" max="11315" width="16.28515625" style="18" bestFit="1" customWidth="1"/>
    <col min="11316" max="11316" width="21.140625" style="18" bestFit="1" customWidth="1"/>
    <col min="11317" max="11317" width="19" style="18" bestFit="1" customWidth="1"/>
    <col min="11318" max="11318" width="19.140625" style="18" customWidth="1"/>
    <col min="11319" max="11319" width="16.7109375" style="18" customWidth="1"/>
    <col min="11320" max="11320" width="21.140625" style="18" bestFit="1" customWidth="1"/>
    <col min="11321" max="11321" width="20.42578125" style="18" bestFit="1" customWidth="1"/>
    <col min="11322" max="11322" width="21.140625" style="18" customWidth="1"/>
    <col min="11323" max="11323" width="20.5703125" style="18" bestFit="1" customWidth="1"/>
    <col min="11324" max="11324" width="19.7109375" style="18" bestFit="1" customWidth="1"/>
    <col min="11325" max="11325" width="20.28515625" style="18" customWidth="1"/>
    <col min="11326" max="11326" width="20.85546875" style="18" bestFit="1" customWidth="1"/>
    <col min="11327" max="11327" width="19.5703125" style="18" bestFit="1" customWidth="1"/>
    <col min="11328" max="11328" width="18" style="18" customWidth="1"/>
    <col min="11329" max="11329" width="20" style="18" bestFit="1" customWidth="1"/>
    <col min="11330" max="11330" width="35.7109375" style="18" customWidth="1"/>
    <col min="11331" max="11331" width="21.140625" style="18" bestFit="1" customWidth="1"/>
    <col min="11332" max="11332" width="20.5703125" style="18" bestFit="1" customWidth="1"/>
    <col min="11333" max="11333" width="19.42578125" style="18" bestFit="1" customWidth="1"/>
    <col min="11334" max="11334" width="18.5703125" style="18" bestFit="1" customWidth="1"/>
    <col min="11335" max="11335" width="20.5703125" style="18" bestFit="1" customWidth="1"/>
    <col min="11336" max="11336" width="21.28515625" style="18" bestFit="1" customWidth="1"/>
    <col min="11337" max="11337" width="15.42578125" style="18" customWidth="1"/>
    <col min="11338" max="11338" width="20.7109375" style="18" customWidth="1"/>
    <col min="11339" max="11339" width="21.28515625" style="18" customWidth="1"/>
    <col min="11340" max="11340" width="14.85546875" style="18" bestFit="1" customWidth="1"/>
    <col min="11341" max="11341" width="23" style="18" bestFit="1" customWidth="1"/>
    <col min="11342" max="11342" width="21.28515625" style="18" bestFit="1" customWidth="1"/>
    <col min="11343" max="11343" width="20.28515625" style="18" bestFit="1" customWidth="1"/>
    <col min="11344" max="11344" width="21" style="18" bestFit="1" customWidth="1"/>
    <col min="11345" max="11345" width="18.85546875" style="18" bestFit="1" customWidth="1"/>
    <col min="11346" max="11346" width="80.7109375" style="18" customWidth="1"/>
    <col min="11347" max="11534" width="9.140625" style="18"/>
    <col min="11535" max="11535" width="2.5703125" style="18" customWidth="1"/>
    <col min="11536" max="11536" width="17.85546875" style="18" customWidth="1"/>
    <col min="11537" max="11537" width="41.5703125" style="18" customWidth="1"/>
    <col min="11538" max="11539" width="12" style="18" customWidth="1"/>
    <col min="11540" max="11540" width="17" style="18" customWidth="1"/>
    <col min="11541" max="11541" width="9.7109375" style="18" customWidth="1"/>
    <col min="11542" max="11542" width="12.28515625" style="18" customWidth="1"/>
    <col min="11543" max="11543" width="13.7109375" style="18" customWidth="1"/>
    <col min="11544" max="11544" width="13.5703125" style="18" bestFit="1" customWidth="1"/>
    <col min="11545" max="11545" width="13.5703125" style="18" customWidth="1"/>
    <col min="11546" max="11546" width="21" style="18" customWidth="1"/>
    <col min="11547" max="11550" width="13.42578125" style="18" customWidth="1"/>
    <col min="11551" max="11552" width="19" style="18" customWidth="1"/>
    <col min="11553" max="11553" width="34" style="18" customWidth="1"/>
    <col min="11554" max="11554" width="19" style="18" customWidth="1"/>
    <col min="11555" max="11555" width="20" style="18" bestFit="1" customWidth="1"/>
    <col min="11556" max="11556" width="20.28515625" style="18" bestFit="1" customWidth="1"/>
    <col min="11557" max="11557" width="26.7109375" style="18" customWidth="1"/>
    <col min="11558" max="11558" width="20.85546875" style="18" bestFit="1" customWidth="1"/>
    <col min="11559" max="11559" width="20.85546875" style="18" customWidth="1"/>
    <col min="11560" max="11560" width="18.85546875" style="18" customWidth="1"/>
    <col min="11561" max="11561" width="17.5703125" style="18" customWidth="1"/>
    <col min="11562" max="11563" width="19.42578125" style="18" customWidth="1"/>
    <col min="11564" max="11564" width="20.7109375" style="18" bestFit="1" customWidth="1"/>
    <col min="11565" max="11565" width="80.7109375" style="18" customWidth="1"/>
    <col min="11566" max="11566" width="14.7109375" style="18" bestFit="1" customWidth="1"/>
    <col min="11567" max="11567" width="18.140625" style="18" bestFit="1" customWidth="1"/>
    <col min="11568" max="11568" width="16.7109375" style="18" bestFit="1" customWidth="1"/>
    <col min="11569" max="11569" width="18.5703125" style="18" bestFit="1" customWidth="1"/>
    <col min="11570" max="11570" width="21.28515625" style="18" bestFit="1" customWidth="1"/>
    <col min="11571" max="11571" width="16.28515625" style="18" bestFit="1" customWidth="1"/>
    <col min="11572" max="11572" width="21.140625" style="18" bestFit="1" customWidth="1"/>
    <col min="11573" max="11573" width="19" style="18" bestFit="1" customWidth="1"/>
    <col min="11574" max="11574" width="19.140625" style="18" customWidth="1"/>
    <col min="11575" max="11575" width="16.7109375" style="18" customWidth="1"/>
    <col min="11576" max="11576" width="21.140625" style="18" bestFit="1" customWidth="1"/>
    <col min="11577" max="11577" width="20.42578125" style="18" bestFit="1" customWidth="1"/>
    <col min="11578" max="11578" width="21.140625" style="18" customWidth="1"/>
    <col min="11579" max="11579" width="20.5703125" style="18" bestFit="1" customWidth="1"/>
    <col min="11580" max="11580" width="19.7109375" style="18" bestFit="1" customWidth="1"/>
    <col min="11581" max="11581" width="20.28515625" style="18" customWidth="1"/>
    <col min="11582" max="11582" width="20.85546875" style="18" bestFit="1" customWidth="1"/>
    <col min="11583" max="11583" width="19.5703125" style="18" bestFit="1" customWidth="1"/>
    <col min="11584" max="11584" width="18" style="18" customWidth="1"/>
    <col min="11585" max="11585" width="20" style="18" bestFit="1" customWidth="1"/>
    <col min="11586" max="11586" width="35.7109375" style="18" customWidth="1"/>
    <col min="11587" max="11587" width="21.140625" style="18" bestFit="1" customWidth="1"/>
    <col min="11588" max="11588" width="20.5703125" style="18" bestFit="1" customWidth="1"/>
    <col min="11589" max="11589" width="19.42578125" style="18" bestFit="1" customWidth="1"/>
    <col min="11590" max="11590" width="18.5703125" style="18" bestFit="1" customWidth="1"/>
    <col min="11591" max="11591" width="20.5703125" style="18" bestFit="1" customWidth="1"/>
    <col min="11592" max="11592" width="21.28515625" style="18" bestFit="1" customWidth="1"/>
    <col min="11593" max="11593" width="15.42578125" style="18" customWidth="1"/>
    <col min="11594" max="11594" width="20.7109375" style="18" customWidth="1"/>
    <col min="11595" max="11595" width="21.28515625" style="18" customWidth="1"/>
    <col min="11596" max="11596" width="14.85546875" style="18" bestFit="1" customWidth="1"/>
    <col min="11597" max="11597" width="23" style="18" bestFit="1" customWidth="1"/>
    <col min="11598" max="11598" width="21.28515625" style="18" bestFit="1" customWidth="1"/>
    <col min="11599" max="11599" width="20.28515625" style="18" bestFit="1" customWidth="1"/>
    <col min="11600" max="11600" width="21" style="18" bestFit="1" customWidth="1"/>
    <col min="11601" max="11601" width="18.85546875" style="18" bestFit="1" customWidth="1"/>
    <col min="11602" max="11602" width="80.7109375" style="18" customWidth="1"/>
    <col min="11603" max="11790" width="9.140625" style="18"/>
    <col min="11791" max="11791" width="2.5703125" style="18" customWidth="1"/>
    <col min="11792" max="11792" width="17.85546875" style="18" customWidth="1"/>
    <col min="11793" max="11793" width="41.5703125" style="18" customWidth="1"/>
    <col min="11794" max="11795" width="12" style="18" customWidth="1"/>
    <col min="11796" max="11796" width="17" style="18" customWidth="1"/>
    <col min="11797" max="11797" width="9.7109375" style="18" customWidth="1"/>
    <col min="11798" max="11798" width="12.28515625" style="18" customWidth="1"/>
    <col min="11799" max="11799" width="13.7109375" style="18" customWidth="1"/>
    <col min="11800" max="11800" width="13.5703125" style="18" bestFit="1" customWidth="1"/>
    <col min="11801" max="11801" width="13.5703125" style="18" customWidth="1"/>
    <col min="11802" max="11802" width="21" style="18" customWidth="1"/>
    <col min="11803" max="11806" width="13.42578125" style="18" customWidth="1"/>
    <col min="11807" max="11808" width="19" style="18" customWidth="1"/>
    <col min="11809" max="11809" width="34" style="18" customWidth="1"/>
    <col min="11810" max="11810" width="19" style="18" customWidth="1"/>
    <col min="11811" max="11811" width="20" style="18" bestFit="1" customWidth="1"/>
    <col min="11812" max="11812" width="20.28515625" style="18" bestFit="1" customWidth="1"/>
    <col min="11813" max="11813" width="26.7109375" style="18" customWidth="1"/>
    <col min="11814" max="11814" width="20.85546875" style="18" bestFit="1" customWidth="1"/>
    <col min="11815" max="11815" width="20.85546875" style="18" customWidth="1"/>
    <col min="11816" max="11816" width="18.85546875" style="18" customWidth="1"/>
    <col min="11817" max="11817" width="17.5703125" style="18" customWidth="1"/>
    <col min="11818" max="11819" width="19.42578125" style="18" customWidth="1"/>
    <col min="11820" max="11820" width="20.7109375" style="18" bestFit="1" customWidth="1"/>
    <col min="11821" max="11821" width="80.7109375" style="18" customWidth="1"/>
    <col min="11822" max="11822" width="14.7109375" style="18" bestFit="1" customWidth="1"/>
    <col min="11823" max="11823" width="18.140625" style="18" bestFit="1" customWidth="1"/>
    <col min="11824" max="11824" width="16.7109375" style="18" bestFit="1" customWidth="1"/>
    <col min="11825" max="11825" width="18.5703125" style="18" bestFit="1" customWidth="1"/>
    <col min="11826" max="11826" width="21.28515625" style="18" bestFit="1" customWidth="1"/>
    <col min="11827" max="11827" width="16.28515625" style="18" bestFit="1" customWidth="1"/>
    <col min="11828" max="11828" width="21.140625" style="18" bestFit="1" customWidth="1"/>
    <col min="11829" max="11829" width="19" style="18" bestFit="1" customWidth="1"/>
    <col min="11830" max="11830" width="19.140625" style="18" customWidth="1"/>
    <col min="11831" max="11831" width="16.7109375" style="18" customWidth="1"/>
    <col min="11832" max="11832" width="21.140625" style="18" bestFit="1" customWidth="1"/>
    <col min="11833" max="11833" width="20.42578125" style="18" bestFit="1" customWidth="1"/>
    <col min="11834" max="11834" width="21.140625" style="18" customWidth="1"/>
    <col min="11835" max="11835" width="20.5703125" style="18" bestFit="1" customWidth="1"/>
    <col min="11836" max="11836" width="19.7109375" style="18" bestFit="1" customWidth="1"/>
    <col min="11837" max="11837" width="20.28515625" style="18" customWidth="1"/>
    <col min="11838" max="11838" width="20.85546875" style="18" bestFit="1" customWidth="1"/>
    <col min="11839" max="11839" width="19.5703125" style="18" bestFit="1" customWidth="1"/>
    <col min="11840" max="11840" width="18" style="18" customWidth="1"/>
    <col min="11841" max="11841" width="20" style="18" bestFit="1" customWidth="1"/>
    <col min="11842" max="11842" width="35.7109375" style="18" customWidth="1"/>
    <col min="11843" max="11843" width="21.140625" style="18" bestFit="1" customWidth="1"/>
    <col min="11844" max="11844" width="20.5703125" style="18" bestFit="1" customWidth="1"/>
    <col min="11845" max="11845" width="19.42578125" style="18" bestFit="1" customWidth="1"/>
    <col min="11846" max="11846" width="18.5703125" style="18" bestFit="1" customWidth="1"/>
    <col min="11847" max="11847" width="20.5703125" style="18" bestFit="1" customWidth="1"/>
    <col min="11848" max="11848" width="21.28515625" style="18" bestFit="1" customWidth="1"/>
    <col min="11849" max="11849" width="15.42578125" style="18" customWidth="1"/>
    <col min="11850" max="11850" width="20.7109375" style="18" customWidth="1"/>
    <col min="11851" max="11851" width="21.28515625" style="18" customWidth="1"/>
    <col min="11852" max="11852" width="14.85546875" style="18" bestFit="1" customWidth="1"/>
    <col min="11853" max="11853" width="23" style="18" bestFit="1" customWidth="1"/>
    <col min="11854" max="11854" width="21.28515625" style="18" bestFit="1" customWidth="1"/>
    <col min="11855" max="11855" width="20.28515625" style="18" bestFit="1" customWidth="1"/>
    <col min="11856" max="11856" width="21" style="18" bestFit="1" customWidth="1"/>
    <col min="11857" max="11857" width="18.85546875" style="18" bestFit="1" customWidth="1"/>
    <col min="11858" max="11858" width="80.7109375" style="18" customWidth="1"/>
    <col min="11859" max="12046" width="9.140625" style="18"/>
    <col min="12047" max="12047" width="2.5703125" style="18" customWidth="1"/>
    <col min="12048" max="12048" width="17.85546875" style="18" customWidth="1"/>
    <col min="12049" max="12049" width="41.5703125" style="18" customWidth="1"/>
    <col min="12050" max="12051" width="12" style="18" customWidth="1"/>
    <col min="12052" max="12052" width="17" style="18" customWidth="1"/>
    <col min="12053" max="12053" width="9.7109375" style="18" customWidth="1"/>
    <col min="12054" max="12054" width="12.28515625" style="18" customWidth="1"/>
    <col min="12055" max="12055" width="13.7109375" style="18" customWidth="1"/>
    <col min="12056" max="12056" width="13.5703125" style="18" bestFit="1" customWidth="1"/>
    <col min="12057" max="12057" width="13.5703125" style="18" customWidth="1"/>
    <col min="12058" max="12058" width="21" style="18" customWidth="1"/>
    <col min="12059" max="12062" width="13.42578125" style="18" customWidth="1"/>
    <col min="12063" max="12064" width="19" style="18" customWidth="1"/>
    <col min="12065" max="12065" width="34" style="18" customWidth="1"/>
    <col min="12066" max="12066" width="19" style="18" customWidth="1"/>
    <col min="12067" max="12067" width="20" style="18" bestFit="1" customWidth="1"/>
    <col min="12068" max="12068" width="20.28515625" style="18" bestFit="1" customWidth="1"/>
    <col min="12069" max="12069" width="26.7109375" style="18" customWidth="1"/>
    <col min="12070" max="12070" width="20.85546875" style="18" bestFit="1" customWidth="1"/>
    <col min="12071" max="12071" width="20.85546875" style="18" customWidth="1"/>
    <col min="12072" max="12072" width="18.85546875" style="18" customWidth="1"/>
    <col min="12073" max="12073" width="17.5703125" style="18" customWidth="1"/>
    <col min="12074" max="12075" width="19.42578125" style="18" customWidth="1"/>
    <col min="12076" max="12076" width="20.7109375" style="18" bestFit="1" customWidth="1"/>
    <col min="12077" max="12077" width="80.7109375" style="18" customWidth="1"/>
    <col min="12078" max="12078" width="14.7109375" style="18" bestFit="1" customWidth="1"/>
    <col min="12079" max="12079" width="18.140625" style="18" bestFit="1" customWidth="1"/>
    <col min="12080" max="12080" width="16.7109375" style="18" bestFit="1" customWidth="1"/>
    <col min="12081" max="12081" width="18.5703125" style="18" bestFit="1" customWidth="1"/>
    <col min="12082" max="12082" width="21.28515625" style="18" bestFit="1" customWidth="1"/>
    <col min="12083" max="12083" width="16.28515625" style="18" bestFit="1" customWidth="1"/>
    <col min="12084" max="12084" width="21.140625" style="18" bestFit="1" customWidth="1"/>
    <col min="12085" max="12085" width="19" style="18" bestFit="1" customWidth="1"/>
    <col min="12086" max="12086" width="19.140625" style="18" customWidth="1"/>
    <col min="12087" max="12087" width="16.7109375" style="18" customWidth="1"/>
    <col min="12088" max="12088" width="21.140625" style="18" bestFit="1" customWidth="1"/>
    <col min="12089" max="12089" width="20.42578125" style="18" bestFit="1" customWidth="1"/>
    <col min="12090" max="12090" width="21.140625" style="18" customWidth="1"/>
    <col min="12091" max="12091" width="20.5703125" style="18" bestFit="1" customWidth="1"/>
    <col min="12092" max="12092" width="19.7109375" style="18" bestFit="1" customWidth="1"/>
    <col min="12093" max="12093" width="20.28515625" style="18" customWidth="1"/>
    <col min="12094" max="12094" width="20.85546875" style="18" bestFit="1" customWidth="1"/>
    <col min="12095" max="12095" width="19.5703125" style="18" bestFit="1" customWidth="1"/>
    <col min="12096" max="12096" width="18" style="18" customWidth="1"/>
    <col min="12097" max="12097" width="20" style="18" bestFit="1" customWidth="1"/>
    <col min="12098" max="12098" width="35.7109375" style="18" customWidth="1"/>
    <col min="12099" max="12099" width="21.140625" style="18" bestFit="1" customWidth="1"/>
    <col min="12100" max="12100" width="20.5703125" style="18" bestFit="1" customWidth="1"/>
    <col min="12101" max="12101" width="19.42578125" style="18" bestFit="1" customWidth="1"/>
    <col min="12102" max="12102" width="18.5703125" style="18" bestFit="1" customWidth="1"/>
    <col min="12103" max="12103" width="20.5703125" style="18" bestFit="1" customWidth="1"/>
    <col min="12104" max="12104" width="21.28515625" style="18" bestFit="1" customWidth="1"/>
    <col min="12105" max="12105" width="15.42578125" style="18" customWidth="1"/>
    <col min="12106" max="12106" width="20.7109375" style="18" customWidth="1"/>
    <col min="12107" max="12107" width="21.28515625" style="18" customWidth="1"/>
    <col min="12108" max="12108" width="14.85546875" style="18" bestFit="1" customWidth="1"/>
    <col min="12109" max="12109" width="23" style="18" bestFit="1" customWidth="1"/>
    <col min="12110" max="12110" width="21.28515625" style="18" bestFit="1" customWidth="1"/>
    <col min="12111" max="12111" width="20.28515625" style="18" bestFit="1" customWidth="1"/>
    <col min="12112" max="12112" width="21" style="18" bestFit="1" customWidth="1"/>
    <col min="12113" max="12113" width="18.85546875" style="18" bestFit="1" customWidth="1"/>
    <col min="12114" max="12114" width="80.7109375" style="18" customWidth="1"/>
    <col min="12115" max="12302" width="9.140625" style="18"/>
    <col min="12303" max="12303" width="2.5703125" style="18" customWidth="1"/>
    <col min="12304" max="12304" width="17.85546875" style="18" customWidth="1"/>
    <col min="12305" max="12305" width="41.5703125" style="18" customWidth="1"/>
    <col min="12306" max="12307" width="12" style="18" customWidth="1"/>
    <col min="12308" max="12308" width="17" style="18" customWidth="1"/>
    <col min="12309" max="12309" width="9.7109375" style="18" customWidth="1"/>
    <col min="12310" max="12310" width="12.28515625" style="18" customWidth="1"/>
    <col min="12311" max="12311" width="13.7109375" style="18" customWidth="1"/>
    <col min="12312" max="12312" width="13.5703125" style="18" bestFit="1" customWidth="1"/>
    <col min="12313" max="12313" width="13.5703125" style="18" customWidth="1"/>
    <col min="12314" max="12314" width="21" style="18" customWidth="1"/>
    <col min="12315" max="12318" width="13.42578125" style="18" customWidth="1"/>
    <col min="12319" max="12320" width="19" style="18" customWidth="1"/>
    <col min="12321" max="12321" width="34" style="18" customWidth="1"/>
    <col min="12322" max="12322" width="19" style="18" customWidth="1"/>
    <col min="12323" max="12323" width="20" style="18" bestFit="1" customWidth="1"/>
    <col min="12324" max="12324" width="20.28515625" style="18" bestFit="1" customWidth="1"/>
    <col min="12325" max="12325" width="26.7109375" style="18" customWidth="1"/>
    <col min="12326" max="12326" width="20.85546875" style="18" bestFit="1" customWidth="1"/>
    <col min="12327" max="12327" width="20.85546875" style="18" customWidth="1"/>
    <col min="12328" max="12328" width="18.85546875" style="18" customWidth="1"/>
    <col min="12329" max="12329" width="17.5703125" style="18" customWidth="1"/>
    <col min="12330" max="12331" width="19.42578125" style="18" customWidth="1"/>
    <col min="12332" max="12332" width="20.7109375" style="18" bestFit="1" customWidth="1"/>
    <col min="12333" max="12333" width="80.7109375" style="18" customWidth="1"/>
    <col min="12334" max="12334" width="14.7109375" style="18" bestFit="1" customWidth="1"/>
    <col min="12335" max="12335" width="18.140625" style="18" bestFit="1" customWidth="1"/>
    <col min="12336" max="12336" width="16.7109375" style="18" bestFit="1" customWidth="1"/>
    <col min="12337" max="12337" width="18.5703125" style="18" bestFit="1" customWidth="1"/>
    <col min="12338" max="12338" width="21.28515625" style="18" bestFit="1" customWidth="1"/>
    <col min="12339" max="12339" width="16.28515625" style="18" bestFit="1" customWidth="1"/>
    <col min="12340" max="12340" width="21.140625" style="18" bestFit="1" customWidth="1"/>
    <col min="12341" max="12341" width="19" style="18" bestFit="1" customWidth="1"/>
    <col min="12342" max="12342" width="19.140625" style="18" customWidth="1"/>
    <col min="12343" max="12343" width="16.7109375" style="18" customWidth="1"/>
    <col min="12344" max="12344" width="21.140625" style="18" bestFit="1" customWidth="1"/>
    <col min="12345" max="12345" width="20.42578125" style="18" bestFit="1" customWidth="1"/>
    <col min="12346" max="12346" width="21.140625" style="18" customWidth="1"/>
    <col min="12347" max="12347" width="20.5703125" style="18" bestFit="1" customWidth="1"/>
    <col min="12348" max="12348" width="19.7109375" style="18" bestFit="1" customWidth="1"/>
    <col min="12349" max="12349" width="20.28515625" style="18" customWidth="1"/>
    <col min="12350" max="12350" width="20.85546875" style="18" bestFit="1" customWidth="1"/>
    <col min="12351" max="12351" width="19.5703125" style="18" bestFit="1" customWidth="1"/>
    <col min="12352" max="12352" width="18" style="18" customWidth="1"/>
    <col min="12353" max="12353" width="20" style="18" bestFit="1" customWidth="1"/>
    <col min="12354" max="12354" width="35.7109375" style="18" customWidth="1"/>
    <col min="12355" max="12355" width="21.140625" style="18" bestFit="1" customWidth="1"/>
    <col min="12356" max="12356" width="20.5703125" style="18" bestFit="1" customWidth="1"/>
    <col min="12357" max="12357" width="19.42578125" style="18" bestFit="1" customWidth="1"/>
    <col min="12358" max="12358" width="18.5703125" style="18" bestFit="1" customWidth="1"/>
    <col min="12359" max="12359" width="20.5703125" style="18" bestFit="1" customWidth="1"/>
    <col min="12360" max="12360" width="21.28515625" style="18" bestFit="1" customWidth="1"/>
    <col min="12361" max="12361" width="15.42578125" style="18" customWidth="1"/>
    <col min="12362" max="12362" width="20.7109375" style="18" customWidth="1"/>
    <col min="12363" max="12363" width="21.28515625" style="18" customWidth="1"/>
    <col min="12364" max="12364" width="14.85546875" style="18" bestFit="1" customWidth="1"/>
    <col min="12365" max="12365" width="23" style="18" bestFit="1" customWidth="1"/>
    <col min="12366" max="12366" width="21.28515625" style="18" bestFit="1" customWidth="1"/>
    <col min="12367" max="12367" width="20.28515625" style="18" bestFit="1" customWidth="1"/>
    <col min="12368" max="12368" width="21" style="18" bestFit="1" customWidth="1"/>
    <col min="12369" max="12369" width="18.85546875" style="18" bestFit="1" customWidth="1"/>
    <col min="12370" max="12370" width="80.7109375" style="18" customWidth="1"/>
    <col min="12371" max="12558" width="9.140625" style="18"/>
    <col min="12559" max="12559" width="2.5703125" style="18" customWidth="1"/>
    <col min="12560" max="12560" width="17.85546875" style="18" customWidth="1"/>
    <col min="12561" max="12561" width="41.5703125" style="18" customWidth="1"/>
    <col min="12562" max="12563" width="12" style="18" customWidth="1"/>
    <col min="12564" max="12564" width="17" style="18" customWidth="1"/>
    <col min="12565" max="12565" width="9.7109375" style="18" customWidth="1"/>
    <col min="12566" max="12566" width="12.28515625" style="18" customWidth="1"/>
    <col min="12567" max="12567" width="13.7109375" style="18" customWidth="1"/>
    <col min="12568" max="12568" width="13.5703125" style="18" bestFit="1" customWidth="1"/>
    <col min="12569" max="12569" width="13.5703125" style="18" customWidth="1"/>
    <col min="12570" max="12570" width="21" style="18" customWidth="1"/>
    <col min="12571" max="12574" width="13.42578125" style="18" customWidth="1"/>
    <col min="12575" max="12576" width="19" style="18" customWidth="1"/>
    <col min="12577" max="12577" width="34" style="18" customWidth="1"/>
    <col min="12578" max="12578" width="19" style="18" customWidth="1"/>
    <col min="12579" max="12579" width="20" style="18" bestFit="1" customWidth="1"/>
    <col min="12580" max="12580" width="20.28515625" style="18" bestFit="1" customWidth="1"/>
    <col min="12581" max="12581" width="26.7109375" style="18" customWidth="1"/>
    <col min="12582" max="12582" width="20.85546875" style="18" bestFit="1" customWidth="1"/>
    <col min="12583" max="12583" width="20.85546875" style="18" customWidth="1"/>
    <col min="12584" max="12584" width="18.85546875" style="18" customWidth="1"/>
    <col min="12585" max="12585" width="17.5703125" style="18" customWidth="1"/>
    <col min="12586" max="12587" width="19.42578125" style="18" customWidth="1"/>
    <col min="12588" max="12588" width="20.7109375" style="18" bestFit="1" customWidth="1"/>
    <col min="12589" max="12589" width="80.7109375" style="18" customWidth="1"/>
    <col min="12590" max="12590" width="14.7109375" style="18" bestFit="1" customWidth="1"/>
    <col min="12591" max="12591" width="18.140625" style="18" bestFit="1" customWidth="1"/>
    <col min="12592" max="12592" width="16.7109375" style="18" bestFit="1" customWidth="1"/>
    <col min="12593" max="12593" width="18.5703125" style="18" bestFit="1" customWidth="1"/>
    <col min="12594" max="12594" width="21.28515625" style="18" bestFit="1" customWidth="1"/>
    <col min="12595" max="12595" width="16.28515625" style="18" bestFit="1" customWidth="1"/>
    <col min="12596" max="12596" width="21.140625" style="18" bestFit="1" customWidth="1"/>
    <col min="12597" max="12597" width="19" style="18" bestFit="1" customWidth="1"/>
    <col min="12598" max="12598" width="19.140625" style="18" customWidth="1"/>
    <col min="12599" max="12599" width="16.7109375" style="18" customWidth="1"/>
    <col min="12600" max="12600" width="21.140625" style="18" bestFit="1" customWidth="1"/>
    <col min="12601" max="12601" width="20.42578125" style="18" bestFit="1" customWidth="1"/>
    <col min="12602" max="12602" width="21.140625" style="18" customWidth="1"/>
    <col min="12603" max="12603" width="20.5703125" style="18" bestFit="1" customWidth="1"/>
    <col min="12604" max="12604" width="19.7109375" style="18" bestFit="1" customWidth="1"/>
    <col min="12605" max="12605" width="20.28515625" style="18" customWidth="1"/>
    <col min="12606" max="12606" width="20.85546875" style="18" bestFit="1" customWidth="1"/>
    <col min="12607" max="12607" width="19.5703125" style="18" bestFit="1" customWidth="1"/>
    <col min="12608" max="12608" width="18" style="18" customWidth="1"/>
    <col min="12609" max="12609" width="20" style="18" bestFit="1" customWidth="1"/>
    <col min="12610" max="12610" width="35.7109375" style="18" customWidth="1"/>
    <col min="12611" max="12611" width="21.140625" style="18" bestFit="1" customWidth="1"/>
    <col min="12612" max="12612" width="20.5703125" style="18" bestFit="1" customWidth="1"/>
    <col min="12613" max="12613" width="19.42578125" style="18" bestFit="1" customWidth="1"/>
    <col min="12614" max="12614" width="18.5703125" style="18" bestFit="1" customWidth="1"/>
    <col min="12615" max="12615" width="20.5703125" style="18" bestFit="1" customWidth="1"/>
    <col min="12616" max="12616" width="21.28515625" style="18" bestFit="1" customWidth="1"/>
    <col min="12617" max="12617" width="15.42578125" style="18" customWidth="1"/>
    <col min="12618" max="12618" width="20.7109375" style="18" customWidth="1"/>
    <col min="12619" max="12619" width="21.28515625" style="18" customWidth="1"/>
    <col min="12620" max="12620" width="14.85546875" style="18" bestFit="1" customWidth="1"/>
    <col min="12621" max="12621" width="23" style="18" bestFit="1" customWidth="1"/>
    <col min="12622" max="12622" width="21.28515625" style="18" bestFit="1" customWidth="1"/>
    <col min="12623" max="12623" width="20.28515625" style="18" bestFit="1" customWidth="1"/>
    <col min="12624" max="12624" width="21" style="18" bestFit="1" customWidth="1"/>
    <col min="12625" max="12625" width="18.85546875" style="18" bestFit="1" customWidth="1"/>
    <col min="12626" max="12626" width="80.7109375" style="18" customWidth="1"/>
    <col min="12627" max="12814" width="9.140625" style="18"/>
    <col min="12815" max="12815" width="2.5703125" style="18" customWidth="1"/>
    <col min="12816" max="12816" width="17.85546875" style="18" customWidth="1"/>
    <col min="12817" max="12817" width="41.5703125" style="18" customWidth="1"/>
    <col min="12818" max="12819" width="12" style="18" customWidth="1"/>
    <col min="12820" max="12820" width="17" style="18" customWidth="1"/>
    <col min="12821" max="12821" width="9.7109375" style="18" customWidth="1"/>
    <col min="12822" max="12822" width="12.28515625" style="18" customWidth="1"/>
    <col min="12823" max="12823" width="13.7109375" style="18" customWidth="1"/>
    <col min="12824" max="12824" width="13.5703125" style="18" bestFit="1" customWidth="1"/>
    <col min="12825" max="12825" width="13.5703125" style="18" customWidth="1"/>
    <col min="12826" max="12826" width="21" style="18" customWidth="1"/>
    <col min="12827" max="12830" width="13.42578125" style="18" customWidth="1"/>
    <col min="12831" max="12832" width="19" style="18" customWidth="1"/>
    <col min="12833" max="12833" width="34" style="18" customWidth="1"/>
    <col min="12834" max="12834" width="19" style="18" customWidth="1"/>
    <col min="12835" max="12835" width="20" style="18" bestFit="1" customWidth="1"/>
    <col min="12836" max="12836" width="20.28515625" style="18" bestFit="1" customWidth="1"/>
    <col min="12837" max="12837" width="26.7109375" style="18" customWidth="1"/>
    <col min="12838" max="12838" width="20.85546875" style="18" bestFit="1" customWidth="1"/>
    <col min="12839" max="12839" width="20.85546875" style="18" customWidth="1"/>
    <col min="12840" max="12840" width="18.85546875" style="18" customWidth="1"/>
    <col min="12841" max="12841" width="17.5703125" style="18" customWidth="1"/>
    <col min="12842" max="12843" width="19.42578125" style="18" customWidth="1"/>
    <col min="12844" max="12844" width="20.7109375" style="18" bestFit="1" customWidth="1"/>
    <col min="12845" max="12845" width="80.7109375" style="18" customWidth="1"/>
    <col min="12846" max="12846" width="14.7109375" style="18" bestFit="1" customWidth="1"/>
    <col min="12847" max="12847" width="18.140625" style="18" bestFit="1" customWidth="1"/>
    <col min="12848" max="12848" width="16.7109375" style="18" bestFit="1" customWidth="1"/>
    <col min="12849" max="12849" width="18.5703125" style="18" bestFit="1" customWidth="1"/>
    <col min="12850" max="12850" width="21.28515625" style="18" bestFit="1" customWidth="1"/>
    <col min="12851" max="12851" width="16.28515625" style="18" bestFit="1" customWidth="1"/>
    <col min="12852" max="12852" width="21.140625" style="18" bestFit="1" customWidth="1"/>
    <col min="12853" max="12853" width="19" style="18" bestFit="1" customWidth="1"/>
    <col min="12854" max="12854" width="19.140625" style="18" customWidth="1"/>
    <col min="12855" max="12855" width="16.7109375" style="18" customWidth="1"/>
    <col min="12856" max="12856" width="21.140625" style="18" bestFit="1" customWidth="1"/>
    <col min="12857" max="12857" width="20.42578125" style="18" bestFit="1" customWidth="1"/>
    <col min="12858" max="12858" width="21.140625" style="18" customWidth="1"/>
    <col min="12859" max="12859" width="20.5703125" style="18" bestFit="1" customWidth="1"/>
    <col min="12860" max="12860" width="19.7109375" style="18" bestFit="1" customWidth="1"/>
    <col min="12861" max="12861" width="20.28515625" style="18" customWidth="1"/>
    <col min="12862" max="12862" width="20.85546875" style="18" bestFit="1" customWidth="1"/>
    <col min="12863" max="12863" width="19.5703125" style="18" bestFit="1" customWidth="1"/>
    <col min="12864" max="12864" width="18" style="18" customWidth="1"/>
    <col min="12865" max="12865" width="20" style="18" bestFit="1" customWidth="1"/>
    <col min="12866" max="12866" width="35.7109375" style="18" customWidth="1"/>
    <col min="12867" max="12867" width="21.140625" style="18" bestFit="1" customWidth="1"/>
    <col min="12868" max="12868" width="20.5703125" style="18" bestFit="1" customWidth="1"/>
    <col min="12869" max="12869" width="19.42578125" style="18" bestFit="1" customWidth="1"/>
    <col min="12870" max="12870" width="18.5703125" style="18" bestFit="1" customWidth="1"/>
    <col min="12871" max="12871" width="20.5703125" style="18" bestFit="1" customWidth="1"/>
    <col min="12872" max="12872" width="21.28515625" style="18" bestFit="1" customWidth="1"/>
    <col min="12873" max="12873" width="15.42578125" style="18" customWidth="1"/>
    <col min="12874" max="12874" width="20.7109375" style="18" customWidth="1"/>
    <col min="12875" max="12875" width="21.28515625" style="18" customWidth="1"/>
    <col min="12876" max="12876" width="14.85546875" style="18" bestFit="1" customWidth="1"/>
    <col min="12877" max="12877" width="23" style="18" bestFit="1" customWidth="1"/>
    <col min="12878" max="12878" width="21.28515625" style="18" bestFit="1" customWidth="1"/>
    <col min="12879" max="12879" width="20.28515625" style="18" bestFit="1" customWidth="1"/>
    <col min="12880" max="12880" width="21" style="18" bestFit="1" customWidth="1"/>
    <col min="12881" max="12881" width="18.85546875" style="18" bestFit="1" customWidth="1"/>
    <col min="12882" max="12882" width="80.7109375" style="18" customWidth="1"/>
    <col min="12883" max="13070" width="9.140625" style="18"/>
    <col min="13071" max="13071" width="2.5703125" style="18" customWidth="1"/>
    <col min="13072" max="13072" width="17.85546875" style="18" customWidth="1"/>
    <col min="13073" max="13073" width="41.5703125" style="18" customWidth="1"/>
    <col min="13074" max="13075" width="12" style="18" customWidth="1"/>
    <col min="13076" max="13076" width="17" style="18" customWidth="1"/>
    <col min="13077" max="13077" width="9.7109375" style="18" customWidth="1"/>
    <col min="13078" max="13078" width="12.28515625" style="18" customWidth="1"/>
    <col min="13079" max="13079" width="13.7109375" style="18" customWidth="1"/>
    <col min="13080" max="13080" width="13.5703125" style="18" bestFit="1" customWidth="1"/>
    <col min="13081" max="13081" width="13.5703125" style="18" customWidth="1"/>
    <col min="13082" max="13082" width="21" style="18" customWidth="1"/>
    <col min="13083" max="13086" width="13.42578125" style="18" customWidth="1"/>
    <col min="13087" max="13088" width="19" style="18" customWidth="1"/>
    <col min="13089" max="13089" width="34" style="18" customWidth="1"/>
    <col min="13090" max="13090" width="19" style="18" customWidth="1"/>
    <col min="13091" max="13091" width="20" style="18" bestFit="1" customWidth="1"/>
    <col min="13092" max="13092" width="20.28515625" style="18" bestFit="1" customWidth="1"/>
    <col min="13093" max="13093" width="26.7109375" style="18" customWidth="1"/>
    <col min="13094" max="13094" width="20.85546875" style="18" bestFit="1" customWidth="1"/>
    <col min="13095" max="13095" width="20.85546875" style="18" customWidth="1"/>
    <col min="13096" max="13096" width="18.85546875" style="18" customWidth="1"/>
    <col min="13097" max="13097" width="17.5703125" style="18" customWidth="1"/>
    <col min="13098" max="13099" width="19.42578125" style="18" customWidth="1"/>
    <col min="13100" max="13100" width="20.7109375" style="18" bestFit="1" customWidth="1"/>
    <col min="13101" max="13101" width="80.7109375" style="18" customWidth="1"/>
    <col min="13102" max="13102" width="14.7109375" style="18" bestFit="1" customWidth="1"/>
    <col min="13103" max="13103" width="18.140625" style="18" bestFit="1" customWidth="1"/>
    <col min="13104" max="13104" width="16.7109375" style="18" bestFit="1" customWidth="1"/>
    <col min="13105" max="13105" width="18.5703125" style="18" bestFit="1" customWidth="1"/>
    <col min="13106" max="13106" width="21.28515625" style="18" bestFit="1" customWidth="1"/>
    <col min="13107" max="13107" width="16.28515625" style="18" bestFit="1" customWidth="1"/>
    <col min="13108" max="13108" width="21.140625" style="18" bestFit="1" customWidth="1"/>
    <col min="13109" max="13109" width="19" style="18" bestFit="1" customWidth="1"/>
    <col min="13110" max="13110" width="19.140625" style="18" customWidth="1"/>
    <col min="13111" max="13111" width="16.7109375" style="18" customWidth="1"/>
    <col min="13112" max="13112" width="21.140625" style="18" bestFit="1" customWidth="1"/>
    <col min="13113" max="13113" width="20.42578125" style="18" bestFit="1" customWidth="1"/>
    <col min="13114" max="13114" width="21.140625" style="18" customWidth="1"/>
    <col min="13115" max="13115" width="20.5703125" style="18" bestFit="1" customWidth="1"/>
    <col min="13116" max="13116" width="19.7109375" style="18" bestFit="1" customWidth="1"/>
    <col min="13117" max="13117" width="20.28515625" style="18" customWidth="1"/>
    <col min="13118" max="13118" width="20.85546875" style="18" bestFit="1" customWidth="1"/>
    <col min="13119" max="13119" width="19.5703125" style="18" bestFit="1" customWidth="1"/>
    <col min="13120" max="13120" width="18" style="18" customWidth="1"/>
    <col min="13121" max="13121" width="20" style="18" bestFit="1" customWidth="1"/>
    <col min="13122" max="13122" width="35.7109375" style="18" customWidth="1"/>
    <col min="13123" max="13123" width="21.140625" style="18" bestFit="1" customWidth="1"/>
    <col min="13124" max="13124" width="20.5703125" style="18" bestFit="1" customWidth="1"/>
    <col min="13125" max="13125" width="19.42578125" style="18" bestFit="1" customWidth="1"/>
    <col min="13126" max="13126" width="18.5703125" style="18" bestFit="1" customWidth="1"/>
    <col min="13127" max="13127" width="20.5703125" style="18" bestFit="1" customWidth="1"/>
    <col min="13128" max="13128" width="21.28515625" style="18" bestFit="1" customWidth="1"/>
    <col min="13129" max="13129" width="15.42578125" style="18" customWidth="1"/>
    <col min="13130" max="13130" width="20.7109375" style="18" customWidth="1"/>
    <col min="13131" max="13131" width="21.28515625" style="18" customWidth="1"/>
    <col min="13132" max="13132" width="14.85546875" style="18" bestFit="1" customWidth="1"/>
    <col min="13133" max="13133" width="23" style="18" bestFit="1" customWidth="1"/>
    <col min="13134" max="13134" width="21.28515625" style="18" bestFit="1" customWidth="1"/>
    <col min="13135" max="13135" width="20.28515625" style="18" bestFit="1" customWidth="1"/>
    <col min="13136" max="13136" width="21" style="18" bestFit="1" customWidth="1"/>
    <col min="13137" max="13137" width="18.85546875" style="18" bestFit="1" customWidth="1"/>
    <col min="13138" max="13138" width="80.7109375" style="18" customWidth="1"/>
    <col min="13139" max="13326" width="9.140625" style="18"/>
    <col min="13327" max="13327" width="2.5703125" style="18" customWidth="1"/>
    <col min="13328" max="13328" width="17.85546875" style="18" customWidth="1"/>
    <col min="13329" max="13329" width="41.5703125" style="18" customWidth="1"/>
    <col min="13330" max="13331" width="12" style="18" customWidth="1"/>
    <col min="13332" max="13332" width="17" style="18" customWidth="1"/>
    <col min="13333" max="13333" width="9.7109375" style="18" customWidth="1"/>
    <col min="13334" max="13334" width="12.28515625" style="18" customWidth="1"/>
    <col min="13335" max="13335" width="13.7109375" style="18" customWidth="1"/>
    <col min="13336" max="13336" width="13.5703125" style="18" bestFit="1" customWidth="1"/>
    <col min="13337" max="13337" width="13.5703125" style="18" customWidth="1"/>
    <col min="13338" max="13338" width="21" style="18" customWidth="1"/>
    <col min="13339" max="13342" width="13.42578125" style="18" customWidth="1"/>
    <col min="13343" max="13344" width="19" style="18" customWidth="1"/>
    <col min="13345" max="13345" width="34" style="18" customWidth="1"/>
    <col min="13346" max="13346" width="19" style="18" customWidth="1"/>
    <col min="13347" max="13347" width="20" style="18" bestFit="1" customWidth="1"/>
    <col min="13348" max="13348" width="20.28515625" style="18" bestFit="1" customWidth="1"/>
    <col min="13349" max="13349" width="26.7109375" style="18" customWidth="1"/>
    <col min="13350" max="13350" width="20.85546875" style="18" bestFit="1" customWidth="1"/>
    <col min="13351" max="13351" width="20.85546875" style="18" customWidth="1"/>
    <col min="13352" max="13352" width="18.85546875" style="18" customWidth="1"/>
    <col min="13353" max="13353" width="17.5703125" style="18" customWidth="1"/>
    <col min="13354" max="13355" width="19.42578125" style="18" customWidth="1"/>
    <col min="13356" max="13356" width="20.7109375" style="18" bestFit="1" customWidth="1"/>
    <col min="13357" max="13357" width="80.7109375" style="18" customWidth="1"/>
    <col min="13358" max="13358" width="14.7109375" style="18" bestFit="1" customWidth="1"/>
    <col min="13359" max="13359" width="18.140625" style="18" bestFit="1" customWidth="1"/>
    <col min="13360" max="13360" width="16.7109375" style="18" bestFit="1" customWidth="1"/>
    <col min="13361" max="13361" width="18.5703125" style="18" bestFit="1" customWidth="1"/>
    <col min="13362" max="13362" width="21.28515625" style="18" bestFit="1" customWidth="1"/>
    <col min="13363" max="13363" width="16.28515625" style="18" bestFit="1" customWidth="1"/>
    <col min="13364" max="13364" width="21.140625" style="18" bestFit="1" customWidth="1"/>
    <col min="13365" max="13365" width="19" style="18" bestFit="1" customWidth="1"/>
    <col min="13366" max="13366" width="19.140625" style="18" customWidth="1"/>
    <col min="13367" max="13367" width="16.7109375" style="18" customWidth="1"/>
    <col min="13368" max="13368" width="21.140625" style="18" bestFit="1" customWidth="1"/>
    <col min="13369" max="13369" width="20.42578125" style="18" bestFit="1" customWidth="1"/>
    <col min="13370" max="13370" width="21.140625" style="18" customWidth="1"/>
    <col min="13371" max="13371" width="20.5703125" style="18" bestFit="1" customWidth="1"/>
    <col min="13372" max="13372" width="19.7109375" style="18" bestFit="1" customWidth="1"/>
    <col min="13373" max="13373" width="20.28515625" style="18" customWidth="1"/>
    <col min="13374" max="13374" width="20.85546875" style="18" bestFit="1" customWidth="1"/>
    <col min="13375" max="13375" width="19.5703125" style="18" bestFit="1" customWidth="1"/>
    <col min="13376" max="13376" width="18" style="18" customWidth="1"/>
    <col min="13377" max="13377" width="20" style="18" bestFit="1" customWidth="1"/>
    <col min="13378" max="13378" width="35.7109375" style="18" customWidth="1"/>
    <col min="13379" max="13379" width="21.140625" style="18" bestFit="1" customWidth="1"/>
    <col min="13380" max="13380" width="20.5703125" style="18" bestFit="1" customWidth="1"/>
    <col min="13381" max="13381" width="19.42578125" style="18" bestFit="1" customWidth="1"/>
    <col min="13382" max="13382" width="18.5703125" style="18" bestFit="1" customWidth="1"/>
    <col min="13383" max="13383" width="20.5703125" style="18" bestFit="1" customWidth="1"/>
    <col min="13384" max="13384" width="21.28515625" style="18" bestFit="1" customWidth="1"/>
    <col min="13385" max="13385" width="15.42578125" style="18" customWidth="1"/>
    <col min="13386" max="13386" width="20.7109375" style="18" customWidth="1"/>
    <col min="13387" max="13387" width="21.28515625" style="18" customWidth="1"/>
    <col min="13388" max="13388" width="14.85546875" style="18" bestFit="1" customWidth="1"/>
    <col min="13389" max="13389" width="23" style="18" bestFit="1" customWidth="1"/>
    <col min="13390" max="13390" width="21.28515625" style="18" bestFit="1" customWidth="1"/>
    <col min="13391" max="13391" width="20.28515625" style="18" bestFit="1" customWidth="1"/>
    <col min="13392" max="13392" width="21" style="18" bestFit="1" customWidth="1"/>
    <col min="13393" max="13393" width="18.85546875" style="18" bestFit="1" customWidth="1"/>
    <col min="13394" max="13394" width="80.7109375" style="18" customWidth="1"/>
    <col min="13395" max="13582" width="9.140625" style="18"/>
    <col min="13583" max="13583" width="2.5703125" style="18" customWidth="1"/>
    <col min="13584" max="13584" width="17.85546875" style="18" customWidth="1"/>
    <col min="13585" max="13585" width="41.5703125" style="18" customWidth="1"/>
    <col min="13586" max="13587" width="12" style="18" customWidth="1"/>
    <col min="13588" max="13588" width="17" style="18" customWidth="1"/>
    <col min="13589" max="13589" width="9.7109375" style="18" customWidth="1"/>
    <col min="13590" max="13590" width="12.28515625" style="18" customWidth="1"/>
    <col min="13591" max="13591" width="13.7109375" style="18" customWidth="1"/>
    <col min="13592" max="13592" width="13.5703125" style="18" bestFit="1" customWidth="1"/>
    <col min="13593" max="13593" width="13.5703125" style="18" customWidth="1"/>
    <col min="13594" max="13594" width="21" style="18" customWidth="1"/>
    <col min="13595" max="13598" width="13.42578125" style="18" customWidth="1"/>
    <col min="13599" max="13600" width="19" style="18" customWidth="1"/>
    <col min="13601" max="13601" width="34" style="18" customWidth="1"/>
    <col min="13602" max="13602" width="19" style="18" customWidth="1"/>
    <col min="13603" max="13603" width="20" style="18" bestFit="1" customWidth="1"/>
    <col min="13604" max="13604" width="20.28515625" style="18" bestFit="1" customWidth="1"/>
    <col min="13605" max="13605" width="26.7109375" style="18" customWidth="1"/>
    <col min="13606" max="13606" width="20.85546875" style="18" bestFit="1" customWidth="1"/>
    <col min="13607" max="13607" width="20.85546875" style="18" customWidth="1"/>
    <col min="13608" max="13608" width="18.85546875" style="18" customWidth="1"/>
    <col min="13609" max="13609" width="17.5703125" style="18" customWidth="1"/>
    <col min="13610" max="13611" width="19.42578125" style="18" customWidth="1"/>
    <col min="13612" max="13612" width="20.7109375" style="18" bestFit="1" customWidth="1"/>
    <col min="13613" max="13613" width="80.7109375" style="18" customWidth="1"/>
    <col min="13614" max="13614" width="14.7109375" style="18" bestFit="1" customWidth="1"/>
    <col min="13615" max="13615" width="18.140625" style="18" bestFit="1" customWidth="1"/>
    <col min="13616" max="13616" width="16.7109375" style="18" bestFit="1" customWidth="1"/>
    <col min="13617" max="13617" width="18.5703125" style="18" bestFit="1" customWidth="1"/>
    <col min="13618" max="13618" width="21.28515625" style="18" bestFit="1" customWidth="1"/>
    <col min="13619" max="13619" width="16.28515625" style="18" bestFit="1" customWidth="1"/>
    <col min="13620" max="13620" width="21.140625" style="18" bestFit="1" customWidth="1"/>
    <col min="13621" max="13621" width="19" style="18" bestFit="1" customWidth="1"/>
    <col min="13622" max="13622" width="19.140625" style="18" customWidth="1"/>
    <col min="13623" max="13623" width="16.7109375" style="18" customWidth="1"/>
    <col min="13624" max="13624" width="21.140625" style="18" bestFit="1" customWidth="1"/>
    <col min="13625" max="13625" width="20.42578125" style="18" bestFit="1" customWidth="1"/>
    <col min="13626" max="13626" width="21.140625" style="18" customWidth="1"/>
    <col min="13627" max="13627" width="20.5703125" style="18" bestFit="1" customWidth="1"/>
    <col min="13628" max="13628" width="19.7109375" style="18" bestFit="1" customWidth="1"/>
    <col min="13629" max="13629" width="20.28515625" style="18" customWidth="1"/>
    <col min="13630" max="13630" width="20.85546875" style="18" bestFit="1" customWidth="1"/>
    <col min="13631" max="13631" width="19.5703125" style="18" bestFit="1" customWidth="1"/>
    <col min="13632" max="13632" width="18" style="18" customWidth="1"/>
    <col min="13633" max="13633" width="20" style="18" bestFit="1" customWidth="1"/>
    <col min="13634" max="13634" width="35.7109375" style="18" customWidth="1"/>
    <col min="13635" max="13635" width="21.140625" style="18" bestFit="1" customWidth="1"/>
    <col min="13636" max="13636" width="20.5703125" style="18" bestFit="1" customWidth="1"/>
    <col min="13637" max="13637" width="19.42578125" style="18" bestFit="1" customWidth="1"/>
    <col min="13638" max="13638" width="18.5703125" style="18" bestFit="1" customWidth="1"/>
    <col min="13639" max="13639" width="20.5703125" style="18" bestFit="1" customWidth="1"/>
    <col min="13640" max="13640" width="21.28515625" style="18" bestFit="1" customWidth="1"/>
    <col min="13641" max="13641" width="15.42578125" style="18" customWidth="1"/>
    <col min="13642" max="13642" width="20.7109375" style="18" customWidth="1"/>
    <col min="13643" max="13643" width="21.28515625" style="18" customWidth="1"/>
    <col min="13644" max="13644" width="14.85546875" style="18" bestFit="1" customWidth="1"/>
    <col min="13645" max="13645" width="23" style="18" bestFit="1" customWidth="1"/>
    <col min="13646" max="13646" width="21.28515625" style="18" bestFit="1" customWidth="1"/>
    <col min="13647" max="13647" width="20.28515625" style="18" bestFit="1" customWidth="1"/>
    <col min="13648" max="13648" width="21" style="18" bestFit="1" customWidth="1"/>
    <col min="13649" max="13649" width="18.85546875" style="18" bestFit="1" customWidth="1"/>
    <col min="13650" max="13650" width="80.7109375" style="18" customWidth="1"/>
    <col min="13651" max="13838" width="9.140625" style="18"/>
    <col min="13839" max="13839" width="2.5703125" style="18" customWidth="1"/>
    <col min="13840" max="13840" width="17.85546875" style="18" customWidth="1"/>
    <col min="13841" max="13841" width="41.5703125" style="18" customWidth="1"/>
    <col min="13842" max="13843" width="12" style="18" customWidth="1"/>
    <col min="13844" max="13844" width="17" style="18" customWidth="1"/>
    <col min="13845" max="13845" width="9.7109375" style="18" customWidth="1"/>
    <col min="13846" max="13846" width="12.28515625" style="18" customWidth="1"/>
    <col min="13847" max="13847" width="13.7109375" style="18" customWidth="1"/>
    <col min="13848" max="13848" width="13.5703125" style="18" bestFit="1" customWidth="1"/>
    <col min="13849" max="13849" width="13.5703125" style="18" customWidth="1"/>
    <col min="13850" max="13850" width="21" style="18" customWidth="1"/>
    <col min="13851" max="13854" width="13.42578125" style="18" customWidth="1"/>
    <col min="13855" max="13856" width="19" style="18" customWidth="1"/>
    <col min="13857" max="13857" width="34" style="18" customWidth="1"/>
    <col min="13858" max="13858" width="19" style="18" customWidth="1"/>
    <col min="13859" max="13859" width="20" style="18" bestFit="1" customWidth="1"/>
    <col min="13860" max="13860" width="20.28515625" style="18" bestFit="1" customWidth="1"/>
    <col min="13861" max="13861" width="26.7109375" style="18" customWidth="1"/>
    <col min="13862" max="13862" width="20.85546875" style="18" bestFit="1" customWidth="1"/>
    <col min="13863" max="13863" width="20.85546875" style="18" customWidth="1"/>
    <col min="13864" max="13864" width="18.85546875" style="18" customWidth="1"/>
    <col min="13865" max="13865" width="17.5703125" style="18" customWidth="1"/>
    <col min="13866" max="13867" width="19.42578125" style="18" customWidth="1"/>
    <col min="13868" max="13868" width="20.7109375" style="18" bestFit="1" customWidth="1"/>
    <col min="13869" max="13869" width="80.7109375" style="18" customWidth="1"/>
    <col min="13870" max="13870" width="14.7109375" style="18" bestFit="1" customWidth="1"/>
    <col min="13871" max="13871" width="18.140625" style="18" bestFit="1" customWidth="1"/>
    <col min="13872" max="13872" width="16.7109375" style="18" bestFit="1" customWidth="1"/>
    <col min="13873" max="13873" width="18.5703125" style="18" bestFit="1" customWidth="1"/>
    <col min="13874" max="13874" width="21.28515625" style="18" bestFit="1" customWidth="1"/>
    <col min="13875" max="13875" width="16.28515625" style="18" bestFit="1" customWidth="1"/>
    <col min="13876" max="13876" width="21.140625" style="18" bestFit="1" customWidth="1"/>
    <col min="13877" max="13877" width="19" style="18" bestFit="1" customWidth="1"/>
    <col min="13878" max="13878" width="19.140625" style="18" customWidth="1"/>
    <col min="13879" max="13879" width="16.7109375" style="18" customWidth="1"/>
    <col min="13880" max="13880" width="21.140625" style="18" bestFit="1" customWidth="1"/>
    <col min="13881" max="13881" width="20.42578125" style="18" bestFit="1" customWidth="1"/>
    <col min="13882" max="13882" width="21.140625" style="18" customWidth="1"/>
    <col min="13883" max="13883" width="20.5703125" style="18" bestFit="1" customWidth="1"/>
    <col min="13884" max="13884" width="19.7109375" style="18" bestFit="1" customWidth="1"/>
    <col min="13885" max="13885" width="20.28515625" style="18" customWidth="1"/>
    <col min="13886" max="13886" width="20.85546875" style="18" bestFit="1" customWidth="1"/>
    <col min="13887" max="13887" width="19.5703125" style="18" bestFit="1" customWidth="1"/>
    <col min="13888" max="13888" width="18" style="18" customWidth="1"/>
    <col min="13889" max="13889" width="20" style="18" bestFit="1" customWidth="1"/>
    <col min="13890" max="13890" width="35.7109375" style="18" customWidth="1"/>
    <col min="13891" max="13891" width="21.140625" style="18" bestFit="1" customWidth="1"/>
    <col min="13892" max="13892" width="20.5703125" style="18" bestFit="1" customWidth="1"/>
    <col min="13893" max="13893" width="19.42578125" style="18" bestFit="1" customWidth="1"/>
    <col min="13894" max="13894" width="18.5703125" style="18" bestFit="1" customWidth="1"/>
    <col min="13895" max="13895" width="20.5703125" style="18" bestFit="1" customWidth="1"/>
    <col min="13896" max="13896" width="21.28515625" style="18" bestFit="1" customWidth="1"/>
    <col min="13897" max="13897" width="15.42578125" style="18" customWidth="1"/>
    <col min="13898" max="13898" width="20.7109375" style="18" customWidth="1"/>
    <col min="13899" max="13899" width="21.28515625" style="18" customWidth="1"/>
    <col min="13900" max="13900" width="14.85546875" style="18" bestFit="1" customWidth="1"/>
    <col min="13901" max="13901" width="23" style="18" bestFit="1" customWidth="1"/>
    <col min="13902" max="13902" width="21.28515625" style="18" bestFit="1" customWidth="1"/>
    <col min="13903" max="13903" width="20.28515625" style="18" bestFit="1" customWidth="1"/>
    <col min="13904" max="13904" width="21" style="18" bestFit="1" customWidth="1"/>
    <col min="13905" max="13905" width="18.85546875" style="18" bestFit="1" customWidth="1"/>
    <col min="13906" max="13906" width="80.7109375" style="18" customWidth="1"/>
    <col min="13907" max="14094" width="9.140625" style="18"/>
    <col min="14095" max="14095" width="2.5703125" style="18" customWidth="1"/>
    <col min="14096" max="14096" width="17.85546875" style="18" customWidth="1"/>
    <col min="14097" max="14097" width="41.5703125" style="18" customWidth="1"/>
    <col min="14098" max="14099" width="12" style="18" customWidth="1"/>
    <col min="14100" max="14100" width="17" style="18" customWidth="1"/>
    <col min="14101" max="14101" width="9.7109375" style="18" customWidth="1"/>
    <col min="14102" max="14102" width="12.28515625" style="18" customWidth="1"/>
    <col min="14103" max="14103" width="13.7109375" style="18" customWidth="1"/>
    <col min="14104" max="14104" width="13.5703125" style="18" bestFit="1" customWidth="1"/>
    <col min="14105" max="14105" width="13.5703125" style="18" customWidth="1"/>
    <col min="14106" max="14106" width="21" style="18" customWidth="1"/>
    <col min="14107" max="14110" width="13.42578125" style="18" customWidth="1"/>
    <col min="14111" max="14112" width="19" style="18" customWidth="1"/>
    <col min="14113" max="14113" width="34" style="18" customWidth="1"/>
    <col min="14114" max="14114" width="19" style="18" customWidth="1"/>
    <col min="14115" max="14115" width="20" style="18" bestFit="1" customWidth="1"/>
    <col min="14116" max="14116" width="20.28515625" style="18" bestFit="1" customWidth="1"/>
    <col min="14117" max="14117" width="26.7109375" style="18" customWidth="1"/>
    <col min="14118" max="14118" width="20.85546875" style="18" bestFit="1" customWidth="1"/>
    <col min="14119" max="14119" width="20.85546875" style="18" customWidth="1"/>
    <col min="14120" max="14120" width="18.85546875" style="18" customWidth="1"/>
    <col min="14121" max="14121" width="17.5703125" style="18" customWidth="1"/>
    <col min="14122" max="14123" width="19.42578125" style="18" customWidth="1"/>
    <col min="14124" max="14124" width="20.7109375" style="18" bestFit="1" customWidth="1"/>
    <col min="14125" max="14125" width="80.7109375" style="18" customWidth="1"/>
    <col min="14126" max="14126" width="14.7109375" style="18" bestFit="1" customWidth="1"/>
    <col min="14127" max="14127" width="18.140625" style="18" bestFit="1" customWidth="1"/>
    <col min="14128" max="14128" width="16.7109375" style="18" bestFit="1" customWidth="1"/>
    <col min="14129" max="14129" width="18.5703125" style="18" bestFit="1" customWidth="1"/>
    <col min="14130" max="14130" width="21.28515625" style="18" bestFit="1" customWidth="1"/>
    <col min="14131" max="14131" width="16.28515625" style="18" bestFit="1" customWidth="1"/>
    <col min="14132" max="14132" width="21.140625" style="18" bestFit="1" customWidth="1"/>
    <col min="14133" max="14133" width="19" style="18" bestFit="1" customWidth="1"/>
    <col min="14134" max="14134" width="19.140625" style="18" customWidth="1"/>
    <col min="14135" max="14135" width="16.7109375" style="18" customWidth="1"/>
    <col min="14136" max="14136" width="21.140625" style="18" bestFit="1" customWidth="1"/>
    <col min="14137" max="14137" width="20.42578125" style="18" bestFit="1" customWidth="1"/>
    <col min="14138" max="14138" width="21.140625" style="18" customWidth="1"/>
    <col min="14139" max="14139" width="20.5703125" style="18" bestFit="1" customWidth="1"/>
    <col min="14140" max="14140" width="19.7109375" style="18" bestFit="1" customWidth="1"/>
    <col min="14141" max="14141" width="20.28515625" style="18" customWidth="1"/>
    <col min="14142" max="14142" width="20.85546875" style="18" bestFit="1" customWidth="1"/>
    <col min="14143" max="14143" width="19.5703125" style="18" bestFit="1" customWidth="1"/>
    <col min="14144" max="14144" width="18" style="18" customWidth="1"/>
    <col min="14145" max="14145" width="20" style="18" bestFit="1" customWidth="1"/>
    <col min="14146" max="14146" width="35.7109375" style="18" customWidth="1"/>
    <col min="14147" max="14147" width="21.140625" style="18" bestFit="1" customWidth="1"/>
    <col min="14148" max="14148" width="20.5703125" style="18" bestFit="1" customWidth="1"/>
    <col min="14149" max="14149" width="19.42578125" style="18" bestFit="1" customWidth="1"/>
    <col min="14150" max="14150" width="18.5703125" style="18" bestFit="1" customWidth="1"/>
    <col min="14151" max="14151" width="20.5703125" style="18" bestFit="1" customWidth="1"/>
    <col min="14152" max="14152" width="21.28515625" style="18" bestFit="1" customWidth="1"/>
    <col min="14153" max="14153" width="15.42578125" style="18" customWidth="1"/>
    <col min="14154" max="14154" width="20.7109375" style="18" customWidth="1"/>
    <col min="14155" max="14155" width="21.28515625" style="18" customWidth="1"/>
    <col min="14156" max="14156" width="14.85546875" style="18" bestFit="1" customWidth="1"/>
    <col min="14157" max="14157" width="23" style="18" bestFit="1" customWidth="1"/>
    <col min="14158" max="14158" width="21.28515625" style="18" bestFit="1" customWidth="1"/>
    <col min="14159" max="14159" width="20.28515625" style="18" bestFit="1" customWidth="1"/>
    <col min="14160" max="14160" width="21" style="18" bestFit="1" customWidth="1"/>
    <col min="14161" max="14161" width="18.85546875" style="18" bestFit="1" customWidth="1"/>
    <col min="14162" max="14162" width="80.7109375" style="18" customWidth="1"/>
    <col min="14163" max="14350" width="9.140625" style="18"/>
    <col min="14351" max="14351" width="2.5703125" style="18" customWidth="1"/>
    <col min="14352" max="14352" width="17.85546875" style="18" customWidth="1"/>
    <col min="14353" max="14353" width="41.5703125" style="18" customWidth="1"/>
    <col min="14354" max="14355" width="12" style="18" customWidth="1"/>
    <col min="14356" max="14356" width="17" style="18" customWidth="1"/>
    <col min="14357" max="14357" width="9.7109375" style="18" customWidth="1"/>
    <col min="14358" max="14358" width="12.28515625" style="18" customWidth="1"/>
    <col min="14359" max="14359" width="13.7109375" style="18" customWidth="1"/>
    <col min="14360" max="14360" width="13.5703125" style="18" bestFit="1" customWidth="1"/>
    <col min="14361" max="14361" width="13.5703125" style="18" customWidth="1"/>
    <col min="14362" max="14362" width="21" style="18" customWidth="1"/>
    <col min="14363" max="14366" width="13.42578125" style="18" customWidth="1"/>
    <col min="14367" max="14368" width="19" style="18" customWidth="1"/>
    <col min="14369" max="14369" width="34" style="18" customWidth="1"/>
    <col min="14370" max="14370" width="19" style="18" customWidth="1"/>
    <col min="14371" max="14371" width="20" style="18" bestFit="1" customWidth="1"/>
    <col min="14372" max="14372" width="20.28515625" style="18" bestFit="1" customWidth="1"/>
    <col min="14373" max="14373" width="26.7109375" style="18" customWidth="1"/>
    <col min="14374" max="14374" width="20.85546875" style="18" bestFit="1" customWidth="1"/>
    <col min="14375" max="14375" width="20.85546875" style="18" customWidth="1"/>
    <col min="14376" max="14376" width="18.85546875" style="18" customWidth="1"/>
    <col min="14377" max="14377" width="17.5703125" style="18" customWidth="1"/>
    <col min="14378" max="14379" width="19.42578125" style="18" customWidth="1"/>
    <col min="14380" max="14380" width="20.7109375" style="18" bestFit="1" customWidth="1"/>
    <col min="14381" max="14381" width="80.7109375" style="18" customWidth="1"/>
    <col min="14382" max="14382" width="14.7109375" style="18" bestFit="1" customWidth="1"/>
    <col min="14383" max="14383" width="18.140625" style="18" bestFit="1" customWidth="1"/>
    <col min="14384" max="14384" width="16.7109375" style="18" bestFit="1" customWidth="1"/>
    <col min="14385" max="14385" width="18.5703125" style="18" bestFit="1" customWidth="1"/>
    <col min="14386" max="14386" width="21.28515625" style="18" bestFit="1" customWidth="1"/>
    <col min="14387" max="14387" width="16.28515625" style="18" bestFit="1" customWidth="1"/>
    <col min="14388" max="14388" width="21.140625" style="18" bestFit="1" customWidth="1"/>
    <col min="14389" max="14389" width="19" style="18" bestFit="1" customWidth="1"/>
    <col min="14390" max="14390" width="19.140625" style="18" customWidth="1"/>
    <col min="14391" max="14391" width="16.7109375" style="18" customWidth="1"/>
    <col min="14392" max="14392" width="21.140625" style="18" bestFit="1" customWidth="1"/>
    <col min="14393" max="14393" width="20.42578125" style="18" bestFit="1" customWidth="1"/>
    <col min="14394" max="14394" width="21.140625" style="18" customWidth="1"/>
    <col min="14395" max="14395" width="20.5703125" style="18" bestFit="1" customWidth="1"/>
    <col min="14396" max="14396" width="19.7109375" style="18" bestFit="1" customWidth="1"/>
    <col min="14397" max="14397" width="20.28515625" style="18" customWidth="1"/>
    <col min="14398" max="14398" width="20.85546875" style="18" bestFit="1" customWidth="1"/>
    <col min="14399" max="14399" width="19.5703125" style="18" bestFit="1" customWidth="1"/>
    <col min="14400" max="14400" width="18" style="18" customWidth="1"/>
    <col min="14401" max="14401" width="20" style="18" bestFit="1" customWidth="1"/>
    <col min="14402" max="14402" width="35.7109375" style="18" customWidth="1"/>
    <col min="14403" max="14403" width="21.140625" style="18" bestFit="1" customWidth="1"/>
    <col min="14404" max="14404" width="20.5703125" style="18" bestFit="1" customWidth="1"/>
    <col min="14405" max="14405" width="19.42578125" style="18" bestFit="1" customWidth="1"/>
    <col min="14406" max="14406" width="18.5703125" style="18" bestFit="1" customWidth="1"/>
    <col min="14407" max="14407" width="20.5703125" style="18" bestFit="1" customWidth="1"/>
    <col min="14408" max="14408" width="21.28515625" style="18" bestFit="1" customWidth="1"/>
    <col min="14409" max="14409" width="15.42578125" style="18" customWidth="1"/>
    <col min="14410" max="14410" width="20.7109375" style="18" customWidth="1"/>
    <col min="14411" max="14411" width="21.28515625" style="18" customWidth="1"/>
    <col min="14412" max="14412" width="14.85546875" style="18" bestFit="1" customWidth="1"/>
    <col min="14413" max="14413" width="23" style="18" bestFit="1" customWidth="1"/>
    <col min="14414" max="14414" width="21.28515625" style="18" bestFit="1" customWidth="1"/>
    <col min="14415" max="14415" width="20.28515625" style="18" bestFit="1" customWidth="1"/>
    <col min="14416" max="14416" width="21" style="18" bestFit="1" customWidth="1"/>
    <col min="14417" max="14417" width="18.85546875" style="18" bestFit="1" customWidth="1"/>
    <col min="14418" max="14418" width="80.7109375" style="18" customWidth="1"/>
    <col min="14419" max="14606" width="9.140625" style="18"/>
    <col min="14607" max="14607" width="2.5703125" style="18" customWidth="1"/>
    <col min="14608" max="14608" width="17.85546875" style="18" customWidth="1"/>
    <col min="14609" max="14609" width="41.5703125" style="18" customWidth="1"/>
    <col min="14610" max="14611" width="12" style="18" customWidth="1"/>
    <col min="14612" max="14612" width="17" style="18" customWidth="1"/>
    <col min="14613" max="14613" width="9.7109375" style="18" customWidth="1"/>
    <col min="14614" max="14614" width="12.28515625" style="18" customWidth="1"/>
    <col min="14615" max="14615" width="13.7109375" style="18" customWidth="1"/>
    <col min="14616" max="14616" width="13.5703125" style="18" bestFit="1" customWidth="1"/>
    <col min="14617" max="14617" width="13.5703125" style="18" customWidth="1"/>
    <col min="14618" max="14618" width="21" style="18" customWidth="1"/>
    <col min="14619" max="14622" width="13.42578125" style="18" customWidth="1"/>
    <col min="14623" max="14624" width="19" style="18" customWidth="1"/>
    <col min="14625" max="14625" width="34" style="18" customWidth="1"/>
    <col min="14626" max="14626" width="19" style="18" customWidth="1"/>
    <col min="14627" max="14627" width="20" style="18" bestFit="1" customWidth="1"/>
    <col min="14628" max="14628" width="20.28515625" style="18" bestFit="1" customWidth="1"/>
    <col min="14629" max="14629" width="26.7109375" style="18" customWidth="1"/>
    <col min="14630" max="14630" width="20.85546875" style="18" bestFit="1" customWidth="1"/>
    <col min="14631" max="14631" width="20.85546875" style="18" customWidth="1"/>
    <col min="14632" max="14632" width="18.85546875" style="18" customWidth="1"/>
    <col min="14633" max="14633" width="17.5703125" style="18" customWidth="1"/>
    <col min="14634" max="14635" width="19.42578125" style="18" customWidth="1"/>
    <col min="14636" max="14636" width="20.7109375" style="18" bestFit="1" customWidth="1"/>
    <col min="14637" max="14637" width="80.7109375" style="18" customWidth="1"/>
    <col min="14638" max="14638" width="14.7109375" style="18" bestFit="1" customWidth="1"/>
    <col min="14639" max="14639" width="18.140625" style="18" bestFit="1" customWidth="1"/>
    <col min="14640" max="14640" width="16.7109375" style="18" bestFit="1" customWidth="1"/>
    <col min="14641" max="14641" width="18.5703125" style="18" bestFit="1" customWidth="1"/>
    <col min="14642" max="14642" width="21.28515625" style="18" bestFit="1" customWidth="1"/>
    <col min="14643" max="14643" width="16.28515625" style="18" bestFit="1" customWidth="1"/>
    <col min="14644" max="14644" width="21.140625" style="18" bestFit="1" customWidth="1"/>
    <col min="14645" max="14645" width="19" style="18" bestFit="1" customWidth="1"/>
    <col min="14646" max="14646" width="19.140625" style="18" customWidth="1"/>
    <col min="14647" max="14647" width="16.7109375" style="18" customWidth="1"/>
    <col min="14648" max="14648" width="21.140625" style="18" bestFit="1" customWidth="1"/>
    <col min="14649" max="14649" width="20.42578125" style="18" bestFit="1" customWidth="1"/>
    <col min="14650" max="14650" width="21.140625" style="18" customWidth="1"/>
    <col min="14651" max="14651" width="20.5703125" style="18" bestFit="1" customWidth="1"/>
    <col min="14652" max="14652" width="19.7109375" style="18" bestFit="1" customWidth="1"/>
    <col min="14653" max="14653" width="20.28515625" style="18" customWidth="1"/>
    <col min="14654" max="14654" width="20.85546875" style="18" bestFit="1" customWidth="1"/>
    <col min="14655" max="14655" width="19.5703125" style="18" bestFit="1" customWidth="1"/>
    <col min="14656" max="14656" width="18" style="18" customWidth="1"/>
    <col min="14657" max="14657" width="20" style="18" bestFit="1" customWidth="1"/>
    <col min="14658" max="14658" width="35.7109375" style="18" customWidth="1"/>
    <col min="14659" max="14659" width="21.140625" style="18" bestFit="1" customWidth="1"/>
    <col min="14660" max="14660" width="20.5703125" style="18" bestFit="1" customWidth="1"/>
    <col min="14661" max="14661" width="19.42578125" style="18" bestFit="1" customWidth="1"/>
    <col min="14662" max="14662" width="18.5703125" style="18" bestFit="1" customWidth="1"/>
    <col min="14663" max="14663" width="20.5703125" style="18" bestFit="1" customWidth="1"/>
    <col min="14664" max="14664" width="21.28515625" style="18" bestFit="1" customWidth="1"/>
    <col min="14665" max="14665" width="15.42578125" style="18" customWidth="1"/>
    <col min="14666" max="14666" width="20.7109375" style="18" customWidth="1"/>
    <col min="14667" max="14667" width="21.28515625" style="18" customWidth="1"/>
    <col min="14668" max="14668" width="14.85546875" style="18" bestFit="1" customWidth="1"/>
    <col min="14669" max="14669" width="23" style="18" bestFit="1" customWidth="1"/>
    <col min="14670" max="14670" width="21.28515625" style="18" bestFit="1" customWidth="1"/>
    <col min="14671" max="14671" width="20.28515625" style="18" bestFit="1" customWidth="1"/>
    <col min="14672" max="14672" width="21" style="18" bestFit="1" customWidth="1"/>
    <col min="14673" max="14673" width="18.85546875" style="18" bestFit="1" customWidth="1"/>
    <col min="14674" max="14674" width="80.7109375" style="18" customWidth="1"/>
    <col min="14675" max="14862" width="9.140625" style="18"/>
    <col min="14863" max="14863" width="2.5703125" style="18" customWidth="1"/>
    <col min="14864" max="14864" width="17.85546875" style="18" customWidth="1"/>
    <col min="14865" max="14865" width="41.5703125" style="18" customWidth="1"/>
    <col min="14866" max="14867" width="12" style="18" customWidth="1"/>
    <col min="14868" max="14868" width="17" style="18" customWidth="1"/>
    <col min="14869" max="14869" width="9.7109375" style="18" customWidth="1"/>
    <col min="14870" max="14870" width="12.28515625" style="18" customWidth="1"/>
    <col min="14871" max="14871" width="13.7109375" style="18" customWidth="1"/>
    <col min="14872" max="14872" width="13.5703125" style="18" bestFit="1" customWidth="1"/>
    <col min="14873" max="14873" width="13.5703125" style="18" customWidth="1"/>
    <col min="14874" max="14874" width="21" style="18" customWidth="1"/>
    <col min="14875" max="14878" width="13.42578125" style="18" customWidth="1"/>
    <col min="14879" max="14880" width="19" style="18" customWidth="1"/>
    <col min="14881" max="14881" width="34" style="18" customWidth="1"/>
    <col min="14882" max="14882" width="19" style="18" customWidth="1"/>
    <col min="14883" max="14883" width="20" style="18" bestFit="1" customWidth="1"/>
    <col min="14884" max="14884" width="20.28515625" style="18" bestFit="1" customWidth="1"/>
    <col min="14885" max="14885" width="26.7109375" style="18" customWidth="1"/>
    <col min="14886" max="14886" width="20.85546875" style="18" bestFit="1" customWidth="1"/>
    <col min="14887" max="14887" width="20.85546875" style="18" customWidth="1"/>
    <col min="14888" max="14888" width="18.85546875" style="18" customWidth="1"/>
    <col min="14889" max="14889" width="17.5703125" style="18" customWidth="1"/>
    <col min="14890" max="14891" width="19.42578125" style="18" customWidth="1"/>
    <col min="14892" max="14892" width="20.7109375" style="18" bestFit="1" customWidth="1"/>
    <col min="14893" max="14893" width="80.7109375" style="18" customWidth="1"/>
    <col min="14894" max="14894" width="14.7109375" style="18" bestFit="1" customWidth="1"/>
    <col min="14895" max="14895" width="18.140625" style="18" bestFit="1" customWidth="1"/>
    <col min="14896" max="14896" width="16.7109375" style="18" bestFit="1" customWidth="1"/>
    <col min="14897" max="14897" width="18.5703125" style="18" bestFit="1" customWidth="1"/>
    <col min="14898" max="14898" width="21.28515625" style="18" bestFit="1" customWidth="1"/>
    <col min="14899" max="14899" width="16.28515625" style="18" bestFit="1" customWidth="1"/>
    <col min="14900" max="14900" width="21.140625" style="18" bestFit="1" customWidth="1"/>
    <col min="14901" max="14901" width="19" style="18" bestFit="1" customWidth="1"/>
    <col min="14902" max="14902" width="19.140625" style="18" customWidth="1"/>
    <col min="14903" max="14903" width="16.7109375" style="18" customWidth="1"/>
    <col min="14904" max="14904" width="21.140625" style="18" bestFit="1" customWidth="1"/>
    <col min="14905" max="14905" width="20.42578125" style="18" bestFit="1" customWidth="1"/>
    <col min="14906" max="14906" width="21.140625" style="18" customWidth="1"/>
    <col min="14907" max="14907" width="20.5703125" style="18" bestFit="1" customWidth="1"/>
    <col min="14908" max="14908" width="19.7109375" style="18" bestFit="1" customWidth="1"/>
    <col min="14909" max="14909" width="20.28515625" style="18" customWidth="1"/>
    <col min="14910" max="14910" width="20.85546875" style="18" bestFit="1" customWidth="1"/>
    <col min="14911" max="14911" width="19.5703125" style="18" bestFit="1" customWidth="1"/>
    <col min="14912" max="14912" width="18" style="18" customWidth="1"/>
    <col min="14913" max="14913" width="20" style="18" bestFit="1" customWidth="1"/>
    <col min="14914" max="14914" width="35.7109375" style="18" customWidth="1"/>
    <col min="14915" max="14915" width="21.140625" style="18" bestFit="1" customWidth="1"/>
    <col min="14916" max="14916" width="20.5703125" style="18" bestFit="1" customWidth="1"/>
    <col min="14917" max="14917" width="19.42578125" style="18" bestFit="1" customWidth="1"/>
    <col min="14918" max="14918" width="18.5703125" style="18" bestFit="1" customWidth="1"/>
    <col min="14919" max="14919" width="20.5703125" style="18" bestFit="1" customWidth="1"/>
    <col min="14920" max="14920" width="21.28515625" style="18" bestFit="1" customWidth="1"/>
    <col min="14921" max="14921" width="15.42578125" style="18" customWidth="1"/>
    <col min="14922" max="14922" width="20.7109375" style="18" customWidth="1"/>
    <col min="14923" max="14923" width="21.28515625" style="18" customWidth="1"/>
    <col min="14924" max="14924" width="14.85546875" style="18" bestFit="1" customWidth="1"/>
    <col min="14925" max="14925" width="23" style="18" bestFit="1" customWidth="1"/>
    <col min="14926" max="14926" width="21.28515625" style="18" bestFit="1" customWidth="1"/>
    <col min="14927" max="14927" width="20.28515625" style="18" bestFit="1" customWidth="1"/>
    <col min="14928" max="14928" width="21" style="18" bestFit="1" customWidth="1"/>
    <col min="14929" max="14929" width="18.85546875" style="18" bestFit="1" customWidth="1"/>
    <col min="14930" max="14930" width="80.7109375" style="18" customWidth="1"/>
    <col min="14931" max="15118" width="9.140625" style="18"/>
    <col min="15119" max="15119" width="2.5703125" style="18" customWidth="1"/>
    <col min="15120" max="15120" width="17.85546875" style="18" customWidth="1"/>
    <col min="15121" max="15121" width="41.5703125" style="18" customWidth="1"/>
    <col min="15122" max="15123" width="12" style="18" customWidth="1"/>
    <col min="15124" max="15124" width="17" style="18" customWidth="1"/>
    <col min="15125" max="15125" width="9.7109375" style="18" customWidth="1"/>
    <col min="15126" max="15126" width="12.28515625" style="18" customWidth="1"/>
    <col min="15127" max="15127" width="13.7109375" style="18" customWidth="1"/>
    <col min="15128" max="15128" width="13.5703125" style="18" bestFit="1" customWidth="1"/>
    <col min="15129" max="15129" width="13.5703125" style="18" customWidth="1"/>
    <col min="15130" max="15130" width="21" style="18" customWidth="1"/>
    <col min="15131" max="15134" width="13.42578125" style="18" customWidth="1"/>
    <col min="15135" max="15136" width="19" style="18" customWidth="1"/>
    <col min="15137" max="15137" width="34" style="18" customWidth="1"/>
    <col min="15138" max="15138" width="19" style="18" customWidth="1"/>
    <col min="15139" max="15139" width="20" style="18" bestFit="1" customWidth="1"/>
    <col min="15140" max="15140" width="20.28515625" style="18" bestFit="1" customWidth="1"/>
    <col min="15141" max="15141" width="26.7109375" style="18" customWidth="1"/>
    <col min="15142" max="15142" width="20.85546875" style="18" bestFit="1" customWidth="1"/>
    <col min="15143" max="15143" width="20.85546875" style="18" customWidth="1"/>
    <col min="15144" max="15144" width="18.85546875" style="18" customWidth="1"/>
    <col min="15145" max="15145" width="17.5703125" style="18" customWidth="1"/>
    <col min="15146" max="15147" width="19.42578125" style="18" customWidth="1"/>
    <col min="15148" max="15148" width="20.7109375" style="18" bestFit="1" customWidth="1"/>
    <col min="15149" max="15149" width="80.7109375" style="18" customWidth="1"/>
    <col min="15150" max="15150" width="14.7109375" style="18" bestFit="1" customWidth="1"/>
    <col min="15151" max="15151" width="18.140625" style="18" bestFit="1" customWidth="1"/>
    <col min="15152" max="15152" width="16.7109375" style="18" bestFit="1" customWidth="1"/>
    <col min="15153" max="15153" width="18.5703125" style="18" bestFit="1" customWidth="1"/>
    <col min="15154" max="15154" width="21.28515625" style="18" bestFit="1" customWidth="1"/>
    <col min="15155" max="15155" width="16.28515625" style="18" bestFit="1" customWidth="1"/>
    <col min="15156" max="15156" width="21.140625" style="18" bestFit="1" customWidth="1"/>
    <col min="15157" max="15157" width="19" style="18" bestFit="1" customWidth="1"/>
    <col min="15158" max="15158" width="19.140625" style="18" customWidth="1"/>
    <col min="15159" max="15159" width="16.7109375" style="18" customWidth="1"/>
    <col min="15160" max="15160" width="21.140625" style="18" bestFit="1" customWidth="1"/>
    <col min="15161" max="15161" width="20.42578125" style="18" bestFit="1" customWidth="1"/>
    <col min="15162" max="15162" width="21.140625" style="18" customWidth="1"/>
    <col min="15163" max="15163" width="20.5703125" style="18" bestFit="1" customWidth="1"/>
    <col min="15164" max="15164" width="19.7109375" style="18" bestFit="1" customWidth="1"/>
    <col min="15165" max="15165" width="20.28515625" style="18" customWidth="1"/>
    <col min="15166" max="15166" width="20.85546875" style="18" bestFit="1" customWidth="1"/>
    <col min="15167" max="15167" width="19.5703125" style="18" bestFit="1" customWidth="1"/>
    <col min="15168" max="15168" width="18" style="18" customWidth="1"/>
    <col min="15169" max="15169" width="20" style="18" bestFit="1" customWidth="1"/>
    <col min="15170" max="15170" width="35.7109375" style="18" customWidth="1"/>
    <col min="15171" max="15171" width="21.140625" style="18" bestFit="1" customWidth="1"/>
    <col min="15172" max="15172" width="20.5703125" style="18" bestFit="1" customWidth="1"/>
    <col min="15173" max="15173" width="19.42578125" style="18" bestFit="1" customWidth="1"/>
    <col min="15174" max="15174" width="18.5703125" style="18" bestFit="1" customWidth="1"/>
    <col min="15175" max="15175" width="20.5703125" style="18" bestFit="1" customWidth="1"/>
    <col min="15176" max="15176" width="21.28515625" style="18" bestFit="1" customWidth="1"/>
    <col min="15177" max="15177" width="15.42578125" style="18" customWidth="1"/>
    <col min="15178" max="15178" width="20.7109375" style="18" customWidth="1"/>
    <col min="15179" max="15179" width="21.28515625" style="18" customWidth="1"/>
    <col min="15180" max="15180" width="14.85546875" style="18" bestFit="1" customWidth="1"/>
    <col min="15181" max="15181" width="23" style="18" bestFit="1" customWidth="1"/>
    <col min="15182" max="15182" width="21.28515625" style="18" bestFit="1" customWidth="1"/>
    <col min="15183" max="15183" width="20.28515625" style="18" bestFit="1" customWidth="1"/>
    <col min="15184" max="15184" width="21" style="18" bestFit="1" customWidth="1"/>
    <col min="15185" max="15185" width="18.85546875" style="18" bestFit="1" customWidth="1"/>
    <col min="15186" max="15186" width="80.7109375" style="18" customWidth="1"/>
    <col min="15187" max="15374" width="9.140625" style="18"/>
    <col min="15375" max="15375" width="2.5703125" style="18" customWidth="1"/>
    <col min="15376" max="15376" width="17.85546875" style="18" customWidth="1"/>
    <col min="15377" max="15377" width="41.5703125" style="18" customWidth="1"/>
    <col min="15378" max="15379" width="12" style="18" customWidth="1"/>
    <col min="15380" max="15380" width="17" style="18" customWidth="1"/>
    <col min="15381" max="15381" width="9.7109375" style="18" customWidth="1"/>
    <col min="15382" max="15382" width="12.28515625" style="18" customWidth="1"/>
    <col min="15383" max="15383" width="13.7109375" style="18" customWidth="1"/>
    <col min="15384" max="15384" width="13.5703125" style="18" bestFit="1" customWidth="1"/>
    <col min="15385" max="15385" width="13.5703125" style="18" customWidth="1"/>
    <col min="15386" max="15386" width="21" style="18" customWidth="1"/>
    <col min="15387" max="15390" width="13.42578125" style="18" customWidth="1"/>
    <col min="15391" max="15392" width="19" style="18" customWidth="1"/>
    <col min="15393" max="15393" width="34" style="18" customWidth="1"/>
    <col min="15394" max="15394" width="19" style="18" customWidth="1"/>
    <col min="15395" max="15395" width="20" style="18" bestFit="1" customWidth="1"/>
    <col min="15396" max="15396" width="20.28515625" style="18" bestFit="1" customWidth="1"/>
    <col min="15397" max="15397" width="26.7109375" style="18" customWidth="1"/>
    <col min="15398" max="15398" width="20.85546875" style="18" bestFit="1" customWidth="1"/>
    <col min="15399" max="15399" width="20.85546875" style="18" customWidth="1"/>
    <col min="15400" max="15400" width="18.85546875" style="18" customWidth="1"/>
    <col min="15401" max="15401" width="17.5703125" style="18" customWidth="1"/>
    <col min="15402" max="15403" width="19.42578125" style="18" customWidth="1"/>
    <col min="15404" max="15404" width="20.7109375" style="18" bestFit="1" customWidth="1"/>
    <col min="15405" max="15405" width="80.7109375" style="18" customWidth="1"/>
    <col min="15406" max="15406" width="14.7109375" style="18" bestFit="1" customWidth="1"/>
    <col min="15407" max="15407" width="18.140625" style="18" bestFit="1" customWidth="1"/>
    <col min="15408" max="15408" width="16.7109375" style="18" bestFit="1" customWidth="1"/>
    <col min="15409" max="15409" width="18.5703125" style="18" bestFit="1" customWidth="1"/>
    <col min="15410" max="15410" width="21.28515625" style="18" bestFit="1" customWidth="1"/>
    <col min="15411" max="15411" width="16.28515625" style="18" bestFit="1" customWidth="1"/>
    <col min="15412" max="15412" width="21.140625" style="18" bestFit="1" customWidth="1"/>
    <col min="15413" max="15413" width="19" style="18" bestFit="1" customWidth="1"/>
    <col min="15414" max="15414" width="19.140625" style="18" customWidth="1"/>
    <col min="15415" max="15415" width="16.7109375" style="18" customWidth="1"/>
    <col min="15416" max="15416" width="21.140625" style="18" bestFit="1" customWidth="1"/>
    <col min="15417" max="15417" width="20.42578125" style="18" bestFit="1" customWidth="1"/>
    <col min="15418" max="15418" width="21.140625" style="18" customWidth="1"/>
    <col min="15419" max="15419" width="20.5703125" style="18" bestFit="1" customWidth="1"/>
    <col min="15420" max="15420" width="19.7109375" style="18" bestFit="1" customWidth="1"/>
    <col min="15421" max="15421" width="20.28515625" style="18" customWidth="1"/>
    <col min="15422" max="15422" width="20.85546875" style="18" bestFit="1" customWidth="1"/>
    <col min="15423" max="15423" width="19.5703125" style="18" bestFit="1" customWidth="1"/>
    <col min="15424" max="15424" width="18" style="18" customWidth="1"/>
    <col min="15425" max="15425" width="20" style="18" bestFit="1" customWidth="1"/>
    <col min="15426" max="15426" width="35.7109375" style="18" customWidth="1"/>
    <col min="15427" max="15427" width="21.140625" style="18" bestFit="1" customWidth="1"/>
    <col min="15428" max="15428" width="20.5703125" style="18" bestFit="1" customWidth="1"/>
    <col min="15429" max="15429" width="19.42578125" style="18" bestFit="1" customWidth="1"/>
    <col min="15430" max="15430" width="18.5703125" style="18" bestFit="1" customWidth="1"/>
    <col min="15431" max="15431" width="20.5703125" style="18" bestFit="1" customWidth="1"/>
    <col min="15432" max="15432" width="21.28515625" style="18" bestFit="1" customWidth="1"/>
    <col min="15433" max="15433" width="15.42578125" style="18" customWidth="1"/>
    <col min="15434" max="15434" width="20.7109375" style="18" customWidth="1"/>
    <col min="15435" max="15435" width="21.28515625" style="18" customWidth="1"/>
    <col min="15436" max="15436" width="14.85546875" style="18" bestFit="1" customWidth="1"/>
    <col min="15437" max="15437" width="23" style="18" bestFit="1" customWidth="1"/>
    <col min="15438" max="15438" width="21.28515625" style="18" bestFit="1" customWidth="1"/>
    <col min="15439" max="15439" width="20.28515625" style="18" bestFit="1" customWidth="1"/>
    <col min="15440" max="15440" width="21" style="18" bestFit="1" customWidth="1"/>
    <col min="15441" max="15441" width="18.85546875" style="18" bestFit="1" customWidth="1"/>
    <col min="15442" max="15442" width="80.7109375" style="18" customWidth="1"/>
    <col min="15443" max="15630" width="9.140625" style="18"/>
    <col min="15631" max="15631" width="2.5703125" style="18" customWidth="1"/>
    <col min="15632" max="15632" width="17.85546875" style="18" customWidth="1"/>
    <col min="15633" max="15633" width="41.5703125" style="18" customWidth="1"/>
    <col min="15634" max="15635" width="12" style="18" customWidth="1"/>
    <col min="15636" max="15636" width="17" style="18" customWidth="1"/>
    <col min="15637" max="15637" width="9.7109375" style="18" customWidth="1"/>
    <col min="15638" max="15638" width="12.28515625" style="18" customWidth="1"/>
    <col min="15639" max="15639" width="13.7109375" style="18" customWidth="1"/>
    <col min="15640" max="15640" width="13.5703125" style="18" bestFit="1" customWidth="1"/>
    <col min="15641" max="15641" width="13.5703125" style="18" customWidth="1"/>
    <col min="15642" max="15642" width="21" style="18" customWidth="1"/>
    <col min="15643" max="15646" width="13.42578125" style="18" customWidth="1"/>
    <col min="15647" max="15648" width="19" style="18" customWidth="1"/>
    <col min="15649" max="15649" width="34" style="18" customWidth="1"/>
    <col min="15650" max="15650" width="19" style="18" customWidth="1"/>
    <col min="15651" max="15651" width="20" style="18" bestFit="1" customWidth="1"/>
    <col min="15652" max="15652" width="20.28515625" style="18" bestFit="1" customWidth="1"/>
    <col min="15653" max="15653" width="26.7109375" style="18" customWidth="1"/>
    <col min="15654" max="15654" width="20.85546875" style="18" bestFit="1" customWidth="1"/>
    <col min="15655" max="15655" width="20.85546875" style="18" customWidth="1"/>
    <col min="15656" max="15656" width="18.85546875" style="18" customWidth="1"/>
    <col min="15657" max="15657" width="17.5703125" style="18" customWidth="1"/>
    <col min="15658" max="15659" width="19.42578125" style="18" customWidth="1"/>
    <col min="15660" max="15660" width="20.7109375" style="18" bestFit="1" customWidth="1"/>
    <col min="15661" max="15661" width="80.7109375" style="18" customWidth="1"/>
    <col min="15662" max="15662" width="14.7109375" style="18" bestFit="1" customWidth="1"/>
    <col min="15663" max="15663" width="18.140625" style="18" bestFit="1" customWidth="1"/>
    <col min="15664" max="15664" width="16.7109375" style="18" bestFit="1" customWidth="1"/>
    <col min="15665" max="15665" width="18.5703125" style="18" bestFit="1" customWidth="1"/>
    <col min="15666" max="15666" width="21.28515625" style="18" bestFit="1" customWidth="1"/>
    <col min="15667" max="15667" width="16.28515625" style="18" bestFit="1" customWidth="1"/>
    <col min="15668" max="15668" width="21.140625" style="18" bestFit="1" customWidth="1"/>
    <col min="15669" max="15669" width="19" style="18" bestFit="1" customWidth="1"/>
    <col min="15670" max="15670" width="19.140625" style="18" customWidth="1"/>
    <col min="15671" max="15671" width="16.7109375" style="18" customWidth="1"/>
    <col min="15672" max="15672" width="21.140625" style="18" bestFit="1" customWidth="1"/>
    <col min="15673" max="15673" width="20.42578125" style="18" bestFit="1" customWidth="1"/>
    <col min="15674" max="15674" width="21.140625" style="18" customWidth="1"/>
    <col min="15675" max="15675" width="20.5703125" style="18" bestFit="1" customWidth="1"/>
    <col min="15676" max="15676" width="19.7109375" style="18" bestFit="1" customWidth="1"/>
    <col min="15677" max="15677" width="20.28515625" style="18" customWidth="1"/>
    <col min="15678" max="15678" width="20.85546875" style="18" bestFit="1" customWidth="1"/>
    <col min="15679" max="15679" width="19.5703125" style="18" bestFit="1" customWidth="1"/>
    <col min="15680" max="15680" width="18" style="18" customWidth="1"/>
    <col min="15681" max="15681" width="20" style="18" bestFit="1" customWidth="1"/>
    <col min="15682" max="15682" width="35.7109375" style="18" customWidth="1"/>
    <col min="15683" max="15683" width="21.140625" style="18" bestFit="1" customWidth="1"/>
    <col min="15684" max="15684" width="20.5703125" style="18" bestFit="1" customWidth="1"/>
    <col min="15685" max="15685" width="19.42578125" style="18" bestFit="1" customWidth="1"/>
    <col min="15686" max="15686" width="18.5703125" style="18" bestFit="1" customWidth="1"/>
    <col min="15687" max="15687" width="20.5703125" style="18" bestFit="1" customWidth="1"/>
    <col min="15688" max="15688" width="21.28515625" style="18" bestFit="1" customWidth="1"/>
    <col min="15689" max="15689" width="15.42578125" style="18" customWidth="1"/>
    <col min="15690" max="15690" width="20.7109375" style="18" customWidth="1"/>
    <col min="15691" max="15691" width="21.28515625" style="18" customWidth="1"/>
    <col min="15692" max="15692" width="14.85546875" style="18" bestFit="1" customWidth="1"/>
    <col min="15693" max="15693" width="23" style="18" bestFit="1" customWidth="1"/>
    <col min="15694" max="15694" width="21.28515625" style="18" bestFit="1" customWidth="1"/>
    <col min="15695" max="15695" width="20.28515625" style="18" bestFit="1" customWidth="1"/>
    <col min="15696" max="15696" width="21" style="18" bestFit="1" customWidth="1"/>
    <col min="15697" max="15697" width="18.85546875" style="18" bestFit="1" customWidth="1"/>
    <col min="15698" max="15698" width="80.7109375" style="18" customWidth="1"/>
    <col min="15699" max="15886" width="9.140625" style="18"/>
    <col min="15887" max="15887" width="2.5703125" style="18" customWidth="1"/>
    <col min="15888" max="15888" width="17.85546875" style="18" customWidth="1"/>
    <col min="15889" max="15889" width="41.5703125" style="18" customWidth="1"/>
    <col min="15890" max="15891" width="12" style="18" customWidth="1"/>
    <col min="15892" max="15892" width="17" style="18" customWidth="1"/>
    <col min="15893" max="15893" width="9.7109375" style="18" customWidth="1"/>
    <col min="15894" max="15894" width="12.28515625" style="18" customWidth="1"/>
    <col min="15895" max="15895" width="13.7109375" style="18" customWidth="1"/>
    <col min="15896" max="15896" width="13.5703125" style="18" bestFit="1" customWidth="1"/>
    <col min="15897" max="15897" width="13.5703125" style="18" customWidth="1"/>
    <col min="15898" max="15898" width="21" style="18" customWidth="1"/>
    <col min="15899" max="15902" width="13.42578125" style="18" customWidth="1"/>
    <col min="15903" max="15904" width="19" style="18" customWidth="1"/>
    <col min="15905" max="15905" width="34" style="18" customWidth="1"/>
    <col min="15906" max="15906" width="19" style="18" customWidth="1"/>
    <col min="15907" max="15907" width="20" style="18" bestFit="1" customWidth="1"/>
    <col min="15908" max="15908" width="20.28515625" style="18" bestFit="1" customWidth="1"/>
    <col min="15909" max="15909" width="26.7109375" style="18" customWidth="1"/>
    <col min="15910" max="15910" width="20.85546875" style="18" bestFit="1" customWidth="1"/>
    <col min="15911" max="15911" width="20.85546875" style="18" customWidth="1"/>
    <col min="15912" max="15912" width="18.85546875" style="18" customWidth="1"/>
    <col min="15913" max="15913" width="17.5703125" style="18" customWidth="1"/>
    <col min="15914" max="15915" width="19.42578125" style="18" customWidth="1"/>
    <col min="15916" max="15916" width="20.7109375" style="18" bestFit="1" customWidth="1"/>
    <col min="15917" max="15917" width="80.7109375" style="18" customWidth="1"/>
    <col min="15918" max="15918" width="14.7109375" style="18" bestFit="1" customWidth="1"/>
    <col min="15919" max="15919" width="18.140625" style="18" bestFit="1" customWidth="1"/>
    <col min="15920" max="15920" width="16.7109375" style="18" bestFit="1" customWidth="1"/>
    <col min="15921" max="15921" width="18.5703125" style="18" bestFit="1" customWidth="1"/>
    <col min="15922" max="15922" width="21.28515625" style="18" bestFit="1" customWidth="1"/>
    <col min="15923" max="15923" width="16.28515625" style="18" bestFit="1" customWidth="1"/>
    <col min="15924" max="15924" width="21.140625" style="18" bestFit="1" customWidth="1"/>
    <col min="15925" max="15925" width="19" style="18" bestFit="1" customWidth="1"/>
    <col min="15926" max="15926" width="19.140625" style="18" customWidth="1"/>
    <col min="15927" max="15927" width="16.7109375" style="18" customWidth="1"/>
    <col min="15928" max="15928" width="21.140625" style="18" bestFit="1" customWidth="1"/>
    <col min="15929" max="15929" width="20.42578125" style="18" bestFit="1" customWidth="1"/>
    <col min="15930" max="15930" width="21.140625" style="18" customWidth="1"/>
    <col min="15931" max="15931" width="20.5703125" style="18" bestFit="1" customWidth="1"/>
    <col min="15932" max="15932" width="19.7109375" style="18" bestFit="1" customWidth="1"/>
    <col min="15933" max="15933" width="20.28515625" style="18" customWidth="1"/>
    <col min="15934" max="15934" width="20.85546875" style="18" bestFit="1" customWidth="1"/>
    <col min="15935" max="15935" width="19.5703125" style="18" bestFit="1" customWidth="1"/>
    <col min="15936" max="15936" width="18" style="18" customWidth="1"/>
    <col min="15937" max="15937" width="20" style="18" bestFit="1" customWidth="1"/>
    <col min="15938" max="15938" width="35.7109375" style="18" customWidth="1"/>
    <col min="15939" max="15939" width="21.140625" style="18" bestFit="1" customWidth="1"/>
    <col min="15940" max="15940" width="20.5703125" style="18" bestFit="1" customWidth="1"/>
    <col min="15941" max="15941" width="19.42578125" style="18" bestFit="1" customWidth="1"/>
    <col min="15942" max="15942" width="18.5703125" style="18" bestFit="1" customWidth="1"/>
    <col min="15943" max="15943" width="20.5703125" style="18" bestFit="1" customWidth="1"/>
    <col min="15944" max="15944" width="21.28515625" style="18" bestFit="1" customWidth="1"/>
    <col min="15945" max="15945" width="15.42578125" style="18" customWidth="1"/>
    <col min="15946" max="15946" width="20.7109375" style="18" customWidth="1"/>
    <col min="15947" max="15947" width="21.28515625" style="18" customWidth="1"/>
    <col min="15948" max="15948" width="14.85546875" style="18" bestFit="1" customWidth="1"/>
    <col min="15949" max="15949" width="23" style="18" bestFit="1" customWidth="1"/>
    <col min="15950" max="15950" width="21.28515625" style="18" bestFit="1" customWidth="1"/>
    <col min="15951" max="15951" width="20.28515625" style="18" bestFit="1" customWidth="1"/>
    <col min="15952" max="15952" width="21" style="18" bestFit="1" customWidth="1"/>
    <col min="15953" max="15953" width="18.85546875" style="18" bestFit="1" customWidth="1"/>
    <col min="15954" max="15954" width="80.7109375" style="18" customWidth="1"/>
    <col min="15955" max="16142" width="9.140625" style="18"/>
    <col min="16143" max="16143" width="2.5703125" style="18" customWidth="1"/>
    <col min="16144" max="16144" width="17.85546875" style="18" customWidth="1"/>
    <col min="16145" max="16145" width="41.5703125" style="18" customWidth="1"/>
    <col min="16146" max="16147" width="12" style="18" customWidth="1"/>
    <col min="16148" max="16148" width="17" style="18" customWidth="1"/>
    <col min="16149" max="16149" width="9.7109375" style="18" customWidth="1"/>
    <col min="16150" max="16150" width="12.28515625" style="18" customWidth="1"/>
    <col min="16151" max="16151" width="13.7109375" style="18" customWidth="1"/>
    <col min="16152" max="16152" width="13.5703125" style="18" bestFit="1" customWidth="1"/>
    <col min="16153" max="16153" width="13.5703125" style="18" customWidth="1"/>
    <col min="16154" max="16154" width="21" style="18" customWidth="1"/>
    <col min="16155" max="16158" width="13.42578125" style="18" customWidth="1"/>
    <col min="16159" max="16160" width="19" style="18" customWidth="1"/>
    <col min="16161" max="16161" width="34" style="18" customWidth="1"/>
    <col min="16162" max="16162" width="19" style="18" customWidth="1"/>
    <col min="16163" max="16163" width="20" style="18" bestFit="1" customWidth="1"/>
    <col min="16164" max="16164" width="20.28515625" style="18" bestFit="1" customWidth="1"/>
    <col min="16165" max="16165" width="26.7109375" style="18" customWidth="1"/>
    <col min="16166" max="16166" width="20.85546875" style="18" bestFit="1" customWidth="1"/>
    <col min="16167" max="16167" width="20.85546875" style="18" customWidth="1"/>
    <col min="16168" max="16168" width="18.85546875" style="18" customWidth="1"/>
    <col min="16169" max="16169" width="17.5703125" style="18" customWidth="1"/>
    <col min="16170" max="16171" width="19.42578125" style="18" customWidth="1"/>
    <col min="16172" max="16172" width="20.7109375" style="18" bestFit="1" customWidth="1"/>
    <col min="16173" max="16173" width="80.7109375" style="18" customWidth="1"/>
    <col min="16174" max="16174" width="14.7109375" style="18" bestFit="1" customWidth="1"/>
    <col min="16175" max="16175" width="18.140625" style="18" bestFit="1" customWidth="1"/>
    <col min="16176" max="16176" width="16.7109375" style="18" bestFit="1" customWidth="1"/>
    <col min="16177" max="16177" width="18.5703125" style="18" bestFit="1" customWidth="1"/>
    <col min="16178" max="16178" width="21.28515625" style="18" bestFit="1" customWidth="1"/>
    <col min="16179" max="16179" width="16.28515625" style="18" bestFit="1" customWidth="1"/>
    <col min="16180" max="16180" width="21.140625" style="18" bestFit="1" customWidth="1"/>
    <col min="16181" max="16181" width="19" style="18" bestFit="1" customWidth="1"/>
    <col min="16182" max="16182" width="19.140625" style="18" customWidth="1"/>
    <col min="16183" max="16183" width="16.7109375" style="18" customWidth="1"/>
    <col min="16184" max="16184" width="21.140625" style="18" bestFit="1" customWidth="1"/>
    <col min="16185" max="16185" width="20.42578125" style="18" bestFit="1" customWidth="1"/>
    <col min="16186" max="16186" width="21.140625" style="18" customWidth="1"/>
    <col min="16187" max="16187" width="20.5703125" style="18" bestFit="1" customWidth="1"/>
    <col min="16188" max="16188" width="19.7109375" style="18" bestFit="1" customWidth="1"/>
    <col min="16189" max="16189" width="20.28515625" style="18" customWidth="1"/>
    <col min="16190" max="16190" width="20.85546875" style="18" bestFit="1" customWidth="1"/>
    <col min="16191" max="16191" width="19.5703125" style="18" bestFit="1" customWidth="1"/>
    <col min="16192" max="16192" width="18" style="18" customWidth="1"/>
    <col min="16193" max="16193" width="20" style="18" bestFit="1" customWidth="1"/>
    <col min="16194" max="16194" width="35.7109375" style="18" customWidth="1"/>
    <col min="16195" max="16195" width="21.140625" style="18" bestFit="1" customWidth="1"/>
    <col min="16196" max="16196" width="20.5703125" style="18" bestFit="1" customWidth="1"/>
    <col min="16197" max="16197" width="19.42578125" style="18" bestFit="1" customWidth="1"/>
    <col min="16198" max="16198" width="18.5703125" style="18" bestFit="1" customWidth="1"/>
    <col min="16199" max="16199" width="20.5703125" style="18" bestFit="1" customWidth="1"/>
    <col min="16200" max="16200" width="21.28515625" style="18" bestFit="1" customWidth="1"/>
    <col min="16201" max="16201" width="15.42578125" style="18" customWidth="1"/>
    <col min="16202" max="16202" width="20.7109375" style="18" customWidth="1"/>
    <col min="16203" max="16203" width="21.28515625" style="18" customWidth="1"/>
    <col min="16204" max="16204" width="14.85546875" style="18" bestFit="1" customWidth="1"/>
    <col min="16205" max="16205" width="23" style="18" bestFit="1" customWidth="1"/>
    <col min="16206" max="16206" width="21.28515625" style="18" bestFit="1" customWidth="1"/>
    <col min="16207" max="16207" width="20.28515625" style="18" bestFit="1" customWidth="1"/>
    <col min="16208" max="16208" width="21" style="18" bestFit="1" customWidth="1"/>
    <col min="16209" max="16209" width="18.85546875" style="18" bestFit="1" customWidth="1"/>
    <col min="16210" max="16210" width="80.7109375" style="18" customWidth="1"/>
    <col min="16211" max="16384" width="9.140625" style="18"/>
  </cols>
  <sheetData>
    <row r="1" spans="2:86" ht="38.450000000000003" customHeight="1" thickBot="1" x14ac:dyDescent="0.25"/>
    <row r="2" spans="2:86" s="25" customFormat="1" ht="33.6" customHeight="1" thickTop="1" thickBot="1" x14ac:dyDescent="0.3">
      <c r="B2" s="20" t="s">
        <v>25</v>
      </c>
      <c r="C2" s="34"/>
      <c r="D2" s="34"/>
      <c r="E2" s="21">
        <v>42155</v>
      </c>
      <c r="F2" s="764" t="s">
        <v>475</v>
      </c>
      <c r="G2" s="765"/>
      <c r="H2" s="765"/>
      <c r="I2" s="765"/>
      <c r="J2" s="766"/>
      <c r="K2" s="766"/>
      <c r="L2" s="767"/>
      <c r="M2" s="22"/>
      <c r="N2" s="364"/>
      <c r="V2" s="781" t="s">
        <v>249</v>
      </c>
      <c r="W2" s="782"/>
      <c r="X2" s="782"/>
      <c r="Y2" s="782"/>
      <c r="Z2" s="782"/>
      <c r="AA2" s="782"/>
      <c r="AB2" s="782"/>
      <c r="AC2" s="782"/>
      <c r="AD2" s="782"/>
      <c r="AE2" s="782"/>
      <c r="AF2" s="782"/>
      <c r="AG2" s="782"/>
      <c r="AH2" s="782"/>
      <c r="AI2" s="782"/>
      <c r="AJ2" s="782"/>
      <c r="AK2" s="782"/>
      <c r="AL2" s="782"/>
      <c r="AM2" s="782"/>
      <c r="AN2" s="782"/>
      <c r="AO2" s="782"/>
      <c r="AP2" s="782"/>
      <c r="AQ2" s="782"/>
      <c r="AR2" s="783"/>
      <c r="AS2" s="784" t="s">
        <v>750</v>
      </c>
      <c r="AT2" s="785"/>
      <c r="AU2" s="785"/>
      <c r="AV2" s="785"/>
      <c r="AW2" s="785"/>
      <c r="AX2" s="785"/>
      <c r="AY2" s="785"/>
      <c r="AZ2" s="785"/>
      <c r="BA2" s="785"/>
      <c r="BB2" s="785"/>
      <c r="BC2" s="785"/>
      <c r="BD2" s="785"/>
      <c r="BE2" s="785"/>
      <c r="BF2" s="785"/>
      <c r="BG2" s="785"/>
      <c r="BH2" s="785"/>
      <c r="BI2" s="785"/>
      <c r="BJ2" s="785"/>
      <c r="BK2" s="785"/>
      <c r="BL2" s="785"/>
      <c r="BM2" s="785"/>
      <c r="BN2" s="785"/>
      <c r="BO2" s="785"/>
      <c r="BP2" s="785"/>
      <c r="BQ2" s="785"/>
      <c r="BR2" s="786"/>
      <c r="BS2" s="306"/>
      <c r="BT2" s="33"/>
      <c r="BU2" s="33"/>
      <c r="BV2" s="33"/>
      <c r="BW2" s="33"/>
      <c r="BX2" s="33"/>
      <c r="BY2" s="33"/>
      <c r="BZ2" s="33"/>
      <c r="CA2" s="33"/>
      <c r="CB2" s="33"/>
      <c r="CC2" s="306"/>
      <c r="CD2" s="33"/>
      <c r="CE2" s="33"/>
      <c r="CF2" s="33"/>
      <c r="CG2" s="33"/>
      <c r="CH2" s="373"/>
    </row>
    <row r="3" spans="2:86" s="25" customFormat="1" ht="28.15" customHeight="1" thickBot="1" x14ac:dyDescent="0.3">
      <c r="B3" s="31" t="s">
        <v>6</v>
      </c>
      <c r="C3" s="35"/>
      <c r="D3" s="35"/>
      <c r="E3" s="32">
        <f>COUNTA(Database!E5:E180)</f>
        <v>176</v>
      </c>
      <c r="F3" s="768"/>
      <c r="G3" s="769"/>
      <c r="H3" s="769"/>
      <c r="I3" s="770"/>
      <c r="J3" s="368">
        <f>SUM(Database!J5:J180)</f>
        <v>18490</v>
      </c>
      <c r="K3" s="368">
        <f>SUM(Database!K5:K180)</f>
        <v>87840</v>
      </c>
      <c r="L3" s="369">
        <f>SUM(Database!L5:L180)</f>
        <v>84140</v>
      </c>
      <c r="M3" s="23"/>
      <c r="N3" s="365"/>
      <c r="O3" s="771" t="s">
        <v>83</v>
      </c>
      <c r="P3" s="772"/>
      <c r="Q3" s="772"/>
      <c r="R3" s="772"/>
      <c r="S3" s="772"/>
      <c r="T3" s="773"/>
      <c r="U3" s="433"/>
      <c r="V3" s="774" t="s">
        <v>86</v>
      </c>
      <c r="W3" s="775"/>
      <c r="X3" s="776"/>
      <c r="Y3" s="774" t="s">
        <v>87</v>
      </c>
      <c r="Z3" s="775"/>
      <c r="AA3" s="775"/>
      <c r="AB3" s="777" t="s">
        <v>247</v>
      </c>
      <c r="AC3" s="778"/>
      <c r="AD3" s="774" t="s">
        <v>10</v>
      </c>
      <c r="AE3" s="775"/>
      <c r="AF3" s="775"/>
      <c r="AG3" s="775"/>
      <c r="AH3" s="775"/>
      <c r="AI3" s="775"/>
      <c r="AJ3" s="775"/>
      <c r="AK3" s="775"/>
      <c r="AL3" s="775"/>
      <c r="AM3" s="775"/>
      <c r="AN3" s="775"/>
      <c r="AO3" s="775"/>
      <c r="AP3" s="775"/>
      <c r="AQ3" s="775"/>
      <c r="AR3" s="776"/>
      <c r="AS3" s="779" t="s">
        <v>13</v>
      </c>
      <c r="AT3" s="780"/>
      <c r="AU3" s="780"/>
      <c r="AV3" s="780"/>
      <c r="AW3" s="780"/>
      <c r="AX3" s="780"/>
      <c r="AY3" s="780"/>
      <c r="AZ3" s="780"/>
      <c r="BA3" s="780"/>
      <c r="BB3" s="780"/>
      <c r="BC3" s="780"/>
      <c r="BD3" s="780"/>
      <c r="BE3" s="780"/>
      <c r="BF3" s="780"/>
      <c r="BG3" s="780"/>
      <c r="BH3" s="780"/>
      <c r="BI3" s="780"/>
      <c r="BJ3" s="780"/>
      <c r="BK3" s="780"/>
      <c r="BL3" s="780"/>
      <c r="BM3" s="780"/>
      <c r="BN3" s="780"/>
      <c r="BO3" s="780"/>
      <c r="BP3" s="780"/>
      <c r="BQ3" s="780"/>
      <c r="BR3" s="375"/>
      <c r="BS3" s="760" t="s">
        <v>751</v>
      </c>
      <c r="BT3" s="761"/>
      <c r="BU3" s="761"/>
      <c r="BV3" s="761"/>
      <c r="BW3" s="761"/>
      <c r="BX3" s="761"/>
      <c r="BY3" s="761"/>
      <c r="BZ3" s="762"/>
      <c r="CA3" s="763" t="s">
        <v>102</v>
      </c>
      <c r="CB3" s="761"/>
      <c r="CC3" s="762"/>
      <c r="CD3" s="763" t="s">
        <v>105</v>
      </c>
      <c r="CE3" s="761"/>
      <c r="CF3" s="761"/>
      <c r="CG3" s="761"/>
      <c r="CH3" s="376"/>
    </row>
    <row r="4" spans="2:86" s="19" customFormat="1" ht="117.75" customHeight="1" thickBot="1" x14ac:dyDescent="0.25">
      <c r="B4" s="377" t="s">
        <v>0</v>
      </c>
      <c r="C4" s="377" t="s">
        <v>502</v>
      </c>
      <c r="D4" s="377" t="s">
        <v>263</v>
      </c>
      <c r="E4" s="377" t="s">
        <v>1</v>
      </c>
      <c r="F4" s="377" t="s">
        <v>103</v>
      </c>
      <c r="G4" s="377" t="s">
        <v>104</v>
      </c>
      <c r="H4" s="378" t="s">
        <v>3</v>
      </c>
      <c r="I4" s="377" t="s">
        <v>4</v>
      </c>
      <c r="J4" s="377" t="s">
        <v>787</v>
      </c>
      <c r="K4" s="377" t="s">
        <v>8</v>
      </c>
      <c r="L4" s="377" t="s">
        <v>9</v>
      </c>
      <c r="M4" s="377" t="s">
        <v>77</v>
      </c>
      <c r="N4" s="377" t="s">
        <v>17</v>
      </c>
      <c r="O4" s="377" t="s">
        <v>7</v>
      </c>
      <c r="P4" s="379" t="s">
        <v>683</v>
      </c>
      <c r="Q4" s="377" t="s">
        <v>250</v>
      </c>
      <c r="R4" s="377" t="s">
        <v>84</v>
      </c>
      <c r="S4" s="377" t="s">
        <v>250</v>
      </c>
      <c r="T4" s="377" t="s">
        <v>259</v>
      </c>
      <c r="U4" s="434" t="s">
        <v>294</v>
      </c>
      <c r="V4" s="380" t="s">
        <v>233</v>
      </c>
      <c r="W4" s="380" t="s">
        <v>234</v>
      </c>
      <c r="X4" s="381" t="s">
        <v>85</v>
      </c>
      <c r="Y4" s="380" t="s">
        <v>303</v>
      </c>
      <c r="Z4" s="380" t="s">
        <v>100</v>
      </c>
      <c r="AA4" s="382" t="s">
        <v>251</v>
      </c>
      <c r="AB4" s="383" t="s">
        <v>252</v>
      </c>
      <c r="AC4" s="383" t="s">
        <v>660</v>
      </c>
      <c r="AD4" s="381" t="s">
        <v>88</v>
      </c>
      <c r="AE4" s="384" t="s">
        <v>309</v>
      </c>
      <c r="AF4" s="381" t="s">
        <v>272</v>
      </c>
      <c r="AG4" s="384" t="s">
        <v>313</v>
      </c>
      <c r="AH4" s="381" t="s">
        <v>248</v>
      </c>
      <c r="AI4" s="379" t="s">
        <v>312</v>
      </c>
      <c r="AJ4" s="381" t="s">
        <v>76</v>
      </c>
      <c r="AK4" s="381" t="s">
        <v>99</v>
      </c>
      <c r="AL4" s="379" t="s">
        <v>311</v>
      </c>
      <c r="AM4" s="379" t="s">
        <v>469</v>
      </c>
      <c r="AN4" s="379" t="s">
        <v>470</v>
      </c>
      <c r="AO4" s="379" t="s">
        <v>471</v>
      </c>
      <c r="AP4" s="385" t="s">
        <v>280</v>
      </c>
      <c r="AQ4" s="386" t="s">
        <v>310</v>
      </c>
      <c r="AR4" s="381" t="s">
        <v>15</v>
      </c>
      <c r="AS4" s="387" t="s">
        <v>101</v>
      </c>
      <c r="AT4" s="387" t="s">
        <v>253</v>
      </c>
      <c r="AU4" s="387" t="s">
        <v>254</v>
      </c>
      <c r="AV4" s="79" t="s">
        <v>92</v>
      </c>
      <c r="AW4" s="79" t="s">
        <v>23</v>
      </c>
      <c r="AX4" s="379" t="s">
        <v>315</v>
      </c>
      <c r="AY4" s="79" t="s">
        <v>89</v>
      </c>
      <c r="AZ4" s="379" t="s">
        <v>314</v>
      </c>
      <c r="BA4" s="79" t="s">
        <v>271</v>
      </c>
      <c r="BB4" s="379" t="s">
        <v>316</v>
      </c>
      <c r="BC4" s="79" t="s">
        <v>26</v>
      </c>
      <c r="BD4" s="387" t="s">
        <v>278</v>
      </c>
      <c r="BE4" s="386" t="s">
        <v>317</v>
      </c>
      <c r="BF4" s="79" t="s">
        <v>24</v>
      </c>
      <c r="BG4" s="79" t="s">
        <v>703</v>
      </c>
      <c r="BH4" s="79" t="s">
        <v>90</v>
      </c>
      <c r="BI4" s="79" t="s">
        <v>22</v>
      </c>
      <c r="BJ4" s="379" t="s">
        <v>318</v>
      </c>
      <c r="BK4" s="79" t="s">
        <v>472</v>
      </c>
      <c r="BL4" s="79" t="s">
        <v>277</v>
      </c>
      <c r="BM4" s="379" t="s">
        <v>319</v>
      </c>
      <c r="BN4" s="79" t="s">
        <v>255</v>
      </c>
      <c r="BO4" s="79" t="s">
        <v>12</v>
      </c>
      <c r="BP4" s="79" t="s">
        <v>473</v>
      </c>
      <c r="BQ4" s="79" t="s">
        <v>279</v>
      </c>
      <c r="BR4" s="79" t="s">
        <v>15</v>
      </c>
      <c r="BS4" s="438" t="s">
        <v>304</v>
      </c>
      <c r="BT4" s="388" t="s">
        <v>307</v>
      </c>
      <c r="BU4" s="388" t="s">
        <v>305</v>
      </c>
      <c r="BV4" s="388" t="s">
        <v>306</v>
      </c>
      <c r="BW4" s="389" t="s">
        <v>5</v>
      </c>
      <c r="BX4" s="389" t="s">
        <v>94</v>
      </c>
      <c r="BY4" s="379" t="s">
        <v>241</v>
      </c>
      <c r="BZ4" s="389" t="s">
        <v>14</v>
      </c>
      <c r="CA4" s="389" t="s">
        <v>15</v>
      </c>
      <c r="CB4" s="389" t="s">
        <v>16</v>
      </c>
      <c r="CC4" s="379" t="s">
        <v>680</v>
      </c>
      <c r="CD4" s="389" t="s">
        <v>106</v>
      </c>
      <c r="CE4" s="390" t="s">
        <v>270</v>
      </c>
      <c r="CF4" s="390" t="s">
        <v>661</v>
      </c>
      <c r="CG4" s="389" t="s">
        <v>295</v>
      </c>
      <c r="CH4" s="389" t="s">
        <v>11</v>
      </c>
    </row>
    <row r="5" spans="2:86" ht="30.75" customHeight="1" x14ac:dyDescent="0.2">
      <c r="B5" s="507" t="s">
        <v>107</v>
      </c>
      <c r="C5" s="508" t="s">
        <v>537</v>
      </c>
      <c r="D5" s="509" t="s">
        <v>322</v>
      </c>
      <c r="E5" s="508" t="s">
        <v>108</v>
      </c>
      <c r="F5" s="509">
        <v>98.131264999999999</v>
      </c>
      <c r="G5" s="509">
        <v>25.885922999999998</v>
      </c>
      <c r="H5" s="509" t="s">
        <v>467</v>
      </c>
      <c r="I5" s="509" t="s">
        <v>218</v>
      </c>
      <c r="J5" s="510">
        <v>114</v>
      </c>
      <c r="K5" s="510">
        <v>524</v>
      </c>
      <c r="L5" s="510">
        <v>524</v>
      </c>
      <c r="M5" s="391" t="str">
        <f t="shared" ref="M5:M36" si="0">IF(J5&gt;50,IF(J5&gt;250,IF(J5&gt;500,IF(J5&gt;1000,"5. Massive","4. Big"),"3. Large"),"2. Medium"),"1. Small")</f>
        <v>2. Medium</v>
      </c>
      <c r="N5" s="511" t="s">
        <v>284</v>
      </c>
      <c r="O5" s="527" t="s">
        <v>284</v>
      </c>
      <c r="P5" s="440" t="str">
        <f>IF(O5="None","Not covered","Covered")</f>
        <v>Covered</v>
      </c>
      <c r="Q5" s="528">
        <v>42155</v>
      </c>
      <c r="R5" s="529"/>
      <c r="S5" s="528"/>
      <c r="T5" s="511" t="s">
        <v>260</v>
      </c>
      <c r="U5" s="435" t="str">
        <f>IF(T5="Not documented","Not documented","Documented")</f>
        <v>Documented</v>
      </c>
      <c r="V5" s="540">
        <v>0</v>
      </c>
      <c r="W5" s="510">
        <v>0</v>
      </c>
      <c r="X5" s="541" t="s">
        <v>19</v>
      </c>
      <c r="Y5" s="540">
        <v>0</v>
      </c>
      <c r="Z5" s="548">
        <v>0</v>
      </c>
      <c r="AA5" s="549">
        <v>12760</v>
      </c>
      <c r="AB5" s="554">
        <v>0</v>
      </c>
      <c r="AC5" s="555">
        <v>0</v>
      </c>
      <c r="AD5" s="442">
        <f t="shared" ref="AD5:AD67" si="1">IF((((V5/15)+((W5/30)/15)+Y5*400+Z5*500+(AA5/15))/L5)&gt;1,1,(((V5/15)+((W5/30)/15)+Y5*400+Z5*500+(AA5/15))/L5))</f>
        <v>1</v>
      </c>
      <c r="AE5" s="393">
        <f>AD5*L5</f>
        <v>524</v>
      </c>
      <c r="AF5" s="394">
        <f t="shared" ref="AF5:AF36" si="2">IF(((Y5*400+Z5*500+(AA5/15))/L5)&gt;1,1,(Y5*400+Z5*500+(AA5/15))/L5)</f>
        <v>1</v>
      </c>
      <c r="AG5" s="395">
        <f>AF5*L5</f>
        <v>524</v>
      </c>
      <c r="AH5" s="392">
        <f t="shared" ref="AH5:AH36" si="3">IF(AC5=0,AD5,IF(AC5&lt;AD5,AD5,AC5))</f>
        <v>1</v>
      </c>
      <c r="AI5" s="395">
        <f>AH5*L5</f>
        <v>524</v>
      </c>
      <c r="AJ5" s="396" t="str">
        <f t="shared" ref="AJ5:AJ36" si="4">IF(AD5&gt;0.15,IF(AD5&gt;0.3,IF(AD5&gt;0.45,IF(AD5&gt;0.6,IF(AD5&gt;0.8,"80-100%","60-80%"),"45-60%"),"30-45%"),"15-30%"),"0-10%")</f>
        <v>80-100%</v>
      </c>
      <c r="AK5" s="392">
        <f t="shared" ref="AK5:AK36" si="5">IF((AD5-AF5)&lt; 0, 0, AD5-AF5)</f>
        <v>0</v>
      </c>
      <c r="AL5" s="397">
        <f t="shared" ref="AL5:AL36" si="6">AK5*L5</f>
        <v>0</v>
      </c>
      <c r="AM5" s="395">
        <f t="shared" ref="AM5:AM36" si="7">IF(L5/400-(Y5+Z5)&lt;0,0,L5/400-(Y5+Z5))</f>
        <v>1.31</v>
      </c>
      <c r="AN5" s="395">
        <f t="shared" ref="AN5:AN36" si="8">AC5*J5</f>
        <v>0</v>
      </c>
      <c r="AO5" s="395">
        <f>AB5*L5</f>
        <v>0</v>
      </c>
      <c r="AP5" s="564">
        <v>1</v>
      </c>
      <c r="AQ5" s="565">
        <f>AP5*L5</f>
        <v>524</v>
      </c>
      <c r="AR5" s="549"/>
      <c r="AS5" s="577">
        <v>19</v>
      </c>
      <c r="AT5" s="510">
        <v>7</v>
      </c>
      <c r="AU5" s="510">
        <v>8</v>
      </c>
      <c r="AV5" s="510" t="s">
        <v>298</v>
      </c>
      <c r="AW5" s="398">
        <f t="shared" ref="AW5:AW36" si="9">IF((((AT5+AU5)*20)/L5)&gt;1,1,(((AT5+AU5)*20)/L5))</f>
        <v>0.5725190839694656</v>
      </c>
      <c r="AX5" s="395">
        <f>AW5*L5</f>
        <v>300</v>
      </c>
      <c r="AY5" s="398">
        <f t="shared" ref="AY5:AY36" si="10">AW5-BA5</f>
        <v>0.26717557251908391</v>
      </c>
      <c r="AZ5" s="395">
        <f>AY5*L5</f>
        <v>139.99999999999997</v>
      </c>
      <c r="BA5" s="398">
        <f t="shared" ref="BA5:BA36" si="11">IF(((AU5*20)/L5)&gt;1,1,((AU5*20)/L5))</f>
        <v>0.30534351145038169</v>
      </c>
      <c r="BB5" s="395">
        <f>BA5*L5</f>
        <v>160</v>
      </c>
      <c r="BC5" s="548">
        <v>0</v>
      </c>
      <c r="BD5" s="578">
        <v>0.56999999999999995</v>
      </c>
      <c r="BE5" s="399">
        <f t="shared" ref="BE5:BE36" si="12">BD5*L5</f>
        <v>298.67999999999995</v>
      </c>
      <c r="BF5" s="400">
        <f>IF((L5/20-AU5+BC5)&lt;0,0,(L5/20-AU5+BC5))</f>
        <v>18.2</v>
      </c>
      <c r="BG5" s="510">
        <v>4</v>
      </c>
      <c r="BH5" s="548" t="s">
        <v>299</v>
      </c>
      <c r="BI5" s="398">
        <f>IF((BG5*100/L5)&gt;1,1,(BG5*100/L5))</f>
        <v>0.76335877862595425</v>
      </c>
      <c r="BJ5" s="395">
        <f>BI5*L5</f>
        <v>400</v>
      </c>
      <c r="BK5" s="400">
        <f>IF(K5/100-BG5&lt;0,0,K5/100-BG5)</f>
        <v>1.2400000000000002</v>
      </c>
      <c r="BL5" s="564">
        <v>0.76</v>
      </c>
      <c r="BM5" s="395">
        <f>BL5*L5</f>
        <v>398.24</v>
      </c>
      <c r="BN5" s="548">
        <v>3</v>
      </c>
      <c r="BO5" s="398">
        <f t="shared" ref="BO5:BO36" si="13">IF((BN5*100/L5)&gt;1,1,(BN5*100/L5))</f>
        <v>0.5725190839694656</v>
      </c>
      <c r="BP5" s="400">
        <f t="shared" ref="BP5:BP36" si="14">IF(K5/100-BN5&lt;0,0,K5/100-BN5)</f>
        <v>2.2400000000000002</v>
      </c>
      <c r="BQ5" s="555">
        <v>0.56999999999999995</v>
      </c>
      <c r="BR5" s="588"/>
      <c r="BS5" s="592">
        <v>42048</v>
      </c>
      <c r="BT5" s="401">
        <f t="shared" ref="BT5:BT67" si="15">IF(BS5="","To be realised",IF(BS5="n/a","n/a",IF(BS5+365&lt;$E$2,"To be realised",BS5+365)))</f>
        <v>42413</v>
      </c>
      <c r="BU5" s="510">
        <v>119</v>
      </c>
      <c r="BV5" s="510">
        <v>3</v>
      </c>
      <c r="BW5" s="402">
        <f t="shared" ref="BW5:BW67" si="16">IF(BT5="n/a",0,IF(BT5="To be realised",J5,IF((J5-BU5)&lt;0,0,(J5-BU5))))</f>
        <v>0</v>
      </c>
      <c r="BX5" s="403">
        <f t="shared" ref="BX5:BX36" si="17">IF(BW5=0,1,(J5-BW5)/J5)</f>
        <v>1</v>
      </c>
      <c r="BY5" s="395">
        <f t="shared" ref="BY5:BY36" si="18">BX5*L5</f>
        <v>524</v>
      </c>
      <c r="BZ5" s="445">
        <f t="shared" ref="BZ5:BZ67" si="19">IF(BS5="","Column BN to be completed", IF(BS5="n/a",0,IF(($E$2-BS5-30)/30-BV5&lt;0,0,ROUND((($E$2-BS5-30)/30-BV5),0))))</f>
        <v>0</v>
      </c>
      <c r="CA5" s="540"/>
      <c r="CB5" s="555">
        <v>1</v>
      </c>
      <c r="CC5" s="450">
        <f>CB5*L5</f>
        <v>524</v>
      </c>
      <c r="CD5" s="540">
        <v>2</v>
      </c>
      <c r="CE5" s="404" t="str">
        <f>IF(CD5=0,"No coverage",IF(L5/CD5&gt;1000,"Low coverage",IF(L5/CD5&gt;750,"Average coverage",IF(L5/CD5&gt;500,"Good coverage","Excellent coverage"))))</f>
        <v>Excellent coverage</v>
      </c>
      <c r="CF5" s="548">
        <v>0</v>
      </c>
      <c r="CG5" s="549" t="s">
        <v>65</v>
      </c>
      <c r="CH5" s="601"/>
    </row>
    <row r="6" spans="2:86" s="40" customFormat="1" ht="30.75" customHeight="1" x14ac:dyDescent="0.2">
      <c r="B6" s="512" t="s">
        <v>107</v>
      </c>
      <c r="C6" s="513" t="s">
        <v>538</v>
      </c>
      <c r="D6" s="514" t="s">
        <v>322</v>
      </c>
      <c r="E6" s="513" t="s">
        <v>221</v>
      </c>
      <c r="F6" s="514">
        <v>98.475719999999995</v>
      </c>
      <c r="G6" s="514">
        <v>25.754110000000001</v>
      </c>
      <c r="H6" s="514" t="s">
        <v>467</v>
      </c>
      <c r="I6" s="514" t="s">
        <v>226</v>
      </c>
      <c r="J6" s="515">
        <v>155</v>
      </c>
      <c r="K6" s="515">
        <v>873</v>
      </c>
      <c r="L6" s="515">
        <v>873</v>
      </c>
      <c r="M6" s="405" t="str">
        <f t="shared" si="0"/>
        <v>2. Medium</v>
      </c>
      <c r="N6" s="516" t="s">
        <v>239</v>
      </c>
      <c r="O6" s="530" t="s">
        <v>239</v>
      </c>
      <c r="P6" s="439" t="str">
        <f t="shared" ref="P6:P67" si="20">IF(O6="None","Not covered","Covered")</f>
        <v>Covered</v>
      </c>
      <c r="Q6" s="531">
        <v>42185</v>
      </c>
      <c r="R6" s="532" t="s">
        <v>240</v>
      </c>
      <c r="S6" s="531">
        <v>42185</v>
      </c>
      <c r="T6" s="516" t="s">
        <v>260</v>
      </c>
      <c r="U6" s="436" t="str">
        <f t="shared" ref="U6:U67" si="21">IF(T6="Not documented","Not documented","Documented")</f>
        <v>Documented</v>
      </c>
      <c r="V6" s="542">
        <v>0</v>
      </c>
      <c r="W6" s="515">
        <v>15714</v>
      </c>
      <c r="X6" s="543" t="s">
        <v>18</v>
      </c>
      <c r="Y6" s="542">
        <v>0</v>
      </c>
      <c r="Z6" s="550">
        <v>0</v>
      </c>
      <c r="AA6" s="551">
        <v>17062</v>
      </c>
      <c r="AB6" s="556">
        <v>0</v>
      </c>
      <c r="AC6" s="557">
        <v>0</v>
      </c>
      <c r="AD6" s="443">
        <f t="shared" si="1"/>
        <v>1</v>
      </c>
      <c r="AE6" s="407">
        <f t="shared" ref="AE6:AE67" si="22">AD6*L6</f>
        <v>873</v>
      </c>
      <c r="AF6" s="408">
        <f t="shared" si="2"/>
        <v>1</v>
      </c>
      <c r="AG6" s="409">
        <f t="shared" ref="AG6:AG67" si="23">AF6*L6</f>
        <v>873</v>
      </c>
      <c r="AH6" s="406">
        <f t="shared" si="3"/>
        <v>1</v>
      </c>
      <c r="AI6" s="409">
        <f t="shared" ref="AI6:AI67" si="24">AH6*L6</f>
        <v>873</v>
      </c>
      <c r="AJ6" s="410" t="str">
        <f t="shared" si="4"/>
        <v>80-100%</v>
      </c>
      <c r="AK6" s="406">
        <f t="shared" si="5"/>
        <v>0</v>
      </c>
      <c r="AL6" s="411">
        <f t="shared" si="6"/>
        <v>0</v>
      </c>
      <c r="AM6" s="409">
        <f t="shared" si="7"/>
        <v>2.1825000000000001</v>
      </c>
      <c r="AN6" s="409">
        <f t="shared" si="8"/>
        <v>0</v>
      </c>
      <c r="AO6" s="409">
        <f t="shared" ref="AO6:AO67" si="25">AB6*L6</f>
        <v>0</v>
      </c>
      <c r="AP6" s="566">
        <v>1</v>
      </c>
      <c r="AQ6" s="567">
        <f t="shared" ref="AQ6:AQ69" si="26">AP6*L6</f>
        <v>873</v>
      </c>
      <c r="AR6" s="568" t="s">
        <v>768</v>
      </c>
      <c r="AS6" s="552">
        <v>42</v>
      </c>
      <c r="AT6" s="515">
        <v>44</v>
      </c>
      <c r="AU6" s="515">
        <v>0</v>
      </c>
      <c r="AV6" s="515" t="s">
        <v>298</v>
      </c>
      <c r="AW6" s="412">
        <f t="shared" si="9"/>
        <v>1</v>
      </c>
      <c r="AX6" s="409">
        <f t="shared" ref="AX6:AX67" si="27">AW6*L6</f>
        <v>873</v>
      </c>
      <c r="AY6" s="412">
        <f t="shared" si="10"/>
        <v>1</v>
      </c>
      <c r="AZ6" s="409">
        <f t="shared" ref="AZ6:AZ67" si="28">AY6*L6</f>
        <v>873</v>
      </c>
      <c r="BA6" s="412">
        <f t="shared" si="11"/>
        <v>0</v>
      </c>
      <c r="BB6" s="409">
        <f t="shared" ref="BB6:BB67" si="29">BA6*L6</f>
        <v>0</v>
      </c>
      <c r="BC6" s="550">
        <v>0</v>
      </c>
      <c r="BD6" s="571">
        <v>1</v>
      </c>
      <c r="BE6" s="413">
        <f t="shared" si="12"/>
        <v>873</v>
      </c>
      <c r="BF6" s="414">
        <f t="shared" ref="BF6:BF67" si="30">IF((L6/20-AU6+BC6)&lt;0,0,(L6/20-AU6+BC6))</f>
        <v>43.65</v>
      </c>
      <c r="BG6" s="550">
        <v>4</v>
      </c>
      <c r="BH6" s="550" t="s">
        <v>91</v>
      </c>
      <c r="BI6" s="412">
        <f t="shared" ref="BI6:BI67" si="31">IF((BG6*100/L6)&gt;1,1,(BG6*100/L6))</f>
        <v>0.45819014891179838</v>
      </c>
      <c r="BJ6" s="409">
        <f t="shared" ref="BJ6:BJ67" si="32">BI6*L6</f>
        <v>400</v>
      </c>
      <c r="BK6" s="414">
        <f t="shared" ref="BK6:BK67" si="33">IF(K6/100-BG6&lt;0,0,K6/100-BG6)</f>
        <v>4.7300000000000004</v>
      </c>
      <c r="BL6" s="566">
        <v>0.5</v>
      </c>
      <c r="BM6" s="409">
        <f t="shared" ref="BM6:BM67" si="34">BL6*L6</f>
        <v>436.5</v>
      </c>
      <c r="BN6" s="550">
        <v>10</v>
      </c>
      <c r="BO6" s="412">
        <f t="shared" si="13"/>
        <v>1</v>
      </c>
      <c r="BP6" s="414">
        <f t="shared" si="14"/>
        <v>0</v>
      </c>
      <c r="BQ6" s="557">
        <v>1</v>
      </c>
      <c r="BR6" s="589" t="s">
        <v>853</v>
      </c>
      <c r="BS6" s="593">
        <v>42053</v>
      </c>
      <c r="BT6" s="415">
        <f t="shared" si="15"/>
        <v>42418</v>
      </c>
      <c r="BU6" s="515">
        <v>155</v>
      </c>
      <c r="BV6" s="515">
        <v>3</v>
      </c>
      <c r="BW6" s="416">
        <f t="shared" si="16"/>
        <v>0</v>
      </c>
      <c r="BX6" s="417">
        <f t="shared" si="17"/>
        <v>1</v>
      </c>
      <c r="BY6" s="409">
        <f t="shared" si="18"/>
        <v>873</v>
      </c>
      <c r="BZ6" s="446">
        <f t="shared" si="19"/>
        <v>0</v>
      </c>
      <c r="CA6" s="542"/>
      <c r="CB6" s="557">
        <v>1</v>
      </c>
      <c r="CC6" s="451">
        <f t="shared" ref="CC6:CC67" si="35">CB6*L6</f>
        <v>873</v>
      </c>
      <c r="CD6" s="542">
        <v>3</v>
      </c>
      <c r="CE6" s="418" t="str">
        <f t="shared" ref="CE6:CE67" si="36">IF(CD6=0,"No coverage",IF(L6/CD6&gt;1000,"Low coverage",IF(L6/CD6&gt;750,"Average coverage",IF(L6/CD6&gt;500,"Good coverage","Excellent coverage"))))</f>
        <v>Excellent coverage</v>
      </c>
      <c r="CF6" s="550">
        <v>0</v>
      </c>
      <c r="CG6" s="551" t="s">
        <v>301</v>
      </c>
      <c r="CH6" s="602"/>
    </row>
    <row r="7" spans="2:86" s="40" customFormat="1" ht="30.75" customHeight="1" x14ac:dyDescent="0.2">
      <c r="B7" s="512" t="s">
        <v>107</v>
      </c>
      <c r="C7" s="513" t="s">
        <v>539</v>
      </c>
      <c r="D7" s="514" t="s">
        <v>322</v>
      </c>
      <c r="E7" s="513" t="s">
        <v>109</v>
      </c>
      <c r="F7" s="514" t="s">
        <v>491</v>
      </c>
      <c r="G7" s="514" t="s">
        <v>491</v>
      </c>
      <c r="H7" s="514" t="s">
        <v>467</v>
      </c>
      <c r="I7" s="514" t="s">
        <v>218</v>
      </c>
      <c r="J7" s="515">
        <v>143</v>
      </c>
      <c r="K7" s="515">
        <v>631</v>
      </c>
      <c r="L7" s="515">
        <v>631</v>
      </c>
      <c r="M7" s="405" t="str">
        <f t="shared" si="0"/>
        <v>2. Medium</v>
      </c>
      <c r="N7" s="516" t="s">
        <v>284</v>
      </c>
      <c r="O7" s="530" t="s">
        <v>284</v>
      </c>
      <c r="P7" s="439" t="str">
        <f t="shared" si="20"/>
        <v>Covered</v>
      </c>
      <c r="Q7" s="531">
        <v>42155</v>
      </c>
      <c r="R7" s="532"/>
      <c r="S7" s="531"/>
      <c r="T7" s="516" t="s">
        <v>260</v>
      </c>
      <c r="U7" s="436" t="str">
        <f t="shared" si="21"/>
        <v>Documented</v>
      </c>
      <c r="V7" s="542">
        <v>0</v>
      </c>
      <c r="W7" s="515">
        <v>0</v>
      </c>
      <c r="X7" s="543" t="s">
        <v>19</v>
      </c>
      <c r="Y7" s="542">
        <v>0</v>
      </c>
      <c r="Z7" s="550">
        <v>0</v>
      </c>
      <c r="AA7" s="551">
        <v>12760</v>
      </c>
      <c r="AB7" s="556">
        <v>0</v>
      </c>
      <c r="AC7" s="557">
        <v>0</v>
      </c>
      <c r="AD7" s="443">
        <f t="shared" si="1"/>
        <v>1</v>
      </c>
      <c r="AE7" s="407">
        <f t="shared" si="22"/>
        <v>631</v>
      </c>
      <c r="AF7" s="408">
        <f t="shared" si="2"/>
        <v>1</v>
      </c>
      <c r="AG7" s="409">
        <f t="shared" si="23"/>
        <v>631</v>
      </c>
      <c r="AH7" s="406">
        <f t="shared" si="3"/>
        <v>1</v>
      </c>
      <c r="AI7" s="409">
        <f t="shared" si="24"/>
        <v>631</v>
      </c>
      <c r="AJ7" s="410" t="str">
        <f t="shared" si="4"/>
        <v>80-100%</v>
      </c>
      <c r="AK7" s="406">
        <f t="shared" si="5"/>
        <v>0</v>
      </c>
      <c r="AL7" s="411">
        <f t="shared" si="6"/>
        <v>0</v>
      </c>
      <c r="AM7" s="409">
        <f t="shared" si="7"/>
        <v>1.5774999999999999</v>
      </c>
      <c r="AN7" s="409">
        <f t="shared" si="8"/>
        <v>0</v>
      </c>
      <c r="AO7" s="409">
        <f t="shared" si="25"/>
        <v>0</v>
      </c>
      <c r="AP7" s="566">
        <v>1</v>
      </c>
      <c r="AQ7" s="567">
        <f t="shared" si="26"/>
        <v>631</v>
      </c>
      <c r="AR7" s="551"/>
      <c r="AS7" s="552">
        <v>5</v>
      </c>
      <c r="AT7" s="515">
        <v>5</v>
      </c>
      <c r="AU7" s="515">
        <v>23</v>
      </c>
      <c r="AV7" s="515" t="s">
        <v>298</v>
      </c>
      <c r="AW7" s="412">
        <f t="shared" si="9"/>
        <v>0.88748019017432644</v>
      </c>
      <c r="AX7" s="409">
        <f t="shared" si="27"/>
        <v>560</v>
      </c>
      <c r="AY7" s="412">
        <f t="shared" si="10"/>
        <v>0.15847860538827252</v>
      </c>
      <c r="AZ7" s="409">
        <f t="shared" si="28"/>
        <v>99.999999999999957</v>
      </c>
      <c r="BA7" s="412">
        <f t="shared" si="11"/>
        <v>0.72900158478605392</v>
      </c>
      <c r="BB7" s="409">
        <f t="shared" si="29"/>
        <v>460</v>
      </c>
      <c r="BC7" s="550">
        <v>0</v>
      </c>
      <c r="BD7" s="571">
        <v>0.89</v>
      </c>
      <c r="BE7" s="413">
        <f t="shared" si="12"/>
        <v>561.59</v>
      </c>
      <c r="BF7" s="414">
        <f t="shared" si="30"/>
        <v>8.5500000000000007</v>
      </c>
      <c r="BG7" s="550">
        <v>7</v>
      </c>
      <c r="BH7" s="550" t="s">
        <v>299</v>
      </c>
      <c r="BI7" s="412">
        <f t="shared" si="31"/>
        <v>1</v>
      </c>
      <c r="BJ7" s="409">
        <f t="shared" si="32"/>
        <v>631</v>
      </c>
      <c r="BK7" s="414">
        <f t="shared" si="33"/>
        <v>0</v>
      </c>
      <c r="BL7" s="566">
        <v>1</v>
      </c>
      <c r="BM7" s="409">
        <f t="shared" si="34"/>
        <v>631</v>
      </c>
      <c r="BN7" s="550">
        <v>5</v>
      </c>
      <c r="BO7" s="412">
        <f t="shared" si="13"/>
        <v>0.79239302694136293</v>
      </c>
      <c r="BP7" s="414">
        <f t="shared" si="14"/>
        <v>1.3099999999999996</v>
      </c>
      <c r="BQ7" s="557">
        <v>0.79</v>
      </c>
      <c r="BR7" s="589"/>
      <c r="BS7" s="593">
        <v>42048</v>
      </c>
      <c r="BT7" s="415">
        <f t="shared" si="15"/>
        <v>42413</v>
      </c>
      <c r="BU7" s="515">
        <v>137</v>
      </c>
      <c r="BV7" s="515">
        <v>3</v>
      </c>
      <c r="BW7" s="416">
        <f t="shared" si="16"/>
        <v>6</v>
      </c>
      <c r="BX7" s="417">
        <f t="shared" si="17"/>
        <v>0.95804195804195802</v>
      </c>
      <c r="BY7" s="409">
        <f t="shared" si="18"/>
        <v>604.52447552447552</v>
      </c>
      <c r="BZ7" s="446">
        <f t="shared" si="19"/>
        <v>0</v>
      </c>
      <c r="CA7" s="542"/>
      <c r="CB7" s="557">
        <v>1</v>
      </c>
      <c r="CC7" s="451">
        <f t="shared" si="35"/>
        <v>631</v>
      </c>
      <c r="CD7" s="542">
        <v>2</v>
      </c>
      <c r="CE7" s="418" t="str">
        <f t="shared" si="36"/>
        <v>Excellent coverage</v>
      </c>
      <c r="CF7" s="550">
        <v>0</v>
      </c>
      <c r="CG7" s="551" t="s">
        <v>65</v>
      </c>
      <c r="CH7" s="602"/>
    </row>
    <row r="8" spans="2:86" s="40" customFormat="1" ht="30.75" customHeight="1" x14ac:dyDescent="0.2">
      <c r="B8" s="512" t="s">
        <v>107</v>
      </c>
      <c r="C8" s="513" t="s">
        <v>540</v>
      </c>
      <c r="D8" s="514" t="s">
        <v>322</v>
      </c>
      <c r="E8" s="513" t="s">
        <v>291</v>
      </c>
      <c r="F8" s="514">
        <v>98.376824999999997</v>
      </c>
      <c r="G8" s="514">
        <v>25.598251999999999</v>
      </c>
      <c r="H8" s="514" t="s">
        <v>467</v>
      </c>
      <c r="I8" s="514" t="s">
        <v>218</v>
      </c>
      <c r="J8" s="515">
        <v>68</v>
      </c>
      <c r="K8" s="515">
        <v>323</v>
      </c>
      <c r="L8" s="515">
        <v>323</v>
      </c>
      <c r="M8" s="405" t="str">
        <f t="shared" si="0"/>
        <v>2. Medium</v>
      </c>
      <c r="N8" s="516" t="s">
        <v>235</v>
      </c>
      <c r="O8" s="530" t="s">
        <v>235</v>
      </c>
      <c r="P8" s="439" t="str">
        <f t="shared" si="20"/>
        <v>Covered</v>
      </c>
      <c r="Q8" s="531">
        <v>42369</v>
      </c>
      <c r="R8" s="532"/>
      <c r="S8" s="531"/>
      <c r="T8" s="516" t="s">
        <v>260</v>
      </c>
      <c r="U8" s="436" t="str">
        <f t="shared" si="21"/>
        <v>Documented</v>
      </c>
      <c r="V8" s="542">
        <v>0</v>
      </c>
      <c r="W8" s="515">
        <v>0</v>
      </c>
      <c r="X8" s="543" t="s">
        <v>19</v>
      </c>
      <c r="Y8" s="542">
        <v>0</v>
      </c>
      <c r="Z8" s="550">
        <v>0</v>
      </c>
      <c r="AA8" s="551">
        <v>20250</v>
      </c>
      <c r="AB8" s="556">
        <v>0</v>
      </c>
      <c r="AC8" s="557">
        <v>1</v>
      </c>
      <c r="AD8" s="443">
        <f t="shared" si="1"/>
        <v>1</v>
      </c>
      <c r="AE8" s="407">
        <f t="shared" si="22"/>
        <v>323</v>
      </c>
      <c r="AF8" s="408">
        <f t="shared" si="2"/>
        <v>1</v>
      </c>
      <c r="AG8" s="409">
        <f t="shared" si="23"/>
        <v>323</v>
      </c>
      <c r="AH8" s="406">
        <f t="shared" si="3"/>
        <v>1</v>
      </c>
      <c r="AI8" s="409">
        <f t="shared" si="24"/>
        <v>323</v>
      </c>
      <c r="AJ8" s="410" t="str">
        <f t="shared" si="4"/>
        <v>80-100%</v>
      </c>
      <c r="AK8" s="406">
        <f t="shared" si="5"/>
        <v>0</v>
      </c>
      <c r="AL8" s="411">
        <f t="shared" si="6"/>
        <v>0</v>
      </c>
      <c r="AM8" s="409">
        <f t="shared" si="7"/>
        <v>0.8075</v>
      </c>
      <c r="AN8" s="409">
        <f t="shared" si="8"/>
        <v>68</v>
      </c>
      <c r="AO8" s="409">
        <f t="shared" si="25"/>
        <v>0</v>
      </c>
      <c r="AP8" s="566">
        <v>1</v>
      </c>
      <c r="AQ8" s="567">
        <f t="shared" si="26"/>
        <v>323</v>
      </c>
      <c r="AR8" s="551" t="s">
        <v>818</v>
      </c>
      <c r="AS8" s="552">
        <v>8</v>
      </c>
      <c r="AT8" s="515">
        <v>0</v>
      </c>
      <c r="AU8" s="515">
        <v>16</v>
      </c>
      <c r="AV8" s="515" t="s">
        <v>299</v>
      </c>
      <c r="AW8" s="412">
        <f t="shared" si="9"/>
        <v>0.99071207430340558</v>
      </c>
      <c r="AX8" s="409">
        <f t="shared" si="27"/>
        <v>320</v>
      </c>
      <c r="AY8" s="412">
        <f t="shared" si="10"/>
        <v>0</v>
      </c>
      <c r="AZ8" s="409">
        <f t="shared" si="28"/>
        <v>0</v>
      </c>
      <c r="BA8" s="412">
        <f t="shared" si="11"/>
        <v>0.99071207430340558</v>
      </c>
      <c r="BB8" s="409">
        <f t="shared" si="29"/>
        <v>320</v>
      </c>
      <c r="BC8" s="550">
        <v>0</v>
      </c>
      <c r="BD8" s="571">
        <v>0.99</v>
      </c>
      <c r="BE8" s="413">
        <f t="shared" si="12"/>
        <v>319.77</v>
      </c>
      <c r="BF8" s="414">
        <f t="shared" si="30"/>
        <v>0.14999999999999858</v>
      </c>
      <c r="BG8" s="550">
        <v>2</v>
      </c>
      <c r="BH8" s="550" t="s">
        <v>299</v>
      </c>
      <c r="BI8" s="412">
        <f t="shared" si="31"/>
        <v>0.61919504643962853</v>
      </c>
      <c r="BJ8" s="409">
        <f t="shared" si="32"/>
        <v>200</v>
      </c>
      <c r="BK8" s="414">
        <f t="shared" si="33"/>
        <v>1.23</v>
      </c>
      <c r="BL8" s="566">
        <v>0.62</v>
      </c>
      <c r="BM8" s="409">
        <f t="shared" si="34"/>
        <v>200.26</v>
      </c>
      <c r="BN8" s="550">
        <v>2</v>
      </c>
      <c r="BO8" s="412">
        <f t="shared" si="13"/>
        <v>0.61919504643962853</v>
      </c>
      <c r="BP8" s="414">
        <f t="shared" si="14"/>
        <v>1.23</v>
      </c>
      <c r="BQ8" s="557">
        <v>0.62</v>
      </c>
      <c r="BR8" s="589" t="s">
        <v>789</v>
      </c>
      <c r="BS8" s="593">
        <v>41780</v>
      </c>
      <c r="BT8" s="415" t="str">
        <f t="shared" si="15"/>
        <v>To be realised</v>
      </c>
      <c r="BU8" s="515">
        <v>94</v>
      </c>
      <c r="BV8" s="515">
        <v>10</v>
      </c>
      <c r="BW8" s="416">
        <f t="shared" si="16"/>
        <v>68</v>
      </c>
      <c r="BX8" s="417">
        <f t="shared" si="17"/>
        <v>0</v>
      </c>
      <c r="BY8" s="409">
        <f t="shared" si="18"/>
        <v>0</v>
      </c>
      <c r="BZ8" s="446">
        <f t="shared" si="19"/>
        <v>2</v>
      </c>
      <c r="CA8" s="542"/>
      <c r="CB8" s="557">
        <v>0</v>
      </c>
      <c r="CC8" s="451">
        <f t="shared" si="35"/>
        <v>0</v>
      </c>
      <c r="CD8" s="542">
        <v>0</v>
      </c>
      <c r="CE8" s="418" t="str">
        <f t="shared" si="36"/>
        <v>No coverage</v>
      </c>
      <c r="CF8" s="550">
        <v>0</v>
      </c>
      <c r="CG8" s="551" t="s">
        <v>301</v>
      </c>
      <c r="CH8" s="602"/>
    </row>
    <row r="9" spans="2:86" s="40" customFormat="1" ht="30.75" customHeight="1" x14ac:dyDescent="0.2">
      <c r="B9" s="512" t="s">
        <v>110</v>
      </c>
      <c r="C9" s="513" t="s">
        <v>541</v>
      </c>
      <c r="D9" s="514" t="s">
        <v>264</v>
      </c>
      <c r="E9" s="513" t="s">
        <v>111</v>
      </c>
      <c r="F9" s="514">
        <v>96.355270000000004</v>
      </c>
      <c r="G9" s="514">
        <v>25.656130000000001</v>
      </c>
      <c r="H9" s="514" t="s">
        <v>467</v>
      </c>
      <c r="I9" s="514" t="s">
        <v>218</v>
      </c>
      <c r="J9" s="515">
        <v>77</v>
      </c>
      <c r="K9" s="515">
        <v>360</v>
      </c>
      <c r="L9" s="515">
        <v>360</v>
      </c>
      <c r="M9" s="405" t="str">
        <f t="shared" si="0"/>
        <v>2. Medium</v>
      </c>
      <c r="N9" s="516" t="s">
        <v>284</v>
      </c>
      <c r="O9" s="530" t="s">
        <v>284</v>
      </c>
      <c r="P9" s="439" t="str">
        <f t="shared" si="20"/>
        <v>Covered</v>
      </c>
      <c r="Q9" s="531" t="s">
        <v>656</v>
      </c>
      <c r="R9" s="532"/>
      <c r="S9" s="531"/>
      <c r="T9" s="516" t="s">
        <v>260</v>
      </c>
      <c r="U9" s="436" t="str">
        <f t="shared" si="21"/>
        <v>Documented</v>
      </c>
      <c r="V9" s="542">
        <v>0</v>
      </c>
      <c r="W9" s="515">
        <v>0</v>
      </c>
      <c r="X9" s="543" t="s">
        <v>19</v>
      </c>
      <c r="Y9" s="542">
        <v>3</v>
      </c>
      <c r="Z9" s="550">
        <v>0</v>
      </c>
      <c r="AA9" s="551">
        <v>6000</v>
      </c>
      <c r="AB9" s="556">
        <v>0</v>
      </c>
      <c r="AC9" s="557">
        <v>0</v>
      </c>
      <c r="AD9" s="443">
        <f t="shared" si="1"/>
        <v>1</v>
      </c>
      <c r="AE9" s="407">
        <f t="shared" si="22"/>
        <v>360</v>
      </c>
      <c r="AF9" s="408">
        <f t="shared" si="2"/>
        <v>1</v>
      </c>
      <c r="AG9" s="409">
        <f t="shared" si="23"/>
        <v>360</v>
      </c>
      <c r="AH9" s="406">
        <f t="shared" si="3"/>
        <v>1</v>
      </c>
      <c r="AI9" s="409">
        <f t="shared" si="24"/>
        <v>360</v>
      </c>
      <c r="AJ9" s="410" t="str">
        <f t="shared" si="4"/>
        <v>80-100%</v>
      </c>
      <c r="AK9" s="406">
        <f t="shared" si="5"/>
        <v>0</v>
      </c>
      <c r="AL9" s="411">
        <f t="shared" si="6"/>
        <v>0</v>
      </c>
      <c r="AM9" s="409">
        <f t="shared" si="7"/>
        <v>0</v>
      </c>
      <c r="AN9" s="409">
        <f t="shared" si="8"/>
        <v>0</v>
      </c>
      <c r="AO9" s="409">
        <f t="shared" si="25"/>
        <v>0</v>
      </c>
      <c r="AP9" s="566">
        <v>1</v>
      </c>
      <c r="AQ9" s="567">
        <f t="shared" si="26"/>
        <v>360</v>
      </c>
      <c r="AR9" s="551"/>
      <c r="AS9" s="552">
        <v>8</v>
      </c>
      <c r="AT9" s="515">
        <v>0</v>
      </c>
      <c r="AU9" s="515">
        <v>5</v>
      </c>
      <c r="AV9" s="515" t="s">
        <v>91</v>
      </c>
      <c r="AW9" s="412">
        <f t="shared" si="9"/>
        <v>0.27777777777777779</v>
      </c>
      <c r="AX9" s="409">
        <f t="shared" si="27"/>
        <v>100</v>
      </c>
      <c r="AY9" s="412">
        <f t="shared" si="10"/>
        <v>0</v>
      </c>
      <c r="AZ9" s="409">
        <f t="shared" si="28"/>
        <v>0</v>
      </c>
      <c r="BA9" s="412">
        <f t="shared" si="11"/>
        <v>0.27777777777777779</v>
      </c>
      <c r="BB9" s="409">
        <f t="shared" si="29"/>
        <v>100</v>
      </c>
      <c r="BC9" s="550">
        <v>0</v>
      </c>
      <c r="BD9" s="571">
        <v>0.28000000000000003</v>
      </c>
      <c r="BE9" s="413">
        <f t="shared" si="12"/>
        <v>100.80000000000001</v>
      </c>
      <c r="BF9" s="414">
        <f t="shared" si="30"/>
        <v>13</v>
      </c>
      <c r="BG9" s="550">
        <v>2</v>
      </c>
      <c r="BH9" s="550" t="s">
        <v>300</v>
      </c>
      <c r="BI9" s="412">
        <f t="shared" si="31"/>
        <v>0.55555555555555558</v>
      </c>
      <c r="BJ9" s="409">
        <f t="shared" si="32"/>
        <v>200</v>
      </c>
      <c r="BK9" s="414">
        <f t="shared" si="33"/>
        <v>1.6</v>
      </c>
      <c r="BL9" s="566">
        <v>0.56000000000000005</v>
      </c>
      <c r="BM9" s="409">
        <f t="shared" si="34"/>
        <v>201.60000000000002</v>
      </c>
      <c r="BN9" s="550">
        <v>6</v>
      </c>
      <c r="BO9" s="412">
        <f t="shared" si="13"/>
        <v>1</v>
      </c>
      <c r="BP9" s="414">
        <f t="shared" si="14"/>
        <v>0</v>
      </c>
      <c r="BQ9" s="557">
        <v>1</v>
      </c>
      <c r="BR9" s="589" t="s">
        <v>790</v>
      </c>
      <c r="BS9" s="593">
        <v>41695</v>
      </c>
      <c r="BT9" s="415" t="str">
        <f t="shared" si="15"/>
        <v>To be realised</v>
      </c>
      <c r="BU9" s="515">
        <v>77</v>
      </c>
      <c r="BV9" s="515">
        <v>10</v>
      </c>
      <c r="BW9" s="416">
        <f t="shared" si="16"/>
        <v>77</v>
      </c>
      <c r="BX9" s="417">
        <f t="shared" si="17"/>
        <v>0</v>
      </c>
      <c r="BY9" s="409">
        <f t="shared" si="18"/>
        <v>0</v>
      </c>
      <c r="BZ9" s="446">
        <f t="shared" si="19"/>
        <v>4</v>
      </c>
      <c r="CA9" s="542" t="s">
        <v>780</v>
      </c>
      <c r="CB9" s="557">
        <v>0</v>
      </c>
      <c r="CC9" s="451">
        <f t="shared" si="35"/>
        <v>0</v>
      </c>
      <c r="CD9" s="542">
        <v>2</v>
      </c>
      <c r="CE9" s="418" t="str">
        <f t="shared" si="36"/>
        <v>Excellent coverage</v>
      </c>
      <c r="CF9" s="550">
        <v>0</v>
      </c>
      <c r="CG9" s="551" t="s">
        <v>65</v>
      </c>
      <c r="CH9" s="602"/>
    </row>
    <row r="10" spans="2:86" s="40" customFormat="1" ht="30.75" customHeight="1" x14ac:dyDescent="0.2">
      <c r="B10" s="512" t="s">
        <v>110</v>
      </c>
      <c r="C10" s="513" t="s">
        <v>542</v>
      </c>
      <c r="D10" s="514" t="s">
        <v>264</v>
      </c>
      <c r="E10" s="513" t="s">
        <v>112</v>
      </c>
      <c r="F10" s="514">
        <v>96.353070000000002</v>
      </c>
      <c r="G10" s="514">
        <v>25.655819999999999</v>
      </c>
      <c r="H10" s="514" t="s">
        <v>467</v>
      </c>
      <c r="I10" s="514" t="s">
        <v>218</v>
      </c>
      <c r="J10" s="515">
        <v>83</v>
      </c>
      <c r="K10" s="515">
        <v>425</v>
      </c>
      <c r="L10" s="515">
        <v>425</v>
      </c>
      <c r="M10" s="405" t="str">
        <f t="shared" si="0"/>
        <v>2. Medium</v>
      </c>
      <c r="N10" s="516" t="s">
        <v>235</v>
      </c>
      <c r="O10" s="530" t="s">
        <v>235</v>
      </c>
      <c r="P10" s="439" t="str">
        <f t="shared" si="20"/>
        <v>Covered</v>
      </c>
      <c r="Q10" s="531">
        <v>42369</v>
      </c>
      <c r="R10" s="532"/>
      <c r="S10" s="531"/>
      <c r="T10" s="516" t="s">
        <v>260</v>
      </c>
      <c r="U10" s="436" t="str">
        <f t="shared" si="21"/>
        <v>Documented</v>
      </c>
      <c r="V10" s="542">
        <v>0</v>
      </c>
      <c r="W10" s="515">
        <v>0</v>
      </c>
      <c r="X10" s="543" t="s">
        <v>19</v>
      </c>
      <c r="Y10" s="542">
        <v>2</v>
      </c>
      <c r="Z10" s="550">
        <v>0</v>
      </c>
      <c r="AA10" s="551">
        <v>3000</v>
      </c>
      <c r="AB10" s="556">
        <v>0</v>
      </c>
      <c r="AC10" s="557">
        <v>0</v>
      </c>
      <c r="AD10" s="443">
        <f t="shared" si="1"/>
        <v>1</v>
      </c>
      <c r="AE10" s="407">
        <f t="shared" si="22"/>
        <v>425</v>
      </c>
      <c r="AF10" s="408">
        <f t="shared" si="2"/>
        <v>1</v>
      </c>
      <c r="AG10" s="409">
        <f t="shared" si="23"/>
        <v>425</v>
      </c>
      <c r="AH10" s="406">
        <f t="shared" si="3"/>
        <v>1</v>
      </c>
      <c r="AI10" s="409">
        <f t="shared" si="24"/>
        <v>425</v>
      </c>
      <c r="AJ10" s="410" t="str">
        <f t="shared" si="4"/>
        <v>80-100%</v>
      </c>
      <c r="AK10" s="406">
        <f t="shared" si="5"/>
        <v>0</v>
      </c>
      <c r="AL10" s="411">
        <f t="shared" si="6"/>
        <v>0</v>
      </c>
      <c r="AM10" s="409">
        <f t="shared" si="7"/>
        <v>0</v>
      </c>
      <c r="AN10" s="409">
        <f t="shared" si="8"/>
        <v>0</v>
      </c>
      <c r="AO10" s="409">
        <f t="shared" si="25"/>
        <v>0</v>
      </c>
      <c r="AP10" s="566">
        <v>1</v>
      </c>
      <c r="AQ10" s="567">
        <f t="shared" si="26"/>
        <v>425</v>
      </c>
      <c r="AR10" s="551"/>
      <c r="AS10" s="552">
        <v>10</v>
      </c>
      <c r="AT10" s="515">
        <v>0</v>
      </c>
      <c r="AU10" s="515">
        <v>19</v>
      </c>
      <c r="AV10" s="515" t="s">
        <v>299</v>
      </c>
      <c r="AW10" s="412">
        <f t="shared" si="9"/>
        <v>0.89411764705882357</v>
      </c>
      <c r="AX10" s="409">
        <f t="shared" si="27"/>
        <v>380</v>
      </c>
      <c r="AY10" s="412">
        <f t="shared" si="10"/>
        <v>0</v>
      </c>
      <c r="AZ10" s="409">
        <f t="shared" si="28"/>
        <v>0</v>
      </c>
      <c r="BA10" s="412">
        <f t="shared" si="11"/>
        <v>0.89411764705882357</v>
      </c>
      <c r="BB10" s="409">
        <f t="shared" si="29"/>
        <v>380</v>
      </c>
      <c r="BC10" s="550">
        <v>0</v>
      </c>
      <c r="BD10" s="571">
        <v>0.89</v>
      </c>
      <c r="BE10" s="413">
        <f t="shared" si="12"/>
        <v>378.25</v>
      </c>
      <c r="BF10" s="414">
        <f t="shared" si="30"/>
        <v>2.25</v>
      </c>
      <c r="BG10" s="550">
        <v>2</v>
      </c>
      <c r="BH10" s="550" t="s">
        <v>91</v>
      </c>
      <c r="BI10" s="412">
        <f t="shared" si="31"/>
        <v>0.47058823529411764</v>
      </c>
      <c r="BJ10" s="409">
        <f t="shared" si="32"/>
        <v>200</v>
      </c>
      <c r="BK10" s="414">
        <f t="shared" si="33"/>
        <v>2.25</v>
      </c>
      <c r="BL10" s="566">
        <v>0.48</v>
      </c>
      <c r="BM10" s="409">
        <f t="shared" si="34"/>
        <v>204</v>
      </c>
      <c r="BN10" s="550">
        <v>2</v>
      </c>
      <c r="BO10" s="412">
        <f t="shared" si="13"/>
        <v>0.47058823529411764</v>
      </c>
      <c r="BP10" s="414">
        <f t="shared" si="14"/>
        <v>2.25</v>
      </c>
      <c r="BQ10" s="557">
        <v>0.48</v>
      </c>
      <c r="BR10" s="589" t="s">
        <v>791</v>
      </c>
      <c r="BS10" s="593">
        <v>41817</v>
      </c>
      <c r="BT10" s="415">
        <f t="shared" si="15"/>
        <v>42182</v>
      </c>
      <c r="BU10" s="515">
        <v>83</v>
      </c>
      <c r="BV10" s="515">
        <v>2</v>
      </c>
      <c r="BW10" s="416">
        <f t="shared" si="16"/>
        <v>0</v>
      </c>
      <c r="BX10" s="417">
        <f t="shared" si="17"/>
        <v>1</v>
      </c>
      <c r="BY10" s="409">
        <f t="shared" si="18"/>
        <v>425</v>
      </c>
      <c r="BZ10" s="446">
        <f t="shared" si="19"/>
        <v>8</v>
      </c>
      <c r="CA10" s="542"/>
      <c r="CB10" s="557">
        <v>0</v>
      </c>
      <c r="CC10" s="451">
        <f t="shared" si="35"/>
        <v>0</v>
      </c>
      <c r="CD10" s="542">
        <v>0</v>
      </c>
      <c r="CE10" s="418" t="str">
        <f t="shared" si="36"/>
        <v>No coverage</v>
      </c>
      <c r="CF10" s="550">
        <v>0</v>
      </c>
      <c r="CG10" s="551" t="s">
        <v>301</v>
      </c>
      <c r="CH10" s="602"/>
    </row>
    <row r="11" spans="2:86" s="40" customFormat="1" ht="30.75" customHeight="1" x14ac:dyDescent="0.2">
      <c r="B11" s="512" t="s">
        <v>110</v>
      </c>
      <c r="C11" s="513" t="s">
        <v>543</v>
      </c>
      <c r="D11" s="514" t="s">
        <v>264</v>
      </c>
      <c r="E11" s="513" t="s">
        <v>113</v>
      </c>
      <c r="F11" s="514">
        <v>96.345569999999995</v>
      </c>
      <c r="G11" s="514">
        <v>25.635300000000001</v>
      </c>
      <c r="H11" s="514" t="s">
        <v>467</v>
      </c>
      <c r="I11" s="514" t="s">
        <v>218</v>
      </c>
      <c r="J11" s="515">
        <v>67</v>
      </c>
      <c r="K11" s="515">
        <v>338</v>
      </c>
      <c r="L11" s="515">
        <v>338</v>
      </c>
      <c r="M11" s="405" t="str">
        <f t="shared" si="0"/>
        <v>2. Medium</v>
      </c>
      <c r="N11" s="516" t="s">
        <v>284</v>
      </c>
      <c r="O11" s="530" t="s">
        <v>284</v>
      </c>
      <c r="P11" s="439" t="str">
        <f t="shared" si="20"/>
        <v>Covered</v>
      </c>
      <c r="Q11" s="531" t="s">
        <v>656</v>
      </c>
      <c r="R11" s="532"/>
      <c r="S11" s="531"/>
      <c r="T11" s="516" t="s">
        <v>260</v>
      </c>
      <c r="U11" s="436" t="str">
        <f t="shared" si="21"/>
        <v>Documented</v>
      </c>
      <c r="V11" s="542">
        <v>0</v>
      </c>
      <c r="W11" s="515">
        <v>0</v>
      </c>
      <c r="X11" s="543" t="s">
        <v>19</v>
      </c>
      <c r="Y11" s="542">
        <v>1</v>
      </c>
      <c r="Z11" s="550">
        <v>0</v>
      </c>
      <c r="AA11" s="551">
        <v>0</v>
      </c>
      <c r="AB11" s="556">
        <v>0</v>
      </c>
      <c r="AC11" s="557">
        <v>0</v>
      </c>
      <c r="AD11" s="443">
        <f t="shared" si="1"/>
        <v>1</v>
      </c>
      <c r="AE11" s="407">
        <f t="shared" si="22"/>
        <v>338</v>
      </c>
      <c r="AF11" s="408">
        <f t="shared" si="2"/>
        <v>1</v>
      </c>
      <c r="AG11" s="409">
        <f t="shared" si="23"/>
        <v>338</v>
      </c>
      <c r="AH11" s="406">
        <f t="shared" si="3"/>
        <v>1</v>
      </c>
      <c r="AI11" s="409">
        <f t="shared" si="24"/>
        <v>338</v>
      </c>
      <c r="AJ11" s="410" t="str">
        <f t="shared" si="4"/>
        <v>80-100%</v>
      </c>
      <c r="AK11" s="406">
        <f t="shared" si="5"/>
        <v>0</v>
      </c>
      <c r="AL11" s="411">
        <f t="shared" si="6"/>
        <v>0</v>
      </c>
      <c r="AM11" s="409">
        <f t="shared" si="7"/>
        <v>0</v>
      </c>
      <c r="AN11" s="409">
        <f t="shared" si="8"/>
        <v>0</v>
      </c>
      <c r="AO11" s="409">
        <f t="shared" si="25"/>
        <v>0</v>
      </c>
      <c r="AP11" s="566">
        <v>1</v>
      </c>
      <c r="AQ11" s="567">
        <f t="shared" si="26"/>
        <v>338</v>
      </c>
      <c r="AR11" s="551"/>
      <c r="AS11" s="552">
        <v>6</v>
      </c>
      <c r="AT11" s="515">
        <v>0</v>
      </c>
      <c r="AU11" s="515">
        <v>15</v>
      </c>
      <c r="AV11" s="515" t="s">
        <v>91</v>
      </c>
      <c r="AW11" s="412">
        <f t="shared" si="9"/>
        <v>0.8875739644970414</v>
      </c>
      <c r="AX11" s="409">
        <f t="shared" si="27"/>
        <v>300</v>
      </c>
      <c r="AY11" s="412">
        <f t="shared" si="10"/>
        <v>0</v>
      </c>
      <c r="AZ11" s="409">
        <f t="shared" si="28"/>
        <v>0</v>
      </c>
      <c r="BA11" s="412">
        <f t="shared" si="11"/>
        <v>0.8875739644970414</v>
      </c>
      <c r="BB11" s="409">
        <f t="shared" si="29"/>
        <v>300</v>
      </c>
      <c r="BC11" s="550">
        <v>0</v>
      </c>
      <c r="BD11" s="571">
        <v>0.89</v>
      </c>
      <c r="BE11" s="413">
        <f t="shared" si="12"/>
        <v>300.82</v>
      </c>
      <c r="BF11" s="414">
        <f t="shared" si="30"/>
        <v>1.8999999999999986</v>
      </c>
      <c r="BG11" s="550">
        <v>2</v>
      </c>
      <c r="BH11" s="550" t="s">
        <v>299</v>
      </c>
      <c r="BI11" s="412">
        <f t="shared" si="31"/>
        <v>0.59171597633136097</v>
      </c>
      <c r="BJ11" s="409">
        <f t="shared" si="32"/>
        <v>200</v>
      </c>
      <c r="BK11" s="414">
        <f t="shared" si="33"/>
        <v>1.38</v>
      </c>
      <c r="BL11" s="566">
        <v>0.59</v>
      </c>
      <c r="BM11" s="409">
        <f t="shared" si="34"/>
        <v>199.42</v>
      </c>
      <c r="BN11" s="550">
        <v>3</v>
      </c>
      <c r="BO11" s="412">
        <f t="shared" si="13"/>
        <v>0.8875739644970414</v>
      </c>
      <c r="BP11" s="414">
        <f t="shared" si="14"/>
        <v>0.37999999999999989</v>
      </c>
      <c r="BQ11" s="557">
        <v>0.89</v>
      </c>
      <c r="BR11" s="589"/>
      <c r="BS11" s="593">
        <v>41695</v>
      </c>
      <c r="BT11" s="415" t="str">
        <f t="shared" si="15"/>
        <v>To be realised</v>
      </c>
      <c r="BU11" s="515">
        <v>67</v>
      </c>
      <c r="BV11" s="515">
        <v>10</v>
      </c>
      <c r="BW11" s="416">
        <f t="shared" si="16"/>
        <v>67</v>
      </c>
      <c r="BX11" s="417">
        <f t="shared" si="17"/>
        <v>0</v>
      </c>
      <c r="BY11" s="409">
        <f t="shared" si="18"/>
        <v>0</v>
      </c>
      <c r="BZ11" s="446">
        <f t="shared" si="19"/>
        <v>4</v>
      </c>
      <c r="CA11" s="542" t="s">
        <v>780</v>
      </c>
      <c r="CB11" s="557">
        <v>0</v>
      </c>
      <c r="CC11" s="451">
        <f t="shared" si="35"/>
        <v>0</v>
      </c>
      <c r="CD11" s="542">
        <v>2</v>
      </c>
      <c r="CE11" s="418" t="str">
        <f t="shared" si="36"/>
        <v>Excellent coverage</v>
      </c>
      <c r="CF11" s="550">
        <v>0</v>
      </c>
      <c r="CG11" s="551" t="s">
        <v>65</v>
      </c>
      <c r="CH11" s="602"/>
    </row>
    <row r="12" spans="2:86" s="40" customFormat="1" ht="30.75" customHeight="1" x14ac:dyDescent="0.2">
      <c r="B12" s="512" t="s">
        <v>110</v>
      </c>
      <c r="C12" s="513" t="s">
        <v>544</v>
      </c>
      <c r="D12" s="514" t="s">
        <v>264</v>
      </c>
      <c r="E12" s="513" t="s">
        <v>114</v>
      </c>
      <c r="F12" s="514">
        <v>96.317350000000005</v>
      </c>
      <c r="G12" s="514">
        <v>25.616509000000001</v>
      </c>
      <c r="H12" s="514" t="s">
        <v>467</v>
      </c>
      <c r="I12" s="514" t="s">
        <v>218</v>
      </c>
      <c r="J12" s="515">
        <v>14</v>
      </c>
      <c r="K12" s="515">
        <v>80</v>
      </c>
      <c r="L12" s="515">
        <v>80</v>
      </c>
      <c r="M12" s="405" t="str">
        <f t="shared" si="0"/>
        <v>1. Small</v>
      </c>
      <c r="N12" s="516" t="s">
        <v>284</v>
      </c>
      <c r="O12" s="530" t="s">
        <v>284</v>
      </c>
      <c r="P12" s="439" t="str">
        <f t="shared" si="20"/>
        <v>Covered</v>
      </c>
      <c r="Q12" s="531" t="s">
        <v>656</v>
      </c>
      <c r="R12" s="532"/>
      <c r="S12" s="531"/>
      <c r="T12" s="516" t="s">
        <v>260</v>
      </c>
      <c r="U12" s="436" t="str">
        <f t="shared" si="21"/>
        <v>Documented</v>
      </c>
      <c r="V12" s="542">
        <v>0</v>
      </c>
      <c r="W12" s="515">
        <v>0</v>
      </c>
      <c r="X12" s="543" t="s">
        <v>19</v>
      </c>
      <c r="Y12" s="542">
        <v>1</v>
      </c>
      <c r="Z12" s="550">
        <v>0</v>
      </c>
      <c r="AA12" s="551">
        <v>0</v>
      </c>
      <c r="AB12" s="556">
        <v>0</v>
      </c>
      <c r="AC12" s="557">
        <v>0</v>
      </c>
      <c r="AD12" s="443">
        <f t="shared" si="1"/>
        <v>1</v>
      </c>
      <c r="AE12" s="407">
        <f t="shared" si="22"/>
        <v>80</v>
      </c>
      <c r="AF12" s="408">
        <f t="shared" si="2"/>
        <v>1</v>
      </c>
      <c r="AG12" s="409">
        <f t="shared" si="23"/>
        <v>80</v>
      </c>
      <c r="AH12" s="406">
        <f t="shared" si="3"/>
        <v>1</v>
      </c>
      <c r="AI12" s="409">
        <f t="shared" si="24"/>
        <v>80</v>
      </c>
      <c r="AJ12" s="410" t="str">
        <f t="shared" si="4"/>
        <v>80-100%</v>
      </c>
      <c r="AK12" s="406">
        <f t="shared" si="5"/>
        <v>0</v>
      </c>
      <c r="AL12" s="411">
        <f t="shared" si="6"/>
        <v>0</v>
      </c>
      <c r="AM12" s="409">
        <f t="shared" si="7"/>
        <v>0</v>
      </c>
      <c r="AN12" s="409">
        <f t="shared" si="8"/>
        <v>0</v>
      </c>
      <c r="AO12" s="409">
        <f t="shared" si="25"/>
        <v>0</v>
      </c>
      <c r="AP12" s="566">
        <v>1</v>
      </c>
      <c r="AQ12" s="567">
        <f t="shared" si="26"/>
        <v>80</v>
      </c>
      <c r="AR12" s="551"/>
      <c r="AS12" s="552">
        <v>0</v>
      </c>
      <c r="AT12" s="515">
        <v>0</v>
      </c>
      <c r="AU12" s="515">
        <v>4</v>
      </c>
      <c r="AV12" s="515" t="s">
        <v>91</v>
      </c>
      <c r="AW12" s="412">
        <f t="shared" si="9"/>
        <v>1</v>
      </c>
      <c r="AX12" s="409">
        <f t="shared" si="27"/>
        <v>80</v>
      </c>
      <c r="AY12" s="412">
        <f t="shared" si="10"/>
        <v>0</v>
      </c>
      <c r="AZ12" s="409">
        <f t="shared" si="28"/>
        <v>0</v>
      </c>
      <c r="BA12" s="412">
        <f t="shared" si="11"/>
        <v>1</v>
      </c>
      <c r="BB12" s="409">
        <f t="shared" si="29"/>
        <v>80</v>
      </c>
      <c r="BC12" s="550">
        <v>0</v>
      </c>
      <c r="BD12" s="571">
        <v>1</v>
      </c>
      <c r="BE12" s="413">
        <f t="shared" si="12"/>
        <v>80</v>
      </c>
      <c r="BF12" s="414">
        <f t="shared" si="30"/>
        <v>0</v>
      </c>
      <c r="BG12" s="550">
        <v>2</v>
      </c>
      <c r="BH12" s="550" t="s">
        <v>300</v>
      </c>
      <c r="BI12" s="412">
        <f t="shared" si="31"/>
        <v>1</v>
      </c>
      <c r="BJ12" s="409">
        <f t="shared" si="32"/>
        <v>80</v>
      </c>
      <c r="BK12" s="414">
        <f t="shared" si="33"/>
        <v>0</v>
      </c>
      <c r="BL12" s="566">
        <v>1</v>
      </c>
      <c r="BM12" s="409">
        <f t="shared" si="34"/>
        <v>80</v>
      </c>
      <c r="BN12" s="550">
        <v>3</v>
      </c>
      <c r="BO12" s="412">
        <f t="shared" si="13"/>
        <v>1</v>
      </c>
      <c r="BP12" s="414">
        <f t="shared" si="14"/>
        <v>0</v>
      </c>
      <c r="BQ12" s="557">
        <v>1</v>
      </c>
      <c r="BR12" s="589"/>
      <c r="BS12" s="593">
        <v>41695</v>
      </c>
      <c r="BT12" s="415" t="str">
        <f t="shared" si="15"/>
        <v>To be realised</v>
      </c>
      <c r="BU12" s="515">
        <v>14</v>
      </c>
      <c r="BV12" s="515">
        <v>10</v>
      </c>
      <c r="BW12" s="416">
        <f t="shared" si="16"/>
        <v>14</v>
      </c>
      <c r="BX12" s="417">
        <f t="shared" si="17"/>
        <v>0</v>
      </c>
      <c r="BY12" s="409">
        <f t="shared" si="18"/>
        <v>0</v>
      </c>
      <c r="BZ12" s="446">
        <f t="shared" si="19"/>
        <v>4</v>
      </c>
      <c r="CA12" s="542" t="s">
        <v>780</v>
      </c>
      <c r="CB12" s="557">
        <v>0</v>
      </c>
      <c r="CC12" s="451">
        <f t="shared" si="35"/>
        <v>0</v>
      </c>
      <c r="CD12" s="542">
        <v>1</v>
      </c>
      <c r="CE12" s="418" t="str">
        <f t="shared" si="36"/>
        <v>Excellent coverage</v>
      </c>
      <c r="CF12" s="550">
        <v>0</v>
      </c>
      <c r="CG12" s="551" t="s">
        <v>65</v>
      </c>
      <c r="CH12" s="602"/>
    </row>
    <row r="13" spans="2:86" s="40" customFormat="1" ht="30.75" customHeight="1" x14ac:dyDescent="0.2">
      <c r="B13" s="512" t="s">
        <v>110</v>
      </c>
      <c r="C13" s="513" t="s">
        <v>545</v>
      </c>
      <c r="D13" s="514" t="s">
        <v>264</v>
      </c>
      <c r="E13" s="513" t="s">
        <v>115</v>
      </c>
      <c r="F13" s="514">
        <v>96.346469999999997</v>
      </c>
      <c r="G13" s="514">
        <v>25.647649999999999</v>
      </c>
      <c r="H13" s="514" t="s">
        <v>467</v>
      </c>
      <c r="I13" s="514" t="s">
        <v>218</v>
      </c>
      <c r="J13" s="515">
        <v>35</v>
      </c>
      <c r="K13" s="515">
        <v>218</v>
      </c>
      <c r="L13" s="515">
        <v>218</v>
      </c>
      <c r="M13" s="405" t="str">
        <f t="shared" si="0"/>
        <v>1. Small</v>
      </c>
      <c r="N13" s="516" t="s">
        <v>284</v>
      </c>
      <c r="O13" s="530" t="s">
        <v>284</v>
      </c>
      <c r="P13" s="439" t="str">
        <f t="shared" si="20"/>
        <v>Covered</v>
      </c>
      <c r="Q13" s="531" t="s">
        <v>656</v>
      </c>
      <c r="R13" s="532"/>
      <c r="S13" s="531"/>
      <c r="T13" s="516" t="s">
        <v>260</v>
      </c>
      <c r="U13" s="436" t="str">
        <f t="shared" si="21"/>
        <v>Documented</v>
      </c>
      <c r="V13" s="542">
        <v>0</v>
      </c>
      <c r="W13" s="515">
        <v>0</v>
      </c>
      <c r="X13" s="543" t="s">
        <v>19</v>
      </c>
      <c r="Y13" s="542">
        <v>2</v>
      </c>
      <c r="Z13" s="550">
        <v>0</v>
      </c>
      <c r="AA13" s="551">
        <v>0</v>
      </c>
      <c r="AB13" s="556">
        <v>0</v>
      </c>
      <c r="AC13" s="557">
        <v>0</v>
      </c>
      <c r="AD13" s="443">
        <f t="shared" si="1"/>
        <v>1</v>
      </c>
      <c r="AE13" s="407">
        <f t="shared" si="22"/>
        <v>218</v>
      </c>
      <c r="AF13" s="408">
        <f t="shared" si="2"/>
        <v>1</v>
      </c>
      <c r="AG13" s="409">
        <f t="shared" si="23"/>
        <v>218</v>
      </c>
      <c r="AH13" s="406">
        <f t="shared" si="3"/>
        <v>1</v>
      </c>
      <c r="AI13" s="409">
        <f t="shared" si="24"/>
        <v>218</v>
      </c>
      <c r="AJ13" s="410" t="str">
        <f t="shared" si="4"/>
        <v>80-100%</v>
      </c>
      <c r="AK13" s="406">
        <f t="shared" si="5"/>
        <v>0</v>
      </c>
      <c r="AL13" s="411">
        <f t="shared" si="6"/>
        <v>0</v>
      </c>
      <c r="AM13" s="409">
        <f t="shared" si="7"/>
        <v>0</v>
      </c>
      <c r="AN13" s="409">
        <f t="shared" si="8"/>
        <v>0</v>
      </c>
      <c r="AO13" s="409">
        <f t="shared" si="25"/>
        <v>0</v>
      </c>
      <c r="AP13" s="566">
        <v>1</v>
      </c>
      <c r="AQ13" s="567">
        <f t="shared" si="26"/>
        <v>218</v>
      </c>
      <c r="AR13" s="551"/>
      <c r="AS13" s="552">
        <v>10</v>
      </c>
      <c r="AT13" s="515">
        <v>0</v>
      </c>
      <c r="AU13" s="515">
        <v>10</v>
      </c>
      <c r="AV13" s="515" t="s">
        <v>299</v>
      </c>
      <c r="AW13" s="412">
        <f t="shared" si="9"/>
        <v>0.91743119266055051</v>
      </c>
      <c r="AX13" s="409">
        <f t="shared" si="27"/>
        <v>200</v>
      </c>
      <c r="AY13" s="412">
        <f t="shared" si="10"/>
        <v>0</v>
      </c>
      <c r="AZ13" s="409">
        <f t="shared" si="28"/>
        <v>0</v>
      </c>
      <c r="BA13" s="412">
        <f t="shared" si="11"/>
        <v>0.91743119266055051</v>
      </c>
      <c r="BB13" s="409">
        <f t="shared" si="29"/>
        <v>200</v>
      </c>
      <c r="BC13" s="550">
        <v>0</v>
      </c>
      <c r="BD13" s="571">
        <v>0.92</v>
      </c>
      <c r="BE13" s="413">
        <f t="shared" si="12"/>
        <v>200.56</v>
      </c>
      <c r="BF13" s="414">
        <f t="shared" si="30"/>
        <v>0.90000000000000036</v>
      </c>
      <c r="BG13" s="550">
        <v>2</v>
      </c>
      <c r="BH13" s="550" t="s">
        <v>299</v>
      </c>
      <c r="BI13" s="412">
        <f t="shared" si="31"/>
        <v>0.91743119266055051</v>
      </c>
      <c r="BJ13" s="409">
        <f t="shared" si="32"/>
        <v>200</v>
      </c>
      <c r="BK13" s="414">
        <f t="shared" si="33"/>
        <v>0.18000000000000016</v>
      </c>
      <c r="BL13" s="566">
        <v>0.92</v>
      </c>
      <c r="BM13" s="409">
        <f t="shared" si="34"/>
        <v>200.56</v>
      </c>
      <c r="BN13" s="550">
        <v>4</v>
      </c>
      <c r="BO13" s="412">
        <f t="shared" si="13"/>
        <v>1</v>
      </c>
      <c r="BP13" s="414">
        <f t="shared" si="14"/>
        <v>0</v>
      </c>
      <c r="BQ13" s="557">
        <v>1</v>
      </c>
      <c r="BR13" s="589"/>
      <c r="BS13" s="593">
        <v>41695</v>
      </c>
      <c r="BT13" s="415" t="str">
        <f t="shared" si="15"/>
        <v>To be realised</v>
      </c>
      <c r="BU13" s="515">
        <v>35</v>
      </c>
      <c r="BV13" s="515">
        <v>10</v>
      </c>
      <c r="BW13" s="416">
        <f t="shared" si="16"/>
        <v>35</v>
      </c>
      <c r="BX13" s="417">
        <f t="shared" si="17"/>
        <v>0</v>
      </c>
      <c r="BY13" s="409">
        <f t="shared" si="18"/>
        <v>0</v>
      </c>
      <c r="BZ13" s="446">
        <f t="shared" si="19"/>
        <v>4</v>
      </c>
      <c r="CA13" s="542" t="s">
        <v>780</v>
      </c>
      <c r="CB13" s="557">
        <v>0</v>
      </c>
      <c r="CC13" s="451">
        <f t="shared" si="35"/>
        <v>0</v>
      </c>
      <c r="CD13" s="542">
        <v>2</v>
      </c>
      <c r="CE13" s="418" t="str">
        <f t="shared" si="36"/>
        <v>Excellent coverage</v>
      </c>
      <c r="CF13" s="550">
        <v>0</v>
      </c>
      <c r="CG13" s="551" t="s">
        <v>65</v>
      </c>
      <c r="CH13" s="602"/>
    </row>
    <row r="14" spans="2:86" s="40" customFormat="1" ht="30.75" customHeight="1" x14ac:dyDescent="0.2">
      <c r="B14" s="512" t="s">
        <v>110</v>
      </c>
      <c r="C14" s="513" t="s">
        <v>546</v>
      </c>
      <c r="D14" s="514" t="s">
        <v>264</v>
      </c>
      <c r="E14" s="513" t="s">
        <v>116</v>
      </c>
      <c r="F14" s="514">
        <v>96.673805000000002</v>
      </c>
      <c r="G14" s="514">
        <v>25.728653000000001</v>
      </c>
      <c r="H14" s="514" t="s">
        <v>467</v>
      </c>
      <c r="I14" s="514" t="s">
        <v>218</v>
      </c>
      <c r="J14" s="515">
        <v>15</v>
      </c>
      <c r="K14" s="515">
        <v>77</v>
      </c>
      <c r="L14" s="515">
        <v>77</v>
      </c>
      <c r="M14" s="405" t="str">
        <f t="shared" si="0"/>
        <v>1. Small</v>
      </c>
      <c r="N14" s="516" t="s">
        <v>284</v>
      </c>
      <c r="O14" s="530" t="s">
        <v>284</v>
      </c>
      <c r="P14" s="439" t="str">
        <f t="shared" si="20"/>
        <v>Covered</v>
      </c>
      <c r="Q14" s="531" t="s">
        <v>656</v>
      </c>
      <c r="R14" s="532"/>
      <c r="S14" s="531"/>
      <c r="T14" s="516" t="s">
        <v>260</v>
      </c>
      <c r="U14" s="436" t="str">
        <f t="shared" si="21"/>
        <v>Documented</v>
      </c>
      <c r="V14" s="542">
        <v>0</v>
      </c>
      <c r="W14" s="515">
        <v>0</v>
      </c>
      <c r="X14" s="543" t="s">
        <v>19</v>
      </c>
      <c r="Y14" s="542">
        <v>1</v>
      </c>
      <c r="Z14" s="550">
        <v>1</v>
      </c>
      <c r="AA14" s="551">
        <v>0</v>
      </c>
      <c r="AB14" s="556">
        <v>0</v>
      </c>
      <c r="AC14" s="557">
        <v>0</v>
      </c>
      <c r="AD14" s="443">
        <f t="shared" si="1"/>
        <v>1</v>
      </c>
      <c r="AE14" s="407">
        <f t="shared" si="22"/>
        <v>77</v>
      </c>
      <c r="AF14" s="408">
        <f t="shared" si="2"/>
        <v>1</v>
      </c>
      <c r="AG14" s="409">
        <f t="shared" si="23"/>
        <v>77</v>
      </c>
      <c r="AH14" s="406">
        <f t="shared" si="3"/>
        <v>1</v>
      </c>
      <c r="AI14" s="409">
        <f t="shared" si="24"/>
        <v>77</v>
      </c>
      <c r="AJ14" s="410" t="str">
        <f t="shared" si="4"/>
        <v>80-100%</v>
      </c>
      <c r="AK14" s="406">
        <f t="shared" si="5"/>
        <v>0</v>
      </c>
      <c r="AL14" s="411">
        <f t="shared" si="6"/>
        <v>0</v>
      </c>
      <c r="AM14" s="409">
        <f t="shared" si="7"/>
        <v>0</v>
      </c>
      <c r="AN14" s="409">
        <f t="shared" si="8"/>
        <v>0</v>
      </c>
      <c r="AO14" s="409">
        <f t="shared" si="25"/>
        <v>0</v>
      </c>
      <c r="AP14" s="566">
        <v>1</v>
      </c>
      <c r="AQ14" s="567">
        <f t="shared" si="26"/>
        <v>77</v>
      </c>
      <c r="AR14" s="551" t="s">
        <v>792</v>
      </c>
      <c r="AS14" s="552">
        <v>4</v>
      </c>
      <c r="AT14" s="515">
        <v>2</v>
      </c>
      <c r="AU14" s="515">
        <v>2</v>
      </c>
      <c r="AV14" s="515" t="s">
        <v>298</v>
      </c>
      <c r="AW14" s="412">
        <f t="shared" si="9"/>
        <v>1</v>
      </c>
      <c r="AX14" s="409">
        <f t="shared" si="27"/>
        <v>77</v>
      </c>
      <c r="AY14" s="412">
        <f t="shared" si="10"/>
        <v>0.48051948051948057</v>
      </c>
      <c r="AZ14" s="409">
        <f t="shared" si="28"/>
        <v>37.000000000000007</v>
      </c>
      <c r="BA14" s="412">
        <f t="shared" si="11"/>
        <v>0.51948051948051943</v>
      </c>
      <c r="BB14" s="409">
        <f t="shared" si="29"/>
        <v>39.999999999999993</v>
      </c>
      <c r="BC14" s="550">
        <v>0</v>
      </c>
      <c r="BD14" s="571">
        <v>1</v>
      </c>
      <c r="BE14" s="413">
        <f t="shared" si="12"/>
        <v>77</v>
      </c>
      <c r="BF14" s="414">
        <f t="shared" si="30"/>
        <v>1.85</v>
      </c>
      <c r="BG14" s="550">
        <v>2</v>
      </c>
      <c r="BH14" s="550" t="s">
        <v>299</v>
      </c>
      <c r="BI14" s="412">
        <f t="shared" si="31"/>
        <v>1</v>
      </c>
      <c r="BJ14" s="409">
        <f t="shared" si="32"/>
        <v>77</v>
      </c>
      <c r="BK14" s="414">
        <f t="shared" si="33"/>
        <v>0</v>
      </c>
      <c r="BL14" s="566">
        <v>1</v>
      </c>
      <c r="BM14" s="409">
        <f t="shared" si="34"/>
        <v>77</v>
      </c>
      <c r="BN14" s="550">
        <v>3</v>
      </c>
      <c r="BO14" s="412">
        <f t="shared" si="13"/>
        <v>1</v>
      </c>
      <c r="BP14" s="414">
        <f t="shared" si="14"/>
        <v>0</v>
      </c>
      <c r="BQ14" s="557">
        <v>1</v>
      </c>
      <c r="BR14" s="589"/>
      <c r="BS14" s="593">
        <v>41469</v>
      </c>
      <c r="BT14" s="415" t="str">
        <f t="shared" si="15"/>
        <v>To be realised</v>
      </c>
      <c r="BU14" s="515">
        <v>15</v>
      </c>
      <c r="BV14" s="515">
        <v>10</v>
      </c>
      <c r="BW14" s="416">
        <f t="shared" si="16"/>
        <v>15</v>
      </c>
      <c r="BX14" s="417">
        <f t="shared" si="17"/>
        <v>0</v>
      </c>
      <c r="BY14" s="409">
        <f t="shared" si="18"/>
        <v>0</v>
      </c>
      <c r="BZ14" s="446">
        <f t="shared" si="19"/>
        <v>12</v>
      </c>
      <c r="CA14" s="542"/>
      <c r="CB14" s="557">
        <v>0</v>
      </c>
      <c r="CC14" s="451">
        <f t="shared" si="35"/>
        <v>0</v>
      </c>
      <c r="CD14" s="542">
        <v>2</v>
      </c>
      <c r="CE14" s="418" t="str">
        <f t="shared" si="36"/>
        <v>Excellent coverage</v>
      </c>
      <c r="CF14" s="550">
        <v>0</v>
      </c>
      <c r="CG14" s="551" t="s">
        <v>65</v>
      </c>
      <c r="CH14" s="602"/>
    </row>
    <row r="15" spans="2:86" s="40" customFormat="1" ht="30.75" customHeight="1" x14ac:dyDescent="0.2">
      <c r="B15" s="512" t="s">
        <v>110</v>
      </c>
      <c r="C15" s="513" t="s">
        <v>704</v>
      </c>
      <c r="D15" s="514" t="s">
        <v>264</v>
      </c>
      <c r="E15" s="513" t="s">
        <v>705</v>
      </c>
      <c r="F15" s="514">
        <v>96.353070000000002</v>
      </c>
      <c r="G15" s="514">
        <v>25.668469999999999</v>
      </c>
      <c r="H15" s="514" t="s">
        <v>467</v>
      </c>
      <c r="I15" s="514" t="s">
        <v>218</v>
      </c>
      <c r="J15" s="515">
        <v>1</v>
      </c>
      <c r="K15" s="515">
        <v>4</v>
      </c>
      <c r="L15" s="515">
        <v>4</v>
      </c>
      <c r="M15" s="405" t="str">
        <f t="shared" si="0"/>
        <v>1. Small</v>
      </c>
      <c r="N15" s="516" t="s">
        <v>284</v>
      </c>
      <c r="O15" s="530" t="s">
        <v>284</v>
      </c>
      <c r="P15" s="439" t="str">
        <f t="shared" si="20"/>
        <v>Covered</v>
      </c>
      <c r="Q15" s="531" t="s">
        <v>656</v>
      </c>
      <c r="R15" s="532"/>
      <c r="S15" s="531"/>
      <c r="T15" s="516" t="s">
        <v>260</v>
      </c>
      <c r="U15" s="436" t="str">
        <f t="shared" si="21"/>
        <v>Documented</v>
      </c>
      <c r="V15" s="542">
        <v>0</v>
      </c>
      <c r="W15" s="515">
        <v>0</v>
      </c>
      <c r="X15" s="543" t="s">
        <v>19</v>
      </c>
      <c r="Y15" s="542">
        <v>1</v>
      </c>
      <c r="Z15" s="550">
        <v>0</v>
      </c>
      <c r="AA15" s="551">
        <v>0</v>
      </c>
      <c r="AB15" s="556">
        <v>0</v>
      </c>
      <c r="AC15" s="557">
        <v>0</v>
      </c>
      <c r="AD15" s="443">
        <f t="shared" si="1"/>
        <v>1</v>
      </c>
      <c r="AE15" s="407">
        <f t="shared" si="22"/>
        <v>4</v>
      </c>
      <c r="AF15" s="408">
        <f t="shared" si="2"/>
        <v>1</v>
      </c>
      <c r="AG15" s="409">
        <f t="shared" si="23"/>
        <v>4</v>
      </c>
      <c r="AH15" s="406">
        <f t="shared" si="3"/>
        <v>1</v>
      </c>
      <c r="AI15" s="409">
        <f t="shared" si="24"/>
        <v>4</v>
      </c>
      <c r="AJ15" s="410" t="str">
        <f t="shared" si="4"/>
        <v>80-100%</v>
      </c>
      <c r="AK15" s="406">
        <f t="shared" si="5"/>
        <v>0</v>
      </c>
      <c r="AL15" s="411">
        <f t="shared" si="6"/>
        <v>0</v>
      </c>
      <c r="AM15" s="409">
        <f t="shared" si="7"/>
        <v>0</v>
      </c>
      <c r="AN15" s="409">
        <f t="shared" si="8"/>
        <v>0</v>
      </c>
      <c r="AO15" s="409">
        <f t="shared" si="25"/>
        <v>0</v>
      </c>
      <c r="AP15" s="566">
        <v>1</v>
      </c>
      <c r="AQ15" s="567">
        <f t="shared" si="26"/>
        <v>4</v>
      </c>
      <c r="AR15" s="551"/>
      <c r="AS15" s="552">
        <v>2</v>
      </c>
      <c r="AT15" s="515">
        <v>3</v>
      </c>
      <c r="AU15" s="515">
        <v>0</v>
      </c>
      <c r="AV15" s="515" t="s">
        <v>91</v>
      </c>
      <c r="AW15" s="412">
        <f t="shared" si="9"/>
        <v>1</v>
      </c>
      <c r="AX15" s="409">
        <f t="shared" si="27"/>
        <v>4</v>
      </c>
      <c r="AY15" s="412">
        <f t="shared" si="10"/>
        <v>1</v>
      </c>
      <c r="AZ15" s="409">
        <f t="shared" si="28"/>
        <v>4</v>
      </c>
      <c r="BA15" s="412">
        <f t="shared" si="11"/>
        <v>0</v>
      </c>
      <c r="BB15" s="409">
        <f t="shared" si="29"/>
        <v>0</v>
      </c>
      <c r="BC15" s="550">
        <v>0</v>
      </c>
      <c r="BD15" s="571">
        <v>1</v>
      </c>
      <c r="BE15" s="413">
        <f t="shared" si="12"/>
        <v>4</v>
      </c>
      <c r="BF15" s="414">
        <f t="shared" si="30"/>
        <v>0.2</v>
      </c>
      <c r="BG15" s="550">
        <v>1</v>
      </c>
      <c r="BH15" s="550" t="s">
        <v>91</v>
      </c>
      <c r="BI15" s="412">
        <f t="shared" si="31"/>
        <v>1</v>
      </c>
      <c r="BJ15" s="409">
        <f t="shared" si="32"/>
        <v>4</v>
      </c>
      <c r="BK15" s="414">
        <f t="shared" si="33"/>
        <v>0</v>
      </c>
      <c r="BL15" s="566">
        <v>1</v>
      </c>
      <c r="BM15" s="409">
        <f t="shared" si="34"/>
        <v>4</v>
      </c>
      <c r="BN15" s="550">
        <v>3</v>
      </c>
      <c r="BO15" s="412">
        <f t="shared" si="13"/>
        <v>1</v>
      </c>
      <c r="BP15" s="414">
        <f t="shared" si="14"/>
        <v>0</v>
      </c>
      <c r="BQ15" s="557">
        <v>1</v>
      </c>
      <c r="BR15" s="589" t="s">
        <v>793</v>
      </c>
      <c r="BS15" s="593">
        <v>41695</v>
      </c>
      <c r="BT15" s="415" t="str">
        <f t="shared" si="15"/>
        <v>To be realised</v>
      </c>
      <c r="BU15" s="515">
        <v>1</v>
      </c>
      <c r="BV15" s="515">
        <v>10</v>
      </c>
      <c r="BW15" s="416">
        <f t="shared" si="16"/>
        <v>1</v>
      </c>
      <c r="BX15" s="417">
        <f t="shared" si="17"/>
        <v>0</v>
      </c>
      <c r="BY15" s="409">
        <f t="shared" si="18"/>
        <v>0</v>
      </c>
      <c r="BZ15" s="446">
        <f t="shared" si="19"/>
        <v>4</v>
      </c>
      <c r="CA15" s="542" t="s">
        <v>780</v>
      </c>
      <c r="CB15" s="557">
        <v>1</v>
      </c>
      <c r="CC15" s="451">
        <f t="shared" si="35"/>
        <v>4</v>
      </c>
      <c r="CD15" s="542">
        <v>0</v>
      </c>
      <c r="CE15" s="418" t="str">
        <f t="shared" si="36"/>
        <v>No coverage</v>
      </c>
      <c r="CF15" s="550">
        <v>0</v>
      </c>
      <c r="CG15" s="551" t="s">
        <v>66</v>
      </c>
      <c r="CH15" s="602" t="s">
        <v>712</v>
      </c>
    </row>
    <row r="16" spans="2:86" s="40" customFormat="1" ht="30.75" customHeight="1" x14ac:dyDescent="0.2">
      <c r="B16" s="512" t="s">
        <v>110</v>
      </c>
      <c r="C16" s="513" t="s">
        <v>547</v>
      </c>
      <c r="D16" s="514" t="s">
        <v>264</v>
      </c>
      <c r="E16" s="513" t="s">
        <v>117</v>
      </c>
      <c r="F16" s="514">
        <v>96.283377000000002</v>
      </c>
      <c r="G16" s="514">
        <v>25.582065</v>
      </c>
      <c r="H16" s="514" t="s">
        <v>467</v>
      </c>
      <c r="I16" s="514" t="s">
        <v>218</v>
      </c>
      <c r="J16" s="515">
        <v>6</v>
      </c>
      <c r="K16" s="515">
        <v>25</v>
      </c>
      <c r="L16" s="515">
        <v>25</v>
      </c>
      <c r="M16" s="405" t="str">
        <f t="shared" si="0"/>
        <v>1. Small</v>
      </c>
      <c r="N16" s="516" t="s">
        <v>284</v>
      </c>
      <c r="O16" s="530" t="s">
        <v>284</v>
      </c>
      <c r="P16" s="439" t="str">
        <f t="shared" si="20"/>
        <v>Covered</v>
      </c>
      <c r="Q16" s="531" t="s">
        <v>656</v>
      </c>
      <c r="R16" s="532"/>
      <c r="S16" s="531"/>
      <c r="T16" s="516" t="s">
        <v>260</v>
      </c>
      <c r="U16" s="436" t="str">
        <f t="shared" si="21"/>
        <v>Documented</v>
      </c>
      <c r="V16" s="542">
        <v>0</v>
      </c>
      <c r="W16" s="515">
        <v>0</v>
      </c>
      <c r="X16" s="543" t="s">
        <v>19</v>
      </c>
      <c r="Y16" s="542">
        <v>0</v>
      </c>
      <c r="Z16" s="550">
        <v>0</v>
      </c>
      <c r="AA16" s="551">
        <v>2000</v>
      </c>
      <c r="AB16" s="556">
        <v>0</v>
      </c>
      <c r="AC16" s="557">
        <v>0</v>
      </c>
      <c r="AD16" s="443">
        <f t="shared" si="1"/>
        <v>1</v>
      </c>
      <c r="AE16" s="407">
        <f t="shared" si="22"/>
        <v>25</v>
      </c>
      <c r="AF16" s="408">
        <f t="shared" si="2"/>
        <v>1</v>
      </c>
      <c r="AG16" s="409">
        <f t="shared" si="23"/>
        <v>25</v>
      </c>
      <c r="AH16" s="406">
        <f t="shared" si="3"/>
        <v>1</v>
      </c>
      <c r="AI16" s="409">
        <f t="shared" si="24"/>
        <v>25</v>
      </c>
      <c r="AJ16" s="410" t="str">
        <f t="shared" si="4"/>
        <v>80-100%</v>
      </c>
      <c r="AK16" s="406">
        <f t="shared" si="5"/>
        <v>0</v>
      </c>
      <c r="AL16" s="411">
        <f t="shared" si="6"/>
        <v>0</v>
      </c>
      <c r="AM16" s="409">
        <f t="shared" si="7"/>
        <v>6.25E-2</v>
      </c>
      <c r="AN16" s="409">
        <f t="shared" si="8"/>
        <v>0</v>
      </c>
      <c r="AO16" s="409">
        <f t="shared" si="25"/>
        <v>0</v>
      </c>
      <c r="AP16" s="566">
        <v>1</v>
      </c>
      <c r="AQ16" s="567">
        <f t="shared" si="26"/>
        <v>25</v>
      </c>
      <c r="AR16" s="551" t="s">
        <v>794</v>
      </c>
      <c r="AS16" s="552">
        <v>0</v>
      </c>
      <c r="AT16" s="515">
        <v>0</v>
      </c>
      <c r="AU16" s="515">
        <v>2</v>
      </c>
      <c r="AV16" s="515" t="s">
        <v>91</v>
      </c>
      <c r="AW16" s="412">
        <f t="shared" si="9"/>
        <v>1</v>
      </c>
      <c r="AX16" s="409">
        <f t="shared" si="27"/>
        <v>25</v>
      </c>
      <c r="AY16" s="412">
        <f t="shared" si="10"/>
        <v>0</v>
      </c>
      <c r="AZ16" s="409">
        <f t="shared" si="28"/>
        <v>0</v>
      </c>
      <c r="BA16" s="412">
        <f t="shared" si="11"/>
        <v>1</v>
      </c>
      <c r="BB16" s="409">
        <f t="shared" si="29"/>
        <v>25</v>
      </c>
      <c r="BC16" s="550">
        <v>0</v>
      </c>
      <c r="BD16" s="571">
        <v>1</v>
      </c>
      <c r="BE16" s="413">
        <f t="shared" si="12"/>
        <v>25</v>
      </c>
      <c r="BF16" s="414">
        <f t="shared" si="30"/>
        <v>0</v>
      </c>
      <c r="BG16" s="550">
        <v>1</v>
      </c>
      <c r="BH16" s="550" t="s">
        <v>91</v>
      </c>
      <c r="BI16" s="412">
        <f t="shared" si="31"/>
        <v>1</v>
      </c>
      <c r="BJ16" s="409">
        <f t="shared" si="32"/>
        <v>25</v>
      </c>
      <c r="BK16" s="414">
        <f t="shared" si="33"/>
        <v>0</v>
      </c>
      <c r="BL16" s="566">
        <v>1</v>
      </c>
      <c r="BM16" s="409">
        <f t="shared" si="34"/>
        <v>25</v>
      </c>
      <c r="BN16" s="550">
        <v>1</v>
      </c>
      <c r="BO16" s="412">
        <f t="shared" si="13"/>
        <v>1</v>
      </c>
      <c r="BP16" s="414">
        <f t="shared" si="14"/>
        <v>0</v>
      </c>
      <c r="BQ16" s="557">
        <v>1</v>
      </c>
      <c r="BR16" s="589"/>
      <c r="BS16" s="593">
        <v>41695</v>
      </c>
      <c r="BT16" s="415" t="str">
        <f t="shared" si="15"/>
        <v>To be realised</v>
      </c>
      <c r="BU16" s="515">
        <v>6</v>
      </c>
      <c r="BV16" s="515">
        <v>10</v>
      </c>
      <c r="BW16" s="416">
        <f t="shared" si="16"/>
        <v>6</v>
      </c>
      <c r="BX16" s="417">
        <f t="shared" si="17"/>
        <v>0</v>
      </c>
      <c r="BY16" s="409">
        <f t="shared" si="18"/>
        <v>0</v>
      </c>
      <c r="BZ16" s="446">
        <f t="shared" si="19"/>
        <v>4</v>
      </c>
      <c r="CA16" s="542" t="s">
        <v>780</v>
      </c>
      <c r="CB16" s="557">
        <v>0</v>
      </c>
      <c r="CC16" s="451">
        <f t="shared" si="35"/>
        <v>0</v>
      </c>
      <c r="CD16" s="542">
        <v>1</v>
      </c>
      <c r="CE16" s="418" t="str">
        <f t="shared" si="36"/>
        <v>Excellent coverage</v>
      </c>
      <c r="CF16" s="550">
        <v>0</v>
      </c>
      <c r="CG16" s="551" t="s">
        <v>65</v>
      </c>
      <c r="CH16" s="602"/>
    </row>
    <row r="17" spans="2:86" s="40" customFormat="1" ht="30.75" customHeight="1" x14ac:dyDescent="0.2">
      <c r="B17" s="512" t="s">
        <v>110</v>
      </c>
      <c r="C17" s="513" t="s">
        <v>548</v>
      </c>
      <c r="D17" s="514" t="s">
        <v>264</v>
      </c>
      <c r="E17" s="513" t="s">
        <v>118</v>
      </c>
      <c r="F17" s="514">
        <v>96.354929999999996</v>
      </c>
      <c r="G17" s="514">
        <v>25.643090000000001</v>
      </c>
      <c r="H17" s="514" t="s">
        <v>467</v>
      </c>
      <c r="I17" s="514" t="s">
        <v>218</v>
      </c>
      <c r="J17" s="515">
        <v>65</v>
      </c>
      <c r="K17" s="515">
        <v>335</v>
      </c>
      <c r="L17" s="515">
        <v>335</v>
      </c>
      <c r="M17" s="405" t="str">
        <f t="shared" si="0"/>
        <v>2. Medium</v>
      </c>
      <c r="N17" s="516" t="s">
        <v>284</v>
      </c>
      <c r="O17" s="530" t="s">
        <v>284</v>
      </c>
      <c r="P17" s="439" t="str">
        <f t="shared" si="20"/>
        <v>Covered</v>
      </c>
      <c r="Q17" s="531" t="s">
        <v>656</v>
      </c>
      <c r="R17" s="532"/>
      <c r="S17" s="531"/>
      <c r="T17" s="516" t="s">
        <v>260</v>
      </c>
      <c r="U17" s="436" t="str">
        <f t="shared" si="21"/>
        <v>Documented</v>
      </c>
      <c r="V17" s="542">
        <v>0</v>
      </c>
      <c r="W17" s="515">
        <v>0</v>
      </c>
      <c r="X17" s="543" t="s">
        <v>19</v>
      </c>
      <c r="Y17" s="542">
        <v>1</v>
      </c>
      <c r="Z17" s="550">
        <v>0</v>
      </c>
      <c r="AA17" s="551">
        <v>3000</v>
      </c>
      <c r="AB17" s="556">
        <v>0</v>
      </c>
      <c r="AC17" s="557">
        <v>0</v>
      </c>
      <c r="AD17" s="443">
        <f t="shared" si="1"/>
        <v>1</v>
      </c>
      <c r="AE17" s="407">
        <f t="shared" si="22"/>
        <v>335</v>
      </c>
      <c r="AF17" s="408">
        <f t="shared" si="2"/>
        <v>1</v>
      </c>
      <c r="AG17" s="409">
        <f t="shared" si="23"/>
        <v>335</v>
      </c>
      <c r="AH17" s="406">
        <f t="shared" si="3"/>
        <v>1</v>
      </c>
      <c r="AI17" s="409">
        <f t="shared" si="24"/>
        <v>335</v>
      </c>
      <c r="AJ17" s="410" t="str">
        <f t="shared" si="4"/>
        <v>80-100%</v>
      </c>
      <c r="AK17" s="406">
        <f t="shared" si="5"/>
        <v>0</v>
      </c>
      <c r="AL17" s="411">
        <f t="shared" si="6"/>
        <v>0</v>
      </c>
      <c r="AM17" s="409">
        <f t="shared" si="7"/>
        <v>0</v>
      </c>
      <c r="AN17" s="409">
        <f t="shared" si="8"/>
        <v>0</v>
      </c>
      <c r="AO17" s="409">
        <f t="shared" si="25"/>
        <v>0</v>
      </c>
      <c r="AP17" s="566">
        <v>1</v>
      </c>
      <c r="AQ17" s="567">
        <f t="shared" si="26"/>
        <v>335</v>
      </c>
      <c r="AR17" s="551"/>
      <c r="AS17" s="552">
        <v>10</v>
      </c>
      <c r="AT17" s="515">
        <v>0</v>
      </c>
      <c r="AU17" s="515">
        <v>17</v>
      </c>
      <c r="AV17" s="515" t="s">
        <v>298</v>
      </c>
      <c r="AW17" s="412">
        <f t="shared" si="9"/>
        <v>1</v>
      </c>
      <c r="AX17" s="409">
        <f t="shared" si="27"/>
        <v>335</v>
      </c>
      <c r="AY17" s="412">
        <f t="shared" si="10"/>
        <v>0</v>
      </c>
      <c r="AZ17" s="409">
        <f t="shared" si="28"/>
        <v>0</v>
      </c>
      <c r="BA17" s="412">
        <f t="shared" si="11"/>
        <v>1</v>
      </c>
      <c r="BB17" s="409">
        <f t="shared" si="29"/>
        <v>335</v>
      </c>
      <c r="BC17" s="550">
        <v>0</v>
      </c>
      <c r="BD17" s="571">
        <v>1</v>
      </c>
      <c r="BE17" s="413">
        <f t="shared" si="12"/>
        <v>335</v>
      </c>
      <c r="BF17" s="414">
        <f t="shared" si="30"/>
        <v>0</v>
      </c>
      <c r="BG17" s="550">
        <v>3</v>
      </c>
      <c r="BH17" s="550" t="s">
        <v>299</v>
      </c>
      <c r="BI17" s="412">
        <f t="shared" si="31"/>
        <v>0.89552238805970152</v>
      </c>
      <c r="BJ17" s="409">
        <f t="shared" si="32"/>
        <v>300</v>
      </c>
      <c r="BK17" s="414">
        <f t="shared" si="33"/>
        <v>0.35000000000000009</v>
      </c>
      <c r="BL17" s="566">
        <v>0.9</v>
      </c>
      <c r="BM17" s="409">
        <f t="shared" si="34"/>
        <v>301.5</v>
      </c>
      <c r="BN17" s="550">
        <v>4</v>
      </c>
      <c r="BO17" s="412">
        <f t="shared" si="13"/>
        <v>1</v>
      </c>
      <c r="BP17" s="414">
        <f t="shared" si="14"/>
        <v>0</v>
      </c>
      <c r="BQ17" s="557">
        <v>1</v>
      </c>
      <c r="BR17" s="589" t="s">
        <v>795</v>
      </c>
      <c r="BS17" s="593">
        <v>41695</v>
      </c>
      <c r="BT17" s="415" t="str">
        <f t="shared" si="15"/>
        <v>To be realised</v>
      </c>
      <c r="BU17" s="515">
        <v>65</v>
      </c>
      <c r="BV17" s="515">
        <v>10</v>
      </c>
      <c r="BW17" s="416">
        <f t="shared" si="16"/>
        <v>65</v>
      </c>
      <c r="BX17" s="417">
        <f t="shared" si="17"/>
        <v>0</v>
      </c>
      <c r="BY17" s="409">
        <f t="shared" si="18"/>
        <v>0</v>
      </c>
      <c r="BZ17" s="446">
        <f t="shared" si="19"/>
        <v>4</v>
      </c>
      <c r="CA17" s="542" t="s">
        <v>780</v>
      </c>
      <c r="CB17" s="557">
        <v>0</v>
      </c>
      <c r="CC17" s="451">
        <f t="shared" si="35"/>
        <v>0</v>
      </c>
      <c r="CD17" s="542">
        <v>2</v>
      </c>
      <c r="CE17" s="418" t="str">
        <f t="shared" si="36"/>
        <v>Excellent coverage</v>
      </c>
      <c r="CF17" s="550">
        <v>0</v>
      </c>
      <c r="CG17" s="551" t="s">
        <v>65</v>
      </c>
      <c r="CH17" s="602"/>
    </row>
    <row r="18" spans="2:86" s="40" customFormat="1" ht="30.75" customHeight="1" x14ac:dyDescent="0.2">
      <c r="B18" s="512" t="s">
        <v>110</v>
      </c>
      <c r="C18" s="513" t="s">
        <v>549</v>
      </c>
      <c r="D18" s="514" t="s">
        <v>264</v>
      </c>
      <c r="E18" s="513" t="s">
        <v>228</v>
      </c>
      <c r="F18" s="514">
        <v>96.705960000000005</v>
      </c>
      <c r="G18" s="514">
        <v>25.51352</v>
      </c>
      <c r="H18" s="514" t="s">
        <v>467</v>
      </c>
      <c r="I18" s="514" t="s">
        <v>218</v>
      </c>
      <c r="J18" s="515">
        <v>16</v>
      </c>
      <c r="K18" s="515">
        <v>60</v>
      </c>
      <c r="L18" s="515">
        <v>60</v>
      </c>
      <c r="M18" s="405" t="str">
        <f t="shared" si="0"/>
        <v>1. Small</v>
      </c>
      <c r="N18" s="516" t="s">
        <v>239</v>
      </c>
      <c r="O18" s="530" t="s">
        <v>239</v>
      </c>
      <c r="P18" s="439" t="str">
        <f t="shared" si="20"/>
        <v>Covered</v>
      </c>
      <c r="Q18" s="531">
        <v>42185</v>
      </c>
      <c r="R18" s="532" t="s">
        <v>240</v>
      </c>
      <c r="S18" s="531">
        <v>42185</v>
      </c>
      <c r="T18" s="516" t="s">
        <v>260</v>
      </c>
      <c r="U18" s="436" t="str">
        <f t="shared" si="21"/>
        <v>Documented</v>
      </c>
      <c r="V18" s="542">
        <v>0</v>
      </c>
      <c r="W18" s="515">
        <v>0</v>
      </c>
      <c r="X18" s="543" t="s">
        <v>19</v>
      </c>
      <c r="Y18" s="542">
        <v>0</v>
      </c>
      <c r="Z18" s="550">
        <v>2</v>
      </c>
      <c r="AA18" s="551">
        <v>0</v>
      </c>
      <c r="AB18" s="556">
        <v>0</v>
      </c>
      <c r="AC18" s="557">
        <v>1</v>
      </c>
      <c r="AD18" s="443">
        <f t="shared" si="1"/>
        <v>1</v>
      </c>
      <c r="AE18" s="407">
        <f t="shared" si="22"/>
        <v>60</v>
      </c>
      <c r="AF18" s="408">
        <f t="shared" si="2"/>
        <v>1</v>
      </c>
      <c r="AG18" s="409">
        <f t="shared" si="23"/>
        <v>60</v>
      </c>
      <c r="AH18" s="406">
        <f t="shared" si="3"/>
        <v>1</v>
      </c>
      <c r="AI18" s="409">
        <f t="shared" si="24"/>
        <v>60</v>
      </c>
      <c r="AJ18" s="410" t="str">
        <f t="shared" si="4"/>
        <v>80-100%</v>
      </c>
      <c r="AK18" s="406">
        <f t="shared" si="5"/>
        <v>0</v>
      </c>
      <c r="AL18" s="411">
        <f t="shared" si="6"/>
        <v>0</v>
      </c>
      <c r="AM18" s="409">
        <f t="shared" si="7"/>
        <v>0</v>
      </c>
      <c r="AN18" s="409">
        <f t="shared" si="8"/>
        <v>16</v>
      </c>
      <c r="AO18" s="409">
        <f t="shared" si="25"/>
        <v>0</v>
      </c>
      <c r="AP18" s="566">
        <v>1</v>
      </c>
      <c r="AQ18" s="567">
        <f t="shared" si="26"/>
        <v>60</v>
      </c>
      <c r="AR18" s="551"/>
      <c r="AS18" s="552">
        <v>0</v>
      </c>
      <c r="AT18" s="515">
        <v>3</v>
      </c>
      <c r="AU18" s="515">
        <v>7</v>
      </c>
      <c r="AV18" s="515" t="s">
        <v>298</v>
      </c>
      <c r="AW18" s="412">
        <f t="shared" si="9"/>
        <v>1</v>
      </c>
      <c r="AX18" s="409">
        <f t="shared" si="27"/>
        <v>60</v>
      </c>
      <c r="AY18" s="412">
        <f t="shared" si="10"/>
        <v>0</v>
      </c>
      <c r="AZ18" s="409">
        <f t="shared" si="28"/>
        <v>0</v>
      </c>
      <c r="BA18" s="412">
        <f t="shared" si="11"/>
        <v>1</v>
      </c>
      <c r="BB18" s="409">
        <f t="shared" si="29"/>
        <v>60</v>
      </c>
      <c r="BC18" s="550">
        <v>0</v>
      </c>
      <c r="BD18" s="571">
        <v>1</v>
      </c>
      <c r="BE18" s="413">
        <f t="shared" si="12"/>
        <v>60</v>
      </c>
      <c r="BF18" s="414">
        <f t="shared" si="30"/>
        <v>0</v>
      </c>
      <c r="BG18" s="550">
        <v>2</v>
      </c>
      <c r="BH18" s="550" t="s">
        <v>299</v>
      </c>
      <c r="BI18" s="412">
        <f t="shared" si="31"/>
        <v>1</v>
      </c>
      <c r="BJ18" s="409">
        <f t="shared" si="32"/>
        <v>60</v>
      </c>
      <c r="BK18" s="414">
        <f t="shared" si="33"/>
        <v>0</v>
      </c>
      <c r="BL18" s="566">
        <v>1</v>
      </c>
      <c r="BM18" s="409">
        <f t="shared" si="34"/>
        <v>60</v>
      </c>
      <c r="BN18" s="550">
        <v>2</v>
      </c>
      <c r="BO18" s="412">
        <f t="shared" si="13"/>
        <v>1</v>
      </c>
      <c r="BP18" s="414">
        <f t="shared" si="14"/>
        <v>0</v>
      </c>
      <c r="BQ18" s="557">
        <v>1</v>
      </c>
      <c r="BR18" s="589"/>
      <c r="BS18" s="593">
        <v>42053</v>
      </c>
      <c r="BT18" s="415">
        <f t="shared" si="15"/>
        <v>42418</v>
      </c>
      <c r="BU18" s="515">
        <v>16</v>
      </c>
      <c r="BV18" s="515">
        <v>3</v>
      </c>
      <c r="BW18" s="416">
        <f t="shared" si="16"/>
        <v>0</v>
      </c>
      <c r="BX18" s="417">
        <f t="shared" si="17"/>
        <v>1</v>
      </c>
      <c r="BY18" s="409">
        <f t="shared" si="18"/>
        <v>60</v>
      </c>
      <c r="BZ18" s="446">
        <f t="shared" si="19"/>
        <v>0</v>
      </c>
      <c r="CA18" s="542"/>
      <c r="CB18" s="557">
        <v>0</v>
      </c>
      <c r="CC18" s="451">
        <f t="shared" si="35"/>
        <v>0</v>
      </c>
      <c r="CD18" s="542">
        <v>1</v>
      </c>
      <c r="CE18" s="418" t="str">
        <f t="shared" si="36"/>
        <v>Excellent coverage</v>
      </c>
      <c r="CF18" s="550">
        <v>0</v>
      </c>
      <c r="CG18" s="551" t="s">
        <v>301</v>
      </c>
      <c r="CH18" s="602"/>
    </row>
    <row r="19" spans="2:86" s="40" customFormat="1" ht="30.75" customHeight="1" x14ac:dyDescent="0.2">
      <c r="B19" s="512" t="s">
        <v>110</v>
      </c>
      <c r="C19" s="513" t="s">
        <v>550</v>
      </c>
      <c r="D19" s="514" t="s">
        <v>264</v>
      </c>
      <c r="E19" s="513" t="s">
        <v>119</v>
      </c>
      <c r="F19" s="514">
        <v>96.316564</v>
      </c>
      <c r="G19" s="514">
        <v>25.615960999999999</v>
      </c>
      <c r="H19" s="514" t="s">
        <v>467</v>
      </c>
      <c r="I19" s="514" t="s">
        <v>218</v>
      </c>
      <c r="J19" s="515">
        <v>13</v>
      </c>
      <c r="K19" s="515">
        <v>75</v>
      </c>
      <c r="L19" s="515">
        <v>75</v>
      </c>
      <c r="M19" s="405" t="str">
        <f t="shared" si="0"/>
        <v>1. Small</v>
      </c>
      <c r="N19" s="516" t="s">
        <v>284</v>
      </c>
      <c r="O19" s="530" t="s">
        <v>284</v>
      </c>
      <c r="P19" s="439" t="str">
        <f t="shared" si="20"/>
        <v>Covered</v>
      </c>
      <c r="Q19" s="531" t="s">
        <v>656</v>
      </c>
      <c r="R19" s="532"/>
      <c r="S19" s="531"/>
      <c r="T19" s="516" t="s">
        <v>260</v>
      </c>
      <c r="U19" s="436" t="str">
        <f t="shared" si="21"/>
        <v>Documented</v>
      </c>
      <c r="V19" s="542">
        <v>0</v>
      </c>
      <c r="W19" s="515">
        <v>0</v>
      </c>
      <c r="X19" s="543" t="s">
        <v>19</v>
      </c>
      <c r="Y19" s="542">
        <v>1</v>
      </c>
      <c r="Z19" s="550">
        <v>0</v>
      </c>
      <c r="AA19" s="551">
        <v>0</v>
      </c>
      <c r="AB19" s="556">
        <v>0</v>
      </c>
      <c r="AC19" s="557">
        <v>0</v>
      </c>
      <c r="AD19" s="443">
        <f t="shared" si="1"/>
        <v>1</v>
      </c>
      <c r="AE19" s="407">
        <f t="shared" si="22"/>
        <v>75</v>
      </c>
      <c r="AF19" s="408">
        <f t="shared" si="2"/>
        <v>1</v>
      </c>
      <c r="AG19" s="409">
        <f t="shared" si="23"/>
        <v>75</v>
      </c>
      <c r="AH19" s="406">
        <f t="shared" si="3"/>
        <v>1</v>
      </c>
      <c r="AI19" s="409">
        <f t="shared" si="24"/>
        <v>75</v>
      </c>
      <c r="AJ19" s="410" t="str">
        <f t="shared" si="4"/>
        <v>80-100%</v>
      </c>
      <c r="AK19" s="406">
        <f t="shared" si="5"/>
        <v>0</v>
      </c>
      <c r="AL19" s="411">
        <f t="shared" si="6"/>
        <v>0</v>
      </c>
      <c r="AM19" s="409">
        <f t="shared" si="7"/>
        <v>0</v>
      </c>
      <c r="AN19" s="409">
        <f t="shared" si="8"/>
        <v>0</v>
      </c>
      <c r="AO19" s="409">
        <f t="shared" si="25"/>
        <v>0</v>
      </c>
      <c r="AP19" s="566">
        <v>1</v>
      </c>
      <c r="AQ19" s="567">
        <f t="shared" si="26"/>
        <v>75</v>
      </c>
      <c r="AR19" s="551"/>
      <c r="AS19" s="552">
        <v>0</v>
      </c>
      <c r="AT19" s="515">
        <v>0</v>
      </c>
      <c r="AU19" s="515">
        <v>5</v>
      </c>
      <c r="AV19" s="515" t="s">
        <v>91</v>
      </c>
      <c r="AW19" s="412">
        <f t="shared" si="9"/>
        <v>1</v>
      </c>
      <c r="AX19" s="409">
        <f t="shared" si="27"/>
        <v>75</v>
      </c>
      <c r="AY19" s="412">
        <f t="shared" si="10"/>
        <v>0</v>
      </c>
      <c r="AZ19" s="409">
        <f t="shared" si="28"/>
        <v>0</v>
      </c>
      <c r="BA19" s="412">
        <f t="shared" si="11"/>
        <v>1</v>
      </c>
      <c r="BB19" s="409">
        <f t="shared" si="29"/>
        <v>75</v>
      </c>
      <c r="BC19" s="550">
        <v>0</v>
      </c>
      <c r="BD19" s="571">
        <v>1</v>
      </c>
      <c r="BE19" s="413">
        <f t="shared" si="12"/>
        <v>75</v>
      </c>
      <c r="BF19" s="414">
        <f t="shared" si="30"/>
        <v>0</v>
      </c>
      <c r="BG19" s="550">
        <v>1</v>
      </c>
      <c r="BH19" s="550" t="s">
        <v>299</v>
      </c>
      <c r="BI19" s="412">
        <f t="shared" si="31"/>
        <v>1</v>
      </c>
      <c r="BJ19" s="409">
        <f t="shared" si="32"/>
        <v>75</v>
      </c>
      <c r="BK19" s="414">
        <f t="shared" si="33"/>
        <v>0</v>
      </c>
      <c r="BL19" s="566">
        <v>1</v>
      </c>
      <c r="BM19" s="409">
        <f t="shared" si="34"/>
        <v>75</v>
      </c>
      <c r="BN19" s="550">
        <v>1</v>
      </c>
      <c r="BO19" s="412">
        <f t="shared" si="13"/>
        <v>1</v>
      </c>
      <c r="BP19" s="414">
        <f t="shared" si="14"/>
        <v>0</v>
      </c>
      <c r="BQ19" s="557">
        <v>1</v>
      </c>
      <c r="BR19" s="589"/>
      <c r="BS19" s="593">
        <v>41695</v>
      </c>
      <c r="BT19" s="415" t="str">
        <f t="shared" si="15"/>
        <v>To be realised</v>
      </c>
      <c r="BU19" s="515">
        <v>13</v>
      </c>
      <c r="BV19" s="515">
        <v>10</v>
      </c>
      <c r="BW19" s="416">
        <f t="shared" si="16"/>
        <v>13</v>
      </c>
      <c r="BX19" s="417">
        <f t="shared" si="17"/>
        <v>0</v>
      </c>
      <c r="BY19" s="409">
        <f t="shared" si="18"/>
        <v>0</v>
      </c>
      <c r="BZ19" s="446">
        <f t="shared" si="19"/>
        <v>4</v>
      </c>
      <c r="CA19" s="542" t="s">
        <v>780</v>
      </c>
      <c r="CB19" s="557">
        <v>0</v>
      </c>
      <c r="CC19" s="451">
        <f t="shared" si="35"/>
        <v>0</v>
      </c>
      <c r="CD19" s="542">
        <v>1</v>
      </c>
      <c r="CE19" s="418" t="str">
        <f t="shared" si="36"/>
        <v>Excellent coverage</v>
      </c>
      <c r="CF19" s="550">
        <v>0</v>
      </c>
      <c r="CG19" s="551" t="s">
        <v>65</v>
      </c>
      <c r="CH19" s="602"/>
    </row>
    <row r="20" spans="2:86" s="40" customFormat="1" ht="30.75" customHeight="1" x14ac:dyDescent="0.2">
      <c r="B20" s="512" t="s">
        <v>110</v>
      </c>
      <c r="C20" s="513" t="s">
        <v>727</v>
      </c>
      <c r="D20" s="514" t="s">
        <v>264</v>
      </c>
      <c r="E20" s="513" t="s">
        <v>257</v>
      </c>
      <c r="F20" s="514">
        <v>96.312790000000007</v>
      </c>
      <c r="G20" s="514">
        <v>25.611160000000002</v>
      </c>
      <c r="H20" s="514" t="s">
        <v>467</v>
      </c>
      <c r="I20" s="514" t="s">
        <v>218</v>
      </c>
      <c r="J20" s="515">
        <v>118</v>
      </c>
      <c r="K20" s="515">
        <v>519</v>
      </c>
      <c r="L20" s="515">
        <v>519</v>
      </c>
      <c r="M20" s="405" t="str">
        <f t="shared" si="0"/>
        <v>2. Medium</v>
      </c>
      <c r="N20" s="516" t="s">
        <v>284</v>
      </c>
      <c r="O20" s="530" t="s">
        <v>284</v>
      </c>
      <c r="P20" s="439" t="str">
        <f t="shared" si="20"/>
        <v>Covered</v>
      </c>
      <c r="Q20" s="531" t="s">
        <v>656</v>
      </c>
      <c r="R20" s="532"/>
      <c r="S20" s="531"/>
      <c r="T20" s="516" t="s">
        <v>260</v>
      </c>
      <c r="U20" s="436" t="str">
        <f t="shared" si="21"/>
        <v>Documented</v>
      </c>
      <c r="V20" s="542">
        <v>0</v>
      </c>
      <c r="W20" s="515">
        <v>0</v>
      </c>
      <c r="X20" s="543" t="s">
        <v>19</v>
      </c>
      <c r="Y20" s="542">
        <v>1</v>
      </c>
      <c r="Z20" s="550">
        <v>0</v>
      </c>
      <c r="AA20" s="551">
        <v>3320</v>
      </c>
      <c r="AB20" s="556">
        <v>0</v>
      </c>
      <c r="AC20" s="557">
        <v>0</v>
      </c>
      <c r="AD20" s="443">
        <f t="shared" si="1"/>
        <v>1</v>
      </c>
      <c r="AE20" s="407">
        <f t="shared" si="22"/>
        <v>519</v>
      </c>
      <c r="AF20" s="408">
        <f t="shared" si="2"/>
        <v>1</v>
      </c>
      <c r="AG20" s="409">
        <f t="shared" si="23"/>
        <v>519</v>
      </c>
      <c r="AH20" s="406">
        <f t="shared" si="3"/>
        <v>1</v>
      </c>
      <c r="AI20" s="409">
        <f t="shared" si="24"/>
        <v>519</v>
      </c>
      <c r="AJ20" s="410" t="str">
        <f t="shared" si="4"/>
        <v>80-100%</v>
      </c>
      <c r="AK20" s="406">
        <f t="shared" si="5"/>
        <v>0</v>
      </c>
      <c r="AL20" s="411">
        <f t="shared" si="6"/>
        <v>0</v>
      </c>
      <c r="AM20" s="409">
        <f t="shared" si="7"/>
        <v>0.2975000000000001</v>
      </c>
      <c r="AN20" s="409">
        <f t="shared" si="8"/>
        <v>0</v>
      </c>
      <c r="AO20" s="409">
        <f t="shared" si="25"/>
        <v>0</v>
      </c>
      <c r="AP20" s="566">
        <v>1</v>
      </c>
      <c r="AQ20" s="567">
        <f t="shared" si="26"/>
        <v>519</v>
      </c>
      <c r="AR20" s="551"/>
      <c r="AS20" s="552">
        <v>20</v>
      </c>
      <c r="AT20" s="515">
        <v>0</v>
      </c>
      <c r="AU20" s="515">
        <v>16</v>
      </c>
      <c r="AV20" s="515" t="s">
        <v>299</v>
      </c>
      <c r="AW20" s="412">
        <f t="shared" si="9"/>
        <v>0.61657032755298646</v>
      </c>
      <c r="AX20" s="409">
        <f t="shared" si="27"/>
        <v>320</v>
      </c>
      <c r="AY20" s="412">
        <f t="shared" si="10"/>
        <v>0</v>
      </c>
      <c r="AZ20" s="409">
        <f t="shared" si="28"/>
        <v>0</v>
      </c>
      <c r="BA20" s="412">
        <f t="shared" si="11"/>
        <v>0.61657032755298646</v>
      </c>
      <c r="BB20" s="409">
        <f t="shared" si="29"/>
        <v>320</v>
      </c>
      <c r="BC20" s="550">
        <v>0</v>
      </c>
      <c r="BD20" s="571">
        <v>0.62</v>
      </c>
      <c r="BE20" s="413">
        <f t="shared" si="12"/>
        <v>321.77999999999997</v>
      </c>
      <c r="BF20" s="414">
        <f t="shared" si="30"/>
        <v>9.9499999999999993</v>
      </c>
      <c r="BG20" s="550">
        <v>3</v>
      </c>
      <c r="BH20" s="550" t="s">
        <v>300</v>
      </c>
      <c r="BI20" s="412">
        <f t="shared" si="31"/>
        <v>0.5780346820809249</v>
      </c>
      <c r="BJ20" s="409">
        <f t="shared" si="32"/>
        <v>300</v>
      </c>
      <c r="BK20" s="414">
        <f t="shared" si="33"/>
        <v>2.1900000000000004</v>
      </c>
      <c r="BL20" s="566">
        <v>0.57999999999999996</v>
      </c>
      <c r="BM20" s="409">
        <f t="shared" si="34"/>
        <v>301.02</v>
      </c>
      <c r="BN20" s="550">
        <v>3</v>
      </c>
      <c r="BO20" s="412">
        <f t="shared" si="13"/>
        <v>0.5780346820809249</v>
      </c>
      <c r="BP20" s="414">
        <f t="shared" si="14"/>
        <v>2.1900000000000004</v>
      </c>
      <c r="BQ20" s="557">
        <v>1</v>
      </c>
      <c r="BR20" s="589"/>
      <c r="BS20" s="593">
        <v>41695</v>
      </c>
      <c r="BT20" s="415" t="str">
        <f t="shared" si="15"/>
        <v>To be realised</v>
      </c>
      <c r="BU20" s="515">
        <v>118</v>
      </c>
      <c r="BV20" s="515">
        <v>10</v>
      </c>
      <c r="BW20" s="416">
        <f t="shared" si="16"/>
        <v>118</v>
      </c>
      <c r="BX20" s="417">
        <f t="shared" si="17"/>
        <v>0</v>
      </c>
      <c r="BY20" s="409">
        <f t="shared" si="18"/>
        <v>0</v>
      </c>
      <c r="BZ20" s="446">
        <f t="shared" si="19"/>
        <v>4</v>
      </c>
      <c r="CA20" s="542" t="s">
        <v>780</v>
      </c>
      <c r="CB20" s="557">
        <v>0</v>
      </c>
      <c r="CC20" s="451">
        <f t="shared" si="35"/>
        <v>0</v>
      </c>
      <c r="CD20" s="542">
        <v>2</v>
      </c>
      <c r="CE20" s="418" t="str">
        <f t="shared" si="36"/>
        <v>Excellent coverage</v>
      </c>
      <c r="CF20" s="550">
        <v>0</v>
      </c>
      <c r="CG20" s="551" t="s">
        <v>65</v>
      </c>
      <c r="CH20" s="602"/>
    </row>
    <row r="21" spans="2:86" s="40" customFormat="1" ht="30.75" customHeight="1" x14ac:dyDescent="0.2">
      <c r="B21" s="512" t="s">
        <v>110</v>
      </c>
      <c r="C21" s="513" t="s">
        <v>551</v>
      </c>
      <c r="D21" s="514" t="s">
        <v>264</v>
      </c>
      <c r="E21" s="513" t="s">
        <v>120</v>
      </c>
      <c r="F21" s="514">
        <v>96.269199999999998</v>
      </c>
      <c r="G21" s="514">
        <v>25.566510000000001</v>
      </c>
      <c r="H21" s="514" t="s">
        <v>467</v>
      </c>
      <c r="I21" s="514" t="s">
        <v>218</v>
      </c>
      <c r="J21" s="515">
        <v>26</v>
      </c>
      <c r="K21" s="515">
        <v>137</v>
      </c>
      <c r="L21" s="515">
        <v>137</v>
      </c>
      <c r="M21" s="405" t="str">
        <f t="shared" si="0"/>
        <v>1. Small</v>
      </c>
      <c r="N21" s="516" t="s">
        <v>284</v>
      </c>
      <c r="O21" s="530" t="s">
        <v>284</v>
      </c>
      <c r="P21" s="439" t="str">
        <f t="shared" si="20"/>
        <v>Covered</v>
      </c>
      <c r="Q21" s="531" t="s">
        <v>656</v>
      </c>
      <c r="R21" s="532"/>
      <c r="S21" s="531"/>
      <c r="T21" s="516" t="s">
        <v>260</v>
      </c>
      <c r="U21" s="436" t="str">
        <f t="shared" si="21"/>
        <v>Documented</v>
      </c>
      <c r="V21" s="542">
        <v>0</v>
      </c>
      <c r="W21" s="515">
        <v>0</v>
      </c>
      <c r="X21" s="543" t="s">
        <v>19</v>
      </c>
      <c r="Y21" s="542">
        <v>1</v>
      </c>
      <c r="Z21" s="550">
        <v>0</v>
      </c>
      <c r="AA21" s="551">
        <v>3000</v>
      </c>
      <c r="AB21" s="556">
        <v>0</v>
      </c>
      <c r="AC21" s="557">
        <v>0</v>
      </c>
      <c r="AD21" s="443">
        <f t="shared" si="1"/>
        <v>1</v>
      </c>
      <c r="AE21" s="407">
        <f t="shared" si="22"/>
        <v>137</v>
      </c>
      <c r="AF21" s="408">
        <f t="shared" si="2"/>
        <v>1</v>
      </c>
      <c r="AG21" s="409">
        <f t="shared" si="23"/>
        <v>137</v>
      </c>
      <c r="AH21" s="406">
        <f t="shared" si="3"/>
        <v>1</v>
      </c>
      <c r="AI21" s="409">
        <f t="shared" si="24"/>
        <v>137</v>
      </c>
      <c r="AJ21" s="410" t="str">
        <f t="shared" si="4"/>
        <v>80-100%</v>
      </c>
      <c r="AK21" s="406">
        <f t="shared" si="5"/>
        <v>0</v>
      </c>
      <c r="AL21" s="411">
        <f t="shared" si="6"/>
        <v>0</v>
      </c>
      <c r="AM21" s="409">
        <f t="shared" si="7"/>
        <v>0</v>
      </c>
      <c r="AN21" s="409">
        <f t="shared" si="8"/>
        <v>0</v>
      </c>
      <c r="AO21" s="409">
        <f t="shared" si="25"/>
        <v>0</v>
      </c>
      <c r="AP21" s="566">
        <v>1</v>
      </c>
      <c r="AQ21" s="567">
        <f t="shared" si="26"/>
        <v>137</v>
      </c>
      <c r="AR21" s="551"/>
      <c r="AS21" s="552">
        <v>2</v>
      </c>
      <c r="AT21" s="515">
        <v>2</v>
      </c>
      <c r="AU21" s="515">
        <v>6</v>
      </c>
      <c r="AV21" s="515" t="s">
        <v>91</v>
      </c>
      <c r="AW21" s="412">
        <f t="shared" si="9"/>
        <v>1</v>
      </c>
      <c r="AX21" s="409">
        <f t="shared" si="27"/>
        <v>137</v>
      </c>
      <c r="AY21" s="412">
        <f t="shared" si="10"/>
        <v>0.12408759124087587</v>
      </c>
      <c r="AZ21" s="409">
        <f t="shared" si="28"/>
        <v>16.999999999999993</v>
      </c>
      <c r="BA21" s="412">
        <f t="shared" si="11"/>
        <v>0.87591240875912413</v>
      </c>
      <c r="BB21" s="409">
        <f t="shared" si="29"/>
        <v>120</v>
      </c>
      <c r="BC21" s="550">
        <v>0</v>
      </c>
      <c r="BD21" s="571">
        <v>1</v>
      </c>
      <c r="BE21" s="413">
        <f t="shared" si="12"/>
        <v>137</v>
      </c>
      <c r="BF21" s="414">
        <f t="shared" si="30"/>
        <v>0.84999999999999964</v>
      </c>
      <c r="BG21" s="550">
        <v>2</v>
      </c>
      <c r="BH21" s="550" t="s">
        <v>300</v>
      </c>
      <c r="BI21" s="412">
        <f t="shared" si="31"/>
        <v>1</v>
      </c>
      <c r="BJ21" s="409">
        <f t="shared" si="32"/>
        <v>137</v>
      </c>
      <c r="BK21" s="414">
        <f t="shared" si="33"/>
        <v>0</v>
      </c>
      <c r="BL21" s="566">
        <v>1</v>
      </c>
      <c r="BM21" s="409">
        <f t="shared" si="34"/>
        <v>137</v>
      </c>
      <c r="BN21" s="550">
        <v>2</v>
      </c>
      <c r="BO21" s="412">
        <f t="shared" si="13"/>
        <v>1</v>
      </c>
      <c r="BP21" s="414">
        <f t="shared" si="14"/>
        <v>0</v>
      </c>
      <c r="BQ21" s="557">
        <v>1</v>
      </c>
      <c r="BR21" s="589"/>
      <c r="BS21" s="593">
        <v>41695</v>
      </c>
      <c r="BT21" s="415" t="str">
        <f t="shared" si="15"/>
        <v>To be realised</v>
      </c>
      <c r="BU21" s="515">
        <v>26</v>
      </c>
      <c r="BV21" s="515">
        <v>10</v>
      </c>
      <c r="BW21" s="416">
        <f t="shared" si="16"/>
        <v>26</v>
      </c>
      <c r="BX21" s="417">
        <f t="shared" si="17"/>
        <v>0</v>
      </c>
      <c r="BY21" s="409">
        <f t="shared" si="18"/>
        <v>0</v>
      </c>
      <c r="BZ21" s="446">
        <f t="shared" si="19"/>
        <v>4</v>
      </c>
      <c r="CA21" s="542" t="s">
        <v>780</v>
      </c>
      <c r="CB21" s="557">
        <v>0</v>
      </c>
      <c r="CC21" s="451">
        <f t="shared" si="35"/>
        <v>0</v>
      </c>
      <c r="CD21" s="542">
        <v>2</v>
      </c>
      <c r="CE21" s="418" t="str">
        <f t="shared" si="36"/>
        <v>Excellent coverage</v>
      </c>
      <c r="CF21" s="550">
        <v>0</v>
      </c>
      <c r="CG21" s="551" t="s">
        <v>65</v>
      </c>
      <c r="CH21" s="602"/>
    </row>
    <row r="22" spans="2:86" s="40" customFormat="1" ht="30.75" customHeight="1" x14ac:dyDescent="0.2">
      <c r="B22" s="512" t="s">
        <v>110</v>
      </c>
      <c r="C22" s="513" t="s">
        <v>552</v>
      </c>
      <c r="D22" s="514" t="s">
        <v>264</v>
      </c>
      <c r="E22" s="513" t="s">
        <v>121</v>
      </c>
      <c r="F22" s="514">
        <v>96.316400000000002</v>
      </c>
      <c r="G22" s="514">
        <v>25.61842</v>
      </c>
      <c r="H22" s="514" t="s">
        <v>467</v>
      </c>
      <c r="I22" s="514" t="s">
        <v>218</v>
      </c>
      <c r="J22" s="515">
        <v>15</v>
      </c>
      <c r="K22" s="515">
        <v>71</v>
      </c>
      <c r="L22" s="515">
        <v>71</v>
      </c>
      <c r="M22" s="405" t="str">
        <f t="shared" si="0"/>
        <v>1. Small</v>
      </c>
      <c r="N22" s="516" t="s">
        <v>284</v>
      </c>
      <c r="O22" s="530" t="s">
        <v>284</v>
      </c>
      <c r="P22" s="439" t="str">
        <f t="shared" si="20"/>
        <v>Covered</v>
      </c>
      <c r="Q22" s="531" t="s">
        <v>656</v>
      </c>
      <c r="R22" s="532"/>
      <c r="S22" s="531"/>
      <c r="T22" s="516" t="s">
        <v>260</v>
      </c>
      <c r="U22" s="436" t="str">
        <f t="shared" si="21"/>
        <v>Documented</v>
      </c>
      <c r="V22" s="542">
        <v>0</v>
      </c>
      <c r="W22" s="515">
        <v>0</v>
      </c>
      <c r="X22" s="543" t="s">
        <v>19</v>
      </c>
      <c r="Y22" s="542">
        <v>1</v>
      </c>
      <c r="Z22" s="550">
        <v>0</v>
      </c>
      <c r="AA22" s="551">
        <v>2000</v>
      </c>
      <c r="AB22" s="556">
        <v>0</v>
      </c>
      <c r="AC22" s="557">
        <v>0</v>
      </c>
      <c r="AD22" s="443">
        <f t="shared" si="1"/>
        <v>1</v>
      </c>
      <c r="AE22" s="407">
        <f t="shared" si="22"/>
        <v>71</v>
      </c>
      <c r="AF22" s="408">
        <f t="shared" si="2"/>
        <v>1</v>
      </c>
      <c r="AG22" s="409">
        <f t="shared" si="23"/>
        <v>71</v>
      </c>
      <c r="AH22" s="406">
        <f t="shared" si="3"/>
        <v>1</v>
      </c>
      <c r="AI22" s="409">
        <f t="shared" si="24"/>
        <v>71</v>
      </c>
      <c r="AJ22" s="410" t="str">
        <f t="shared" si="4"/>
        <v>80-100%</v>
      </c>
      <c r="AK22" s="406">
        <f t="shared" si="5"/>
        <v>0</v>
      </c>
      <c r="AL22" s="411">
        <f t="shared" si="6"/>
        <v>0</v>
      </c>
      <c r="AM22" s="409">
        <f t="shared" si="7"/>
        <v>0</v>
      </c>
      <c r="AN22" s="409">
        <f t="shared" si="8"/>
        <v>0</v>
      </c>
      <c r="AO22" s="409">
        <f t="shared" si="25"/>
        <v>0</v>
      </c>
      <c r="AP22" s="566">
        <v>1</v>
      </c>
      <c r="AQ22" s="567">
        <f t="shared" si="26"/>
        <v>71</v>
      </c>
      <c r="AR22" s="551"/>
      <c r="AS22" s="552">
        <v>0</v>
      </c>
      <c r="AT22" s="515">
        <v>1</v>
      </c>
      <c r="AU22" s="515">
        <v>4</v>
      </c>
      <c r="AV22" s="515" t="s">
        <v>91</v>
      </c>
      <c r="AW22" s="412">
        <f t="shared" si="9"/>
        <v>1</v>
      </c>
      <c r="AX22" s="409">
        <f t="shared" si="27"/>
        <v>71</v>
      </c>
      <c r="AY22" s="412">
        <f t="shared" si="10"/>
        <v>0</v>
      </c>
      <c r="AZ22" s="409">
        <f t="shared" si="28"/>
        <v>0</v>
      </c>
      <c r="BA22" s="412">
        <f t="shared" si="11"/>
        <v>1</v>
      </c>
      <c r="BB22" s="409">
        <f t="shared" si="29"/>
        <v>71</v>
      </c>
      <c r="BC22" s="550">
        <v>0</v>
      </c>
      <c r="BD22" s="571">
        <v>1</v>
      </c>
      <c r="BE22" s="413">
        <f t="shared" si="12"/>
        <v>71</v>
      </c>
      <c r="BF22" s="414">
        <f t="shared" si="30"/>
        <v>0</v>
      </c>
      <c r="BG22" s="550">
        <v>2</v>
      </c>
      <c r="BH22" s="550" t="s">
        <v>91</v>
      </c>
      <c r="BI22" s="412">
        <f t="shared" si="31"/>
        <v>1</v>
      </c>
      <c r="BJ22" s="409">
        <f t="shared" si="32"/>
        <v>71</v>
      </c>
      <c r="BK22" s="414">
        <f t="shared" si="33"/>
        <v>0</v>
      </c>
      <c r="BL22" s="566">
        <v>1</v>
      </c>
      <c r="BM22" s="409">
        <f t="shared" si="34"/>
        <v>71</v>
      </c>
      <c r="BN22" s="550">
        <v>1</v>
      </c>
      <c r="BO22" s="412">
        <f t="shared" si="13"/>
        <v>1</v>
      </c>
      <c r="BP22" s="414">
        <f t="shared" si="14"/>
        <v>0</v>
      </c>
      <c r="BQ22" s="557">
        <v>1</v>
      </c>
      <c r="BR22" s="589"/>
      <c r="BS22" s="593">
        <v>41695</v>
      </c>
      <c r="BT22" s="415" t="str">
        <f t="shared" si="15"/>
        <v>To be realised</v>
      </c>
      <c r="BU22" s="515">
        <v>15</v>
      </c>
      <c r="BV22" s="515">
        <v>10</v>
      </c>
      <c r="BW22" s="416">
        <f t="shared" si="16"/>
        <v>15</v>
      </c>
      <c r="BX22" s="417">
        <f t="shared" si="17"/>
        <v>0</v>
      </c>
      <c r="BY22" s="409">
        <f t="shared" si="18"/>
        <v>0</v>
      </c>
      <c r="BZ22" s="446">
        <f t="shared" si="19"/>
        <v>4</v>
      </c>
      <c r="CA22" s="542" t="s">
        <v>780</v>
      </c>
      <c r="CB22" s="557">
        <v>0</v>
      </c>
      <c r="CC22" s="451">
        <f t="shared" si="35"/>
        <v>0</v>
      </c>
      <c r="CD22" s="542">
        <v>1</v>
      </c>
      <c r="CE22" s="418" t="str">
        <f t="shared" si="36"/>
        <v>Excellent coverage</v>
      </c>
      <c r="CF22" s="550">
        <v>0</v>
      </c>
      <c r="CG22" s="551" t="s">
        <v>65</v>
      </c>
      <c r="CH22" s="602"/>
    </row>
    <row r="23" spans="2:86" s="40" customFormat="1" ht="30.75" customHeight="1" x14ac:dyDescent="0.2">
      <c r="B23" s="512" t="s">
        <v>110</v>
      </c>
      <c r="C23" s="513" t="s">
        <v>553</v>
      </c>
      <c r="D23" s="514" t="s">
        <v>264</v>
      </c>
      <c r="E23" s="513" t="s">
        <v>122</v>
      </c>
      <c r="F23" s="514">
        <v>96.319687999999999</v>
      </c>
      <c r="G23" s="514">
        <v>25.615202</v>
      </c>
      <c r="H23" s="514" t="s">
        <v>467</v>
      </c>
      <c r="I23" s="514" t="s">
        <v>218</v>
      </c>
      <c r="J23" s="515">
        <v>5</v>
      </c>
      <c r="K23" s="515">
        <v>25</v>
      </c>
      <c r="L23" s="515">
        <v>25</v>
      </c>
      <c r="M23" s="405" t="str">
        <f t="shared" si="0"/>
        <v>1. Small</v>
      </c>
      <c r="N23" s="516" t="s">
        <v>284</v>
      </c>
      <c r="O23" s="530" t="s">
        <v>284</v>
      </c>
      <c r="P23" s="439" t="str">
        <f t="shared" si="20"/>
        <v>Covered</v>
      </c>
      <c r="Q23" s="531" t="s">
        <v>656</v>
      </c>
      <c r="R23" s="532"/>
      <c r="S23" s="531"/>
      <c r="T23" s="516" t="s">
        <v>260</v>
      </c>
      <c r="U23" s="436" t="str">
        <f t="shared" si="21"/>
        <v>Documented</v>
      </c>
      <c r="V23" s="542">
        <v>0</v>
      </c>
      <c r="W23" s="515">
        <v>0</v>
      </c>
      <c r="X23" s="543" t="s">
        <v>19</v>
      </c>
      <c r="Y23" s="542">
        <v>1</v>
      </c>
      <c r="Z23" s="550">
        <v>0</v>
      </c>
      <c r="AA23" s="551">
        <v>6000</v>
      </c>
      <c r="AB23" s="556">
        <v>0</v>
      </c>
      <c r="AC23" s="557">
        <v>0</v>
      </c>
      <c r="AD23" s="443">
        <f t="shared" si="1"/>
        <v>1</v>
      </c>
      <c r="AE23" s="407">
        <f t="shared" si="22"/>
        <v>25</v>
      </c>
      <c r="AF23" s="408">
        <f t="shared" si="2"/>
        <v>1</v>
      </c>
      <c r="AG23" s="409">
        <f t="shared" si="23"/>
        <v>25</v>
      </c>
      <c r="AH23" s="406">
        <f t="shared" si="3"/>
        <v>1</v>
      </c>
      <c r="AI23" s="409">
        <f t="shared" si="24"/>
        <v>25</v>
      </c>
      <c r="AJ23" s="410" t="str">
        <f t="shared" si="4"/>
        <v>80-100%</v>
      </c>
      <c r="AK23" s="406">
        <f t="shared" si="5"/>
        <v>0</v>
      </c>
      <c r="AL23" s="411">
        <f t="shared" si="6"/>
        <v>0</v>
      </c>
      <c r="AM23" s="409">
        <f t="shared" si="7"/>
        <v>0</v>
      </c>
      <c r="AN23" s="409">
        <f t="shared" si="8"/>
        <v>0</v>
      </c>
      <c r="AO23" s="409">
        <f t="shared" si="25"/>
        <v>0</v>
      </c>
      <c r="AP23" s="566">
        <v>1</v>
      </c>
      <c r="AQ23" s="567">
        <f t="shared" si="26"/>
        <v>25</v>
      </c>
      <c r="AR23" s="551"/>
      <c r="AS23" s="552">
        <v>2</v>
      </c>
      <c r="AT23" s="515">
        <v>2</v>
      </c>
      <c r="AU23" s="515">
        <v>1</v>
      </c>
      <c r="AV23" s="515" t="s">
        <v>300</v>
      </c>
      <c r="AW23" s="412">
        <f t="shared" si="9"/>
        <v>1</v>
      </c>
      <c r="AX23" s="409">
        <f t="shared" si="27"/>
        <v>25</v>
      </c>
      <c r="AY23" s="412">
        <f t="shared" si="10"/>
        <v>0.19999999999999996</v>
      </c>
      <c r="AZ23" s="409">
        <f t="shared" si="28"/>
        <v>4.9999999999999991</v>
      </c>
      <c r="BA23" s="412">
        <f t="shared" si="11"/>
        <v>0.8</v>
      </c>
      <c r="BB23" s="409">
        <f t="shared" si="29"/>
        <v>20</v>
      </c>
      <c r="BC23" s="550">
        <v>0</v>
      </c>
      <c r="BD23" s="571">
        <v>1</v>
      </c>
      <c r="BE23" s="413">
        <f t="shared" si="12"/>
        <v>25</v>
      </c>
      <c r="BF23" s="414">
        <f t="shared" si="30"/>
        <v>0.25</v>
      </c>
      <c r="BG23" s="550">
        <v>2</v>
      </c>
      <c r="BH23" s="550" t="s">
        <v>299</v>
      </c>
      <c r="BI23" s="412">
        <f t="shared" si="31"/>
        <v>1</v>
      </c>
      <c r="BJ23" s="409">
        <f t="shared" si="32"/>
        <v>25</v>
      </c>
      <c r="BK23" s="414">
        <f t="shared" si="33"/>
        <v>0</v>
      </c>
      <c r="BL23" s="566">
        <v>1</v>
      </c>
      <c r="BM23" s="409">
        <f t="shared" si="34"/>
        <v>25</v>
      </c>
      <c r="BN23" s="550">
        <v>3</v>
      </c>
      <c r="BO23" s="412">
        <f t="shared" si="13"/>
        <v>1</v>
      </c>
      <c r="BP23" s="414">
        <f t="shared" si="14"/>
        <v>0</v>
      </c>
      <c r="BQ23" s="557">
        <v>1</v>
      </c>
      <c r="BR23" s="589"/>
      <c r="BS23" s="593">
        <v>41695</v>
      </c>
      <c r="BT23" s="415" t="str">
        <f t="shared" si="15"/>
        <v>To be realised</v>
      </c>
      <c r="BU23" s="515">
        <v>5</v>
      </c>
      <c r="BV23" s="515">
        <v>10</v>
      </c>
      <c r="BW23" s="416">
        <f t="shared" si="16"/>
        <v>5</v>
      </c>
      <c r="BX23" s="417">
        <f t="shared" si="17"/>
        <v>0</v>
      </c>
      <c r="BY23" s="409">
        <f t="shared" si="18"/>
        <v>0</v>
      </c>
      <c r="BZ23" s="446">
        <f t="shared" si="19"/>
        <v>4</v>
      </c>
      <c r="CA23" s="542" t="s">
        <v>780</v>
      </c>
      <c r="CB23" s="557">
        <v>0</v>
      </c>
      <c r="CC23" s="451">
        <f t="shared" si="35"/>
        <v>0</v>
      </c>
      <c r="CD23" s="542">
        <v>1</v>
      </c>
      <c r="CE23" s="418" t="str">
        <f t="shared" si="36"/>
        <v>Excellent coverage</v>
      </c>
      <c r="CF23" s="550">
        <v>0</v>
      </c>
      <c r="CG23" s="551" t="s">
        <v>65</v>
      </c>
      <c r="CH23" s="602"/>
    </row>
    <row r="24" spans="2:86" s="40" customFormat="1" ht="30.75" customHeight="1" x14ac:dyDescent="0.2">
      <c r="B24" s="512" t="s">
        <v>110</v>
      </c>
      <c r="C24" s="513" t="s">
        <v>554</v>
      </c>
      <c r="D24" s="514" t="s">
        <v>264</v>
      </c>
      <c r="E24" s="513" t="s">
        <v>229</v>
      </c>
      <c r="F24" s="514">
        <v>96.339590000000001</v>
      </c>
      <c r="G24" s="514">
        <v>25.617998</v>
      </c>
      <c r="H24" s="514" t="s">
        <v>467</v>
      </c>
      <c r="I24" s="514" t="s">
        <v>218</v>
      </c>
      <c r="J24" s="515">
        <v>17</v>
      </c>
      <c r="K24" s="515">
        <v>63</v>
      </c>
      <c r="L24" s="515">
        <v>63</v>
      </c>
      <c r="M24" s="405" t="str">
        <f t="shared" si="0"/>
        <v>1. Small</v>
      </c>
      <c r="N24" s="516" t="s">
        <v>284</v>
      </c>
      <c r="O24" s="530" t="s">
        <v>284</v>
      </c>
      <c r="P24" s="439" t="str">
        <f t="shared" si="20"/>
        <v>Covered</v>
      </c>
      <c r="Q24" s="531" t="s">
        <v>656</v>
      </c>
      <c r="R24" s="532"/>
      <c r="S24" s="531"/>
      <c r="T24" s="516" t="s">
        <v>260</v>
      </c>
      <c r="U24" s="436" t="str">
        <f t="shared" si="21"/>
        <v>Documented</v>
      </c>
      <c r="V24" s="542">
        <v>0</v>
      </c>
      <c r="W24" s="515">
        <v>0</v>
      </c>
      <c r="X24" s="543" t="s">
        <v>19</v>
      </c>
      <c r="Y24" s="542">
        <v>1</v>
      </c>
      <c r="Z24" s="550">
        <v>0</v>
      </c>
      <c r="AA24" s="551">
        <v>2000</v>
      </c>
      <c r="AB24" s="556">
        <v>0</v>
      </c>
      <c r="AC24" s="557">
        <v>0</v>
      </c>
      <c r="AD24" s="443">
        <f t="shared" si="1"/>
        <v>1</v>
      </c>
      <c r="AE24" s="407">
        <f t="shared" si="22"/>
        <v>63</v>
      </c>
      <c r="AF24" s="408">
        <f t="shared" si="2"/>
        <v>1</v>
      </c>
      <c r="AG24" s="409">
        <f t="shared" si="23"/>
        <v>63</v>
      </c>
      <c r="AH24" s="406">
        <f t="shared" si="3"/>
        <v>1</v>
      </c>
      <c r="AI24" s="409">
        <f t="shared" si="24"/>
        <v>63</v>
      </c>
      <c r="AJ24" s="410" t="str">
        <f t="shared" si="4"/>
        <v>80-100%</v>
      </c>
      <c r="AK24" s="406">
        <f t="shared" si="5"/>
        <v>0</v>
      </c>
      <c r="AL24" s="411">
        <f t="shared" si="6"/>
        <v>0</v>
      </c>
      <c r="AM24" s="409">
        <f t="shared" si="7"/>
        <v>0</v>
      </c>
      <c r="AN24" s="409">
        <f t="shared" si="8"/>
        <v>0</v>
      </c>
      <c r="AO24" s="409">
        <f t="shared" si="25"/>
        <v>0</v>
      </c>
      <c r="AP24" s="566">
        <v>1</v>
      </c>
      <c r="AQ24" s="567">
        <f t="shared" si="26"/>
        <v>63</v>
      </c>
      <c r="AR24" s="551"/>
      <c r="AS24" s="552">
        <v>2</v>
      </c>
      <c r="AT24" s="515">
        <v>2</v>
      </c>
      <c r="AU24" s="515">
        <v>3</v>
      </c>
      <c r="AV24" s="515" t="s">
        <v>299</v>
      </c>
      <c r="AW24" s="412">
        <f t="shared" si="9"/>
        <v>1</v>
      </c>
      <c r="AX24" s="409">
        <f t="shared" si="27"/>
        <v>63</v>
      </c>
      <c r="AY24" s="412">
        <f t="shared" si="10"/>
        <v>4.7619047619047672E-2</v>
      </c>
      <c r="AZ24" s="409">
        <f t="shared" si="28"/>
        <v>3.0000000000000036</v>
      </c>
      <c r="BA24" s="412">
        <f t="shared" si="11"/>
        <v>0.95238095238095233</v>
      </c>
      <c r="BB24" s="409">
        <f t="shared" si="29"/>
        <v>60</v>
      </c>
      <c r="BC24" s="550">
        <v>0</v>
      </c>
      <c r="BD24" s="571">
        <v>1</v>
      </c>
      <c r="BE24" s="413">
        <f t="shared" si="12"/>
        <v>63</v>
      </c>
      <c r="BF24" s="414">
        <f t="shared" si="30"/>
        <v>0.14999999999999991</v>
      </c>
      <c r="BG24" s="550">
        <v>2</v>
      </c>
      <c r="BH24" s="550" t="s">
        <v>299</v>
      </c>
      <c r="BI24" s="412">
        <f t="shared" si="31"/>
        <v>1</v>
      </c>
      <c r="BJ24" s="409">
        <f t="shared" si="32"/>
        <v>63</v>
      </c>
      <c r="BK24" s="414">
        <f t="shared" si="33"/>
        <v>0</v>
      </c>
      <c r="BL24" s="566">
        <v>1</v>
      </c>
      <c r="BM24" s="409">
        <f t="shared" si="34"/>
        <v>63</v>
      </c>
      <c r="BN24" s="550">
        <v>4</v>
      </c>
      <c r="BO24" s="412">
        <f t="shared" si="13"/>
        <v>1</v>
      </c>
      <c r="BP24" s="414">
        <f t="shared" si="14"/>
        <v>0</v>
      </c>
      <c r="BQ24" s="557">
        <v>1</v>
      </c>
      <c r="BR24" s="589"/>
      <c r="BS24" s="593">
        <v>41695</v>
      </c>
      <c r="BT24" s="415" t="str">
        <f t="shared" si="15"/>
        <v>To be realised</v>
      </c>
      <c r="BU24" s="515">
        <v>17</v>
      </c>
      <c r="BV24" s="515">
        <v>10</v>
      </c>
      <c r="BW24" s="416">
        <f t="shared" si="16"/>
        <v>17</v>
      </c>
      <c r="BX24" s="417">
        <f t="shared" si="17"/>
        <v>0</v>
      </c>
      <c r="BY24" s="409">
        <f t="shared" si="18"/>
        <v>0</v>
      </c>
      <c r="BZ24" s="446">
        <f t="shared" si="19"/>
        <v>4</v>
      </c>
      <c r="CA24" s="542" t="s">
        <v>780</v>
      </c>
      <c r="CB24" s="557">
        <v>0</v>
      </c>
      <c r="CC24" s="451">
        <f t="shared" si="35"/>
        <v>0</v>
      </c>
      <c r="CD24" s="542">
        <v>2</v>
      </c>
      <c r="CE24" s="418" t="str">
        <f t="shared" si="36"/>
        <v>Excellent coverage</v>
      </c>
      <c r="CF24" s="550">
        <v>0</v>
      </c>
      <c r="CG24" s="551" t="s">
        <v>65</v>
      </c>
      <c r="CH24" s="602"/>
    </row>
    <row r="25" spans="2:86" s="40" customFormat="1" ht="30.75" customHeight="1" x14ac:dyDescent="0.2">
      <c r="B25" s="512" t="s">
        <v>110</v>
      </c>
      <c r="C25" s="513" t="s">
        <v>555</v>
      </c>
      <c r="D25" s="514" t="s">
        <v>264</v>
      </c>
      <c r="E25" s="513" t="s">
        <v>123</v>
      </c>
      <c r="F25" s="514">
        <v>96.341352999999998</v>
      </c>
      <c r="G25" s="514">
        <v>25.613894999999999</v>
      </c>
      <c r="H25" s="514" t="s">
        <v>467</v>
      </c>
      <c r="I25" s="514" t="s">
        <v>218</v>
      </c>
      <c r="J25" s="515">
        <v>55</v>
      </c>
      <c r="K25" s="515">
        <v>272</v>
      </c>
      <c r="L25" s="515">
        <v>272</v>
      </c>
      <c r="M25" s="405" t="str">
        <f t="shared" si="0"/>
        <v>2. Medium</v>
      </c>
      <c r="N25" s="516" t="s">
        <v>235</v>
      </c>
      <c r="O25" s="530" t="s">
        <v>235</v>
      </c>
      <c r="P25" s="439" t="str">
        <f t="shared" si="20"/>
        <v>Covered</v>
      </c>
      <c r="Q25" s="531">
        <v>42369</v>
      </c>
      <c r="R25" s="532"/>
      <c r="S25" s="531"/>
      <c r="T25" s="516" t="s">
        <v>260</v>
      </c>
      <c r="U25" s="436" t="str">
        <f t="shared" si="21"/>
        <v>Documented</v>
      </c>
      <c r="V25" s="542">
        <v>0</v>
      </c>
      <c r="W25" s="515">
        <v>0</v>
      </c>
      <c r="X25" s="543" t="s">
        <v>19</v>
      </c>
      <c r="Y25" s="542">
        <v>2</v>
      </c>
      <c r="Z25" s="550">
        <v>0</v>
      </c>
      <c r="AA25" s="551">
        <v>3000</v>
      </c>
      <c r="AB25" s="556">
        <v>0</v>
      </c>
      <c r="AC25" s="557">
        <v>0</v>
      </c>
      <c r="AD25" s="443">
        <f t="shared" si="1"/>
        <v>1</v>
      </c>
      <c r="AE25" s="407">
        <f t="shared" si="22"/>
        <v>272</v>
      </c>
      <c r="AF25" s="408">
        <f t="shared" si="2"/>
        <v>1</v>
      </c>
      <c r="AG25" s="409">
        <f t="shared" si="23"/>
        <v>272</v>
      </c>
      <c r="AH25" s="406">
        <f t="shared" si="3"/>
        <v>1</v>
      </c>
      <c r="AI25" s="409">
        <f t="shared" si="24"/>
        <v>272</v>
      </c>
      <c r="AJ25" s="410" t="str">
        <f t="shared" si="4"/>
        <v>80-100%</v>
      </c>
      <c r="AK25" s="406">
        <f t="shared" si="5"/>
        <v>0</v>
      </c>
      <c r="AL25" s="411">
        <f t="shared" si="6"/>
        <v>0</v>
      </c>
      <c r="AM25" s="409">
        <f t="shared" si="7"/>
        <v>0</v>
      </c>
      <c r="AN25" s="409">
        <f t="shared" si="8"/>
        <v>0</v>
      </c>
      <c r="AO25" s="409">
        <f t="shared" si="25"/>
        <v>0</v>
      </c>
      <c r="AP25" s="566">
        <v>1</v>
      </c>
      <c r="AQ25" s="567">
        <f t="shared" si="26"/>
        <v>272</v>
      </c>
      <c r="AR25" s="551"/>
      <c r="AS25" s="552">
        <v>5</v>
      </c>
      <c r="AT25" s="515">
        <v>0</v>
      </c>
      <c r="AU25" s="515">
        <v>10</v>
      </c>
      <c r="AV25" s="515" t="s">
        <v>91</v>
      </c>
      <c r="AW25" s="412">
        <f t="shared" si="9"/>
        <v>0.73529411764705888</v>
      </c>
      <c r="AX25" s="409">
        <f t="shared" si="27"/>
        <v>200</v>
      </c>
      <c r="AY25" s="412">
        <f t="shared" si="10"/>
        <v>0</v>
      </c>
      <c r="AZ25" s="409">
        <f t="shared" si="28"/>
        <v>0</v>
      </c>
      <c r="BA25" s="412">
        <f t="shared" si="11"/>
        <v>0.73529411764705888</v>
      </c>
      <c r="BB25" s="409">
        <f t="shared" si="29"/>
        <v>200</v>
      </c>
      <c r="BC25" s="550">
        <v>0</v>
      </c>
      <c r="BD25" s="571">
        <v>0.74</v>
      </c>
      <c r="BE25" s="413">
        <f t="shared" si="12"/>
        <v>201.28</v>
      </c>
      <c r="BF25" s="414">
        <f t="shared" si="30"/>
        <v>3.5999999999999996</v>
      </c>
      <c r="BG25" s="550">
        <v>2</v>
      </c>
      <c r="BH25" s="550" t="s">
        <v>299</v>
      </c>
      <c r="BI25" s="412">
        <f t="shared" si="31"/>
        <v>0.73529411764705888</v>
      </c>
      <c r="BJ25" s="409">
        <f t="shared" si="32"/>
        <v>200</v>
      </c>
      <c r="BK25" s="414">
        <f t="shared" si="33"/>
        <v>0.7200000000000002</v>
      </c>
      <c r="BL25" s="566">
        <v>0.74</v>
      </c>
      <c r="BM25" s="409">
        <f t="shared" si="34"/>
        <v>201.28</v>
      </c>
      <c r="BN25" s="550">
        <v>3</v>
      </c>
      <c r="BO25" s="412">
        <f t="shared" si="13"/>
        <v>1</v>
      </c>
      <c r="BP25" s="414">
        <f t="shared" si="14"/>
        <v>0</v>
      </c>
      <c r="BQ25" s="557">
        <v>1</v>
      </c>
      <c r="BR25" s="589"/>
      <c r="BS25" s="593">
        <v>41817</v>
      </c>
      <c r="BT25" s="415">
        <f t="shared" si="15"/>
        <v>42182</v>
      </c>
      <c r="BU25" s="515">
        <v>55</v>
      </c>
      <c r="BV25" s="515">
        <v>2</v>
      </c>
      <c r="BW25" s="416">
        <f t="shared" si="16"/>
        <v>0</v>
      </c>
      <c r="BX25" s="417">
        <f t="shared" si="17"/>
        <v>1</v>
      </c>
      <c r="BY25" s="409">
        <f t="shared" si="18"/>
        <v>272</v>
      </c>
      <c r="BZ25" s="446">
        <f t="shared" si="19"/>
        <v>8</v>
      </c>
      <c r="CA25" s="542"/>
      <c r="CB25" s="557">
        <v>0</v>
      </c>
      <c r="CC25" s="451">
        <f t="shared" si="35"/>
        <v>0</v>
      </c>
      <c r="CD25" s="542">
        <v>0</v>
      </c>
      <c r="CE25" s="418" t="str">
        <f t="shared" si="36"/>
        <v>No coverage</v>
      </c>
      <c r="CF25" s="550">
        <v>0</v>
      </c>
      <c r="CG25" s="551" t="s">
        <v>301</v>
      </c>
      <c r="CH25" s="602"/>
    </row>
    <row r="26" spans="2:86" s="40" customFormat="1" ht="30.75" customHeight="1" x14ac:dyDescent="0.2">
      <c r="B26" s="512" t="s">
        <v>110</v>
      </c>
      <c r="C26" s="513" t="s">
        <v>556</v>
      </c>
      <c r="D26" s="514" t="s">
        <v>264</v>
      </c>
      <c r="E26" s="513" t="s">
        <v>124</v>
      </c>
      <c r="F26" s="514">
        <v>96.279200000000003</v>
      </c>
      <c r="G26" s="514">
        <v>25.56551</v>
      </c>
      <c r="H26" s="514" t="s">
        <v>467</v>
      </c>
      <c r="I26" s="514" t="s">
        <v>218</v>
      </c>
      <c r="J26" s="515">
        <v>11</v>
      </c>
      <c r="K26" s="515">
        <v>42</v>
      </c>
      <c r="L26" s="515">
        <v>42</v>
      </c>
      <c r="M26" s="405" t="str">
        <f t="shared" si="0"/>
        <v>1. Small</v>
      </c>
      <c r="N26" s="516" t="s">
        <v>284</v>
      </c>
      <c r="O26" s="530" t="s">
        <v>284</v>
      </c>
      <c r="P26" s="439" t="str">
        <f t="shared" si="20"/>
        <v>Covered</v>
      </c>
      <c r="Q26" s="531" t="s">
        <v>656</v>
      </c>
      <c r="R26" s="532"/>
      <c r="S26" s="531"/>
      <c r="T26" s="516" t="s">
        <v>260</v>
      </c>
      <c r="U26" s="436" t="str">
        <f t="shared" si="21"/>
        <v>Documented</v>
      </c>
      <c r="V26" s="542">
        <v>0</v>
      </c>
      <c r="W26" s="515">
        <v>0</v>
      </c>
      <c r="X26" s="543" t="s">
        <v>19</v>
      </c>
      <c r="Y26" s="542">
        <v>1</v>
      </c>
      <c r="Z26" s="550">
        <v>0</v>
      </c>
      <c r="AA26" s="551">
        <v>1600</v>
      </c>
      <c r="AB26" s="556">
        <v>0</v>
      </c>
      <c r="AC26" s="557">
        <v>0</v>
      </c>
      <c r="AD26" s="443">
        <f t="shared" si="1"/>
        <v>1</v>
      </c>
      <c r="AE26" s="407">
        <f t="shared" si="22"/>
        <v>42</v>
      </c>
      <c r="AF26" s="408">
        <f t="shared" si="2"/>
        <v>1</v>
      </c>
      <c r="AG26" s="409">
        <f t="shared" si="23"/>
        <v>42</v>
      </c>
      <c r="AH26" s="406">
        <f t="shared" si="3"/>
        <v>1</v>
      </c>
      <c r="AI26" s="409">
        <f t="shared" si="24"/>
        <v>42</v>
      </c>
      <c r="AJ26" s="410" t="str">
        <f t="shared" si="4"/>
        <v>80-100%</v>
      </c>
      <c r="AK26" s="406">
        <f t="shared" si="5"/>
        <v>0</v>
      </c>
      <c r="AL26" s="411">
        <f t="shared" si="6"/>
        <v>0</v>
      </c>
      <c r="AM26" s="409">
        <f t="shared" si="7"/>
        <v>0</v>
      </c>
      <c r="AN26" s="409">
        <f t="shared" si="8"/>
        <v>0</v>
      </c>
      <c r="AO26" s="409">
        <f t="shared" si="25"/>
        <v>0</v>
      </c>
      <c r="AP26" s="566">
        <v>1</v>
      </c>
      <c r="AQ26" s="567">
        <f t="shared" si="26"/>
        <v>42</v>
      </c>
      <c r="AR26" s="551"/>
      <c r="AS26" s="552">
        <v>1</v>
      </c>
      <c r="AT26" s="515">
        <v>2</v>
      </c>
      <c r="AU26" s="515">
        <v>2</v>
      </c>
      <c r="AV26" s="515" t="s">
        <v>91</v>
      </c>
      <c r="AW26" s="412">
        <f t="shared" si="9"/>
        <v>1</v>
      </c>
      <c r="AX26" s="409">
        <f t="shared" si="27"/>
        <v>42</v>
      </c>
      <c r="AY26" s="412">
        <f t="shared" si="10"/>
        <v>4.7619047619047672E-2</v>
      </c>
      <c r="AZ26" s="409">
        <f t="shared" si="28"/>
        <v>2.0000000000000022</v>
      </c>
      <c r="BA26" s="412">
        <f t="shared" si="11"/>
        <v>0.95238095238095233</v>
      </c>
      <c r="BB26" s="409">
        <f t="shared" si="29"/>
        <v>40</v>
      </c>
      <c r="BC26" s="550">
        <v>0</v>
      </c>
      <c r="BD26" s="571">
        <v>1</v>
      </c>
      <c r="BE26" s="413">
        <f t="shared" si="12"/>
        <v>42</v>
      </c>
      <c r="BF26" s="414">
        <f t="shared" si="30"/>
        <v>0.10000000000000009</v>
      </c>
      <c r="BG26" s="550">
        <v>2</v>
      </c>
      <c r="BH26" s="550" t="s">
        <v>91</v>
      </c>
      <c r="BI26" s="412">
        <f t="shared" si="31"/>
        <v>1</v>
      </c>
      <c r="BJ26" s="409">
        <f t="shared" si="32"/>
        <v>42</v>
      </c>
      <c r="BK26" s="414">
        <f t="shared" si="33"/>
        <v>0</v>
      </c>
      <c r="BL26" s="566">
        <v>1</v>
      </c>
      <c r="BM26" s="409">
        <f t="shared" si="34"/>
        <v>42</v>
      </c>
      <c r="BN26" s="550">
        <v>6</v>
      </c>
      <c r="BO26" s="412">
        <f t="shared" si="13"/>
        <v>1</v>
      </c>
      <c r="BP26" s="414">
        <f t="shared" si="14"/>
        <v>0</v>
      </c>
      <c r="BQ26" s="557">
        <v>1</v>
      </c>
      <c r="BR26" s="589"/>
      <c r="BS26" s="593">
        <v>41695</v>
      </c>
      <c r="BT26" s="415" t="str">
        <f t="shared" si="15"/>
        <v>To be realised</v>
      </c>
      <c r="BU26" s="515">
        <v>11</v>
      </c>
      <c r="BV26" s="515">
        <v>10</v>
      </c>
      <c r="BW26" s="416">
        <f t="shared" si="16"/>
        <v>11</v>
      </c>
      <c r="BX26" s="417">
        <f t="shared" si="17"/>
        <v>0</v>
      </c>
      <c r="BY26" s="409">
        <f t="shared" si="18"/>
        <v>0</v>
      </c>
      <c r="BZ26" s="446">
        <f t="shared" si="19"/>
        <v>4</v>
      </c>
      <c r="CA26" s="542" t="s">
        <v>780</v>
      </c>
      <c r="CB26" s="557">
        <v>0</v>
      </c>
      <c r="CC26" s="451">
        <f t="shared" si="35"/>
        <v>0</v>
      </c>
      <c r="CD26" s="542">
        <v>2</v>
      </c>
      <c r="CE26" s="418" t="str">
        <f t="shared" si="36"/>
        <v>Excellent coverage</v>
      </c>
      <c r="CF26" s="550">
        <v>0</v>
      </c>
      <c r="CG26" s="551" t="s">
        <v>65</v>
      </c>
      <c r="CH26" s="602"/>
    </row>
    <row r="27" spans="2:86" s="40" customFormat="1" ht="30.75" customHeight="1" x14ac:dyDescent="0.2">
      <c r="B27" s="512" t="s">
        <v>110</v>
      </c>
      <c r="C27" s="513" t="s">
        <v>557</v>
      </c>
      <c r="D27" s="514" t="s">
        <v>264</v>
      </c>
      <c r="E27" s="513" t="s">
        <v>125</v>
      </c>
      <c r="F27" s="514">
        <v>96.353030000000004</v>
      </c>
      <c r="G27" s="514">
        <v>25.668399999999998</v>
      </c>
      <c r="H27" s="514" t="s">
        <v>467</v>
      </c>
      <c r="I27" s="514" t="s">
        <v>218</v>
      </c>
      <c r="J27" s="515">
        <v>8</v>
      </c>
      <c r="K27" s="515">
        <v>40</v>
      </c>
      <c r="L27" s="515">
        <v>40</v>
      </c>
      <c r="M27" s="405" t="str">
        <f t="shared" si="0"/>
        <v>1. Small</v>
      </c>
      <c r="N27" s="516" t="s">
        <v>284</v>
      </c>
      <c r="O27" s="530" t="s">
        <v>284</v>
      </c>
      <c r="P27" s="439" t="str">
        <f t="shared" si="20"/>
        <v>Covered</v>
      </c>
      <c r="Q27" s="531" t="s">
        <v>656</v>
      </c>
      <c r="R27" s="532"/>
      <c r="S27" s="531"/>
      <c r="T27" s="516" t="s">
        <v>260</v>
      </c>
      <c r="U27" s="436" t="str">
        <f t="shared" si="21"/>
        <v>Documented</v>
      </c>
      <c r="V27" s="542">
        <v>0</v>
      </c>
      <c r="W27" s="515">
        <v>0</v>
      </c>
      <c r="X27" s="543" t="s">
        <v>19</v>
      </c>
      <c r="Y27" s="542">
        <v>0</v>
      </c>
      <c r="Z27" s="550">
        <v>0</v>
      </c>
      <c r="AA27" s="551">
        <v>3750</v>
      </c>
      <c r="AB27" s="556">
        <v>0</v>
      </c>
      <c r="AC27" s="557">
        <v>0</v>
      </c>
      <c r="AD27" s="443">
        <f t="shared" si="1"/>
        <v>1</v>
      </c>
      <c r="AE27" s="407">
        <f t="shared" si="22"/>
        <v>40</v>
      </c>
      <c r="AF27" s="408">
        <f t="shared" si="2"/>
        <v>1</v>
      </c>
      <c r="AG27" s="409">
        <f t="shared" si="23"/>
        <v>40</v>
      </c>
      <c r="AH27" s="406">
        <f t="shared" si="3"/>
        <v>1</v>
      </c>
      <c r="AI27" s="409">
        <f t="shared" si="24"/>
        <v>40</v>
      </c>
      <c r="AJ27" s="410" t="str">
        <f t="shared" si="4"/>
        <v>80-100%</v>
      </c>
      <c r="AK27" s="406">
        <f t="shared" si="5"/>
        <v>0</v>
      </c>
      <c r="AL27" s="411">
        <f t="shared" si="6"/>
        <v>0</v>
      </c>
      <c r="AM27" s="409">
        <f t="shared" si="7"/>
        <v>0.1</v>
      </c>
      <c r="AN27" s="409">
        <f t="shared" si="8"/>
        <v>0</v>
      </c>
      <c r="AO27" s="409">
        <f t="shared" si="25"/>
        <v>0</v>
      </c>
      <c r="AP27" s="566">
        <v>1</v>
      </c>
      <c r="AQ27" s="567">
        <f t="shared" si="26"/>
        <v>40</v>
      </c>
      <c r="AR27" s="551"/>
      <c r="AS27" s="552">
        <v>8</v>
      </c>
      <c r="AT27" s="515">
        <v>0</v>
      </c>
      <c r="AU27" s="515">
        <v>8</v>
      </c>
      <c r="AV27" s="515" t="s">
        <v>298</v>
      </c>
      <c r="AW27" s="412">
        <f t="shared" si="9"/>
        <v>1</v>
      </c>
      <c r="AX27" s="409">
        <f t="shared" si="27"/>
        <v>40</v>
      </c>
      <c r="AY27" s="412">
        <f t="shared" si="10"/>
        <v>0</v>
      </c>
      <c r="AZ27" s="409">
        <f t="shared" si="28"/>
        <v>0</v>
      </c>
      <c r="BA27" s="412">
        <f t="shared" si="11"/>
        <v>1</v>
      </c>
      <c r="BB27" s="409">
        <f t="shared" si="29"/>
        <v>40</v>
      </c>
      <c r="BC27" s="550">
        <v>0</v>
      </c>
      <c r="BD27" s="571">
        <v>1</v>
      </c>
      <c r="BE27" s="413">
        <f t="shared" si="12"/>
        <v>40</v>
      </c>
      <c r="BF27" s="414">
        <f t="shared" si="30"/>
        <v>0</v>
      </c>
      <c r="BG27" s="550">
        <v>2</v>
      </c>
      <c r="BH27" s="550" t="s">
        <v>91</v>
      </c>
      <c r="BI27" s="412">
        <f t="shared" si="31"/>
        <v>1</v>
      </c>
      <c r="BJ27" s="409">
        <f t="shared" si="32"/>
        <v>40</v>
      </c>
      <c r="BK27" s="414">
        <f t="shared" si="33"/>
        <v>0</v>
      </c>
      <c r="BL27" s="566">
        <v>1</v>
      </c>
      <c r="BM27" s="409">
        <f t="shared" si="34"/>
        <v>40</v>
      </c>
      <c r="BN27" s="550">
        <v>2</v>
      </c>
      <c r="BO27" s="412">
        <f t="shared" si="13"/>
        <v>1</v>
      </c>
      <c r="BP27" s="414">
        <f t="shared" si="14"/>
        <v>0</v>
      </c>
      <c r="BQ27" s="557">
        <v>1</v>
      </c>
      <c r="BR27" s="589"/>
      <c r="BS27" s="593">
        <v>41695</v>
      </c>
      <c r="BT27" s="415" t="str">
        <f t="shared" si="15"/>
        <v>To be realised</v>
      </c>
      <c r="BU27" s="515">
        <v>8</v>
      </c>
      <c r="BV27" s="515">
        <v>10</v>
      </c>
      <c r="BW27" s="416">
        <f t="shared" si="16"/>
        <v>8</v>
      </c>
      <c r="BX27" s="417">
        <f t="shared" si="17"/>
        <v>0</v>
      </c>
      <c r="BY27" s="409">
        <f t="shared" si="18"/>
        <v>0</v>
      </c>
      <c r="BZ27" s="446">
        <f t="shared" si="19"/>
        <v>4</v>
      </c>
      <c r="CA27" s="542" t="s">
        <v>780</v>
      </c>
      <c r="CB27" s="557">
        <v>0</v>
      </c>
      <c r="CC27" s="451">
        <f t="shared" si="35"/>
        <v>0</v>
      </c>
      <c r="CD27" s="542">
        <v>2</v>
      </c>
      <c r="CE27" s="418" t="str">
        <f t="shared" si="36"/>
        <v>Excellent coverage</v>
      </c>
      <c r="CF27" s="550">
        <v>0</v>
      </c>
      <c r="CG27" s="551" t="s">
        <v>65</v>
      </c>
      <c r="CH27" s="602"/>
    </row>
    <row r="28" spans="2:86" s="40" customFormat="1" ht="30.75" customHeight="1" x14ac:dyDescent="0.2">
      <c r="B28" s="512" t="s">
        <v>110</v>
      </c>
      <c r="C28" s="513" t="s">
        <v>558</v>
      </c>
      <c r="D28" s="514" t="s">
        <v>264</v>
      </c>
      <c r="E28" s="513" t="s">
        <v>126</v>
      </c>
      <c r="F28" s="514">
        <v>96.286680000000004</v>
      </c>
      <c r="G28" s="514">
        <v>25.577559999999998</v>
      </c>
      <c r="H28" s="514" t="s">
        <v>467</v>
      </c>
      <c r="I28" s="514" t="s">
        <v>218</v>
      </c>
      <c r="J28" s="515">
        <v>40</v>
      </c>
      <c r="K28" s="515">
        <v>190</v>
      </c>
      <c r="L28" s="515">
        <v>190</v>
      </c>
      <c r="M28" s="405" t="str">
        <f t="shared" si="0"/>
        <v>1. Small</v>
      </c>
      <c r="N28" s="516" t="s">
        <v>284</v>
      </c>
      <c r="O28" s="530" t="s">
        <v>284</v>
      </c>
      <c r="P28" s="439" t="str">
        <f t="shared" si="20"/>
        <v>Covered</v>
      </c>
      <c r="Q28" s="531" t="s">
        <v>656</v>
      </c>
      <c r="R28" s="532"/>
      <c r="S28" s="531"/>
      <c r="T28" s="516" t="s">
        <v>260</v>
      </c>
      <c r="U28" s="436" t="str">
        <f t="shared" si="21"/>
        <v>Documented</v>
      </c>
      <c r="V28" s="542">
        <v>0</v>
      </c>
      <c r="W28" s="515">
        <v>0</v>
      </c>
      <c r="X28" s="543" t="s">
        <v>19</v>
      </c>
      <c r="Y28" s="542">
        <v>1</v>
      </c>
      <c r="Z28" s="550">
        <v>0</v>
      </c>
      <c r="AA28" s="551">
        <v>4800</v>
      </c>
      <c r="AB28" s="556">
        <v>0</v>
      </c>
      <c r="AC28" s="557">
        <v>0</v>
      </c>
      <c r="AD28" s="443">
        <f t="shared" si="1"/>
        <v>1</v>
      </c>
      <c r="AE28" s="407">
        <f t="shared" si="22"/>
        <v>190</v>
      </c>
      <c r="AF28" s="408">
        <f t="shared" si="2"/>
        <v>1</v>
      </c>
      <c r="AG28" s="409">
        <f t="shared" si="23"/>
        <v>190</v>
      </c>
      <c r="AH28" s="406">
        <f t="shared" si="3"/>
        <v>1</v>
      </c>
      <c r="AI28" s="409">
        <f t="shared" si="24"/>
        <v>190</v>
      </c>
      <c r="AJ28" s="410" t="str">
        <f t="shared" si="4"/>
        <v>80-100%</v>
      </c>
      <c r="AK28" s="406">
        <f t="shared" si="5"/>
        <v>0</v>
      </c>
      <c r="AL28" s="411">
        <f t="shared" si="6"/>
        <v>0</v>
      </c>
      <c r="AM28" s="409">
        <f t="shared" si="7"/>
        <v>0</v>
      </c>
      <c r="AN28" s="409">
        <f t="shared" si="8"/>
        <v>0</v>
      </c>
      <c r="AO28" s="409">
        <f t="shared" si="25"/>
        <v>0</v>
      </c>
      <c r="AP28" s="566">
        <v>1</v>
      </c>
      <c r="AQ28" s="567">
        <f t="shared" si="26"/>
        <v>190</v>
      </c>
      <c r="AR28" s="551"/>
      <c r="AS28" s="552">
        <v>9</v>
      </c>
      <c r="AT28" s="515">
        <v>5</v>
      </c>
      <c r="AU28" s="515">
        <v>4</v>
      </c>
      <c r="AV28" s="515" t="s">
        <v>91</v>
      </c>
      <c r="AW28" s="412">
        <f t="shared" si="9"/>
        <v>0.94736842105263153</v>
      </c>
      <c r="AX28" s="409">
        <f t="shared" si="27"/>
        <v>180</v>
      </c>
      <c r="AY28" s="412">
        <f t="shared" si="10"/>
        <v>0.52631578947368418</v>
      </c>
      <c r="AZ28" s="409">
        <f t="shared" si="28"/>
        <v>100</v>
      </c>
      <c r="BA28" s="412">
        <f t="shared" si="11"/>
        <v>0.42105263157894735</v>
      </c>
      <c r="BB28" s="409">
        <f t="shared" si="29"/>
        <v>80</v>
      </c>
      <c r="BC28" s="550">
        <v>0</v>
      </c>
      <c r="BD28" s="571">
        <v>0.95</v>
      </c>
      <c r="BE28" s="413">
        <f t="shared" si="12"/>
        <v>180.5</v>
      </c>
      <c r="BF28" s="414">
        <f t="shared" si="30"/>
        <v>5.5</v>
      </c>
      <c r="BG28" s="550">
        <v>3</v>
      </c>
      <c r="BH28" s="550" t="s">
        <v>91</v>
      </c>
      <c r="BI28" s="412">
        <f t="shared" si="31"/>
        <v>1</v>
      </c>
      <c r="BJ28" s="409">
        <f t="shared" si="32"/>
        <v>190</v>
      </c>
      <c r="BK28" s="414">
        <f t="shared" si="33"/>
        <v>0</v>
      </c>
      <c r="BL28" s="566">
        <v>1</v>
      </c>
      <c r="BM28" s="409">
        <f t="shared" si="34"/>
        <v>190</v>
      </c>
      <c r="BN28" s="550">
        <v>3</v>
      </c>
      <c r="BO28" s="412">
        <f t="shared" si="13"/>
        <v>1</v>
      </c>
      <c r="BP28" s="414">
        <f t="shared" si="14"/>
        <v>0</v>
      </c>
      <c r="BQ28" s="557">
        <v>1</v>
      </c>
      <c r="BR28" s="589" t="s">
        <v>796</v>
      </c>
      <c r="BS28" s="593">
        <v>41695</v>
      </c>
      <c r="BT28" s="415" t="str">
        <f t="shared" si="15"/>
        <v>To be realised</v>
      </c>
      <c r="BU28" s="515">
        <v>40</v>
      </c>
      <c r="BV28" s="515">
        <v>10</v>
      </c>
      <c r="BW28" s="416">
        <f t="shared" si="16"/>
        <v>40</v>
      </c>
      <c r="BX28" s="417">
        <f t="shared" si="17"/>
        <v>0</v>
      </c>
      <c r="BY28" s="409">
        <f t="shared" si="18"/>
        <v>0</v>
      </c>
      <c r="BZ28" s="446">
        <f t="shared" si="19"/>
        <v>4</v>
      </c>
      <c r="CA28" s="542" t="s">
        <v>780</v>
      </c>
      <c r="CB28" s="557">
        <v>0</v>
      </c>
      <c r="CC28" s="451">
        <f t="shared" si="35"/>
        <v>0</v>
      </c>
      <c r="CD28" s="542">
        <v>2</v>
      </c>
      <c r="CE28" s="418" t="str">
        <f t="shared" si="36"/>
        <v>Excellent coverage</v>
      </c>
      <c r="CF28" s="550">
        <v>0</v>
      </c>
      <c r="CG28" s="551" t="s">
        <v>65</v>
      </c>
      <c r="CH28" s="602"/>
    </row>
    <row r="29" spans="2:86" s="40" customFormat="1" ht="30.75" customHeight="1" x14ac:dyDescent="0.2">
      <c r="B29" s="512" t="s">
        <v>110</v>
      </c>
      <c r="C29" s="513" t="s">
        <v>559</v>
      </c>
      <c r="D29" s="514" t="s">
        <v>264</v>
      </c>
      <c r="E29" s="513" t="s">
        <v>127</v>
      </c>
      <c r="F29" s="514">
        <v>96.306910999999999</v>
      </c>
      <c r="G29" s="514">
        <v>25.599250000000001</v>
      </c>
      <c r="H29" s="514" t="s">
        <v>467</v>
      </c>
      <c r="I29" s="514" t="s">
        <v>218</v>
      </c>
      <c r="J29" s="515">
        <v>22</v>
      </c>
      <c r="K29" s="515">
        <v>80</v>
      </c>
      <c r="L29" s="515">
        <v>80</v>
      </c>
      <c r="M29" s="405" t="str">
        <f t="shared" si="0"/>
        <v>1. Small</v>
      </c>
      <c r="N29" s="516" t="s">
        <v>284</v>
      </c>
      <c r="O29" s="530" t="s">
        <v>284</v>
      </c>
      <c r="P29" s="439" t="str">
        <f t="shared" si="20"/>
        <v>Covered</v>
      </c>
      <c r="Q29" s="531" t="s">
        <v>656</v>
      </c>
      <c r="R29" s="532"/>
      <c r="S29" s="531"/>
      <c r="T29" s="516" t="s">
        <v>260</v>
      </c>
      <c r="U29" s="436" t="str">
        <f t="shared" si="21"/>
        <v>Documented</v>
      </c>
      <c r="V29" s="542">
        <v>0</v>
      </c>
      <c r="W29" s="515">
        <v>0</v>
      </c>
      <c r="X29" s="543" t="s">
        <v>19</v>
      </c>
      <c r="Y29" s="542">
        <v>0</v>
      </c>
      <c r="Z29" s="550">
        <v>0</v>
      </c>
      <c r="AA29" s="551">
        <v>5600</v>
      </c>
      <c r="AB29" s="556">
        <v>0</v>
      </c>
      <c r="AC29" s="557">
        <v>0</v>
      </c>
      <c r="AD29" s="443">
        <f t="shared" si="1"/>
        <v>1</v>
      </c>
      <c r="AE29" s="407">
        <f t="shared" si="22"/>
        <v>80</v>
      </c>
      <c r="AF29" s="408">
        <f t="shared" si="2"/>
        <v>1</v>
      </c>
      <c r="AG29" s="409">
        <f t="shared" si="23"/>
        <v>80</v>
      </c>
      <c r="AH29" s="406">
        <f t="shared" si="3"/>
        <v>1</v>
      </c>
      <c r="AI29" s="409">
        <f t="shared" si="24"/>
        <v>80</v>
      </c>
      <c r="AJ29" s="410" t="str">
        <f t="shared" si="4"/>
        <v>80-100%</v>
      </c>
      <c r="AK29" s="406">
        <f t="shared" si="5"/>
        <v>0</v>
      </c>
      <c r="AL29" s="411">
        <f t="shared" si="6"/>
        <v>0</v>
      </c>
      <c r="AM29" s="409">
        <f t="shared" si="7"/>
        <v>0.2</v>
      </c>
      <c r="AN29" s="409">
        <f t="shared" si="8"/>
        <v>0</v>
      </c>
      <c r="AO29" s="409">
        <f t="shared" si="25"/>
        <v>0</v>
      </c>
      <c r="AP29" s="566">
        <v>1</v>
      </c>
      <c r="AQ29" s="567">
        <f t="shared" si="26"/>
        <v>80</v>
      </c>
      <c r="AR29" s="551"/>
      <c r="AS29" s="552">
        <v>6</v>
      </c>
      <c r="AT29" s="515">
        <v>3</v>
      </c>
      <c r="AU29" s="515">
        <v>1</v>
      </c>
      <c r="AV29" s="515" t="s">
        <v>298</v>
      </c>
      <c r="AW29" s="412">
        <f t="shared" si="9"/>
        <v>1</v>
      </c>
      <c r="AX29" s="409">
        <f t="shared" si="27"/>
        <v>80</v>
      </c>
      <c r="AY29" s="412">
        <f t="shared" si="10"/>
        <v>0.75</v>
      </c>
      <c r="AZ29" s="409">
        <f t="shared" si="28"/>
        <v>60</v>
      </c>
      <c r="BA29" s="412">
        <f t="shared" si="11"/>
        <v>0.25</v>
      </c>
      <c r="BB29" s="409">
        <f t="shared" si="29"/>
        <v>20</v>
      </c>
      <c r="BC29" s="550">
        <v>0</v>
      </c>
      <c r="BD29" s="571">
        <v>1</v>
      </c>
      <c r="BE29" s="413">
        <f t="shared" si="12"/>
        <v>80</v>
      </c>
      <c r="BF29" s="414">
        <f t="shared" si="30"/>
        <v>3</v>
      </c>
      <c r="BG29" s="550">
        <v>2</v>
      </c>
      <c r="BH29" s="550" t="s">
        <v>299</v>
      </c>
      <c r="BI29" s="412">
        <f t="shared" si="31"/>
        <v>1</v>
      </c>
      <c r="BJ29" s="409">
        <f t="shared" si="32"/>
        <v>80</v>
      </c>
      <c r="BK29" s="414">
        <f t="shared" si="33"/>
        <v>0</v>
      </c>
      <c r="BL29" s="566">
        <v>1</v>
      </c>
      <c r="BM29" s="409">
        <f t="shared" si="34"/>
        <v>80</v>
      </c>
      <c r="BN29" s="550">
        <v>3</v>
      </c>
      <c r="BO29" s="412">
        <f t="shared" si="13"/>
        <v>1</v>
      </c>
      <c r="BP29" s="414">
        <f t="shared" si="14"/>
        <v>0</v>
      </c>
      <c r="BQ29" s="557">
        <v>1</v>
      </c>
      <c r="BR29" s="589" t="s">
        <v>775</v>
      </c>
      <c r="BS29" s="593">
        <v>41695</v>
      </c>
      <c r="BT29" s="415" t="str">
        <f t="shared" si="15"/>
        <v>To be realised</v>
      </c>
      <c r="BU29" s="515">
        <v>22</v>
      </c>
      <c r="BV29" s="515">
        <v>10</v>
      </c>
      <c r="BW29" s="416">
        <f t="shared" si="16"/>
        <v>22</v>
      </c>
      <c r="BX29" s="417">
        <f t="shared" si="17"/>
        <v>0</v>
      </c>
      <c r="BY29" s="409">
        <f t="shared" si="18"/>
        <v>0</v>
      </c>
      <c r="BZ29" s="446">
        <f t="shared" si="19"/>
        <v>4</v>
      </c>
      <c r="CA29" s="542" t="s">
        <v>780</v>
      </c>
      <c r="CB29" s="557">
        <v>0</v>
      </c>
      <c r="CC29" s="451">
        <f t="shared" si="35"/>
        <v>0</v>
      </c>
      <c r="CD29" s="542">
        <v>2</v>
      </c>
      <c r="CE29" s="418" t="str">
        <f t="shared" si="36"/>
        <v>Excellent coverage</v>
      </c>
      <c r="CF29" s="550">
        <v>0</v>
      </c>
      <c r="CG29" s="551" t="s">
        <v>65</v>
      </c>
      <c r="CH29" s="602"/>
    </row>
    <row r="30" spans="2:86" s="40" customFormat="1" ht="30.75" customHeight="1" x14ac:dyDescent="0.2">
      <c r="B30" s="512" t="s">
        <v>128</v>
      </c>
      <c r="C30" s="513" t="s">
        <v>560</v>
      </c>
      <c r="D30" s="514" t="s">
        <v>322</v>
      </c>
      <c r="E30" s="513" t="s">
        <v>129</v>
      </c>
      <c r="F30" s="514">
        <v>98.144502500000002</v>
      </c>
      <c r="G30" s="514">
        <v>26.890058</v>
      </c>
      <c r="H30" s="514" t="s">
        <v>467</v>
      </c>
      <c r="I30" s="514" t="s">
        <v>218</v>
      </c>
      <c r="J30" s="515">
        <v>11</v>
      </c>
      <c r="K30" s="515">
        <v>17</v>
      </c>
      <c r="L30" s="515">
        <v>17</v>
      </c>
      <c r="M30" s="405" t="str">
        <f t="shared" si="0"/>
        <v>1. Small</v>
      </c>
      <c r="N30" s="516"/>
      <c r="O30" s="530" t="s">
        <v>308</v>
      </c>
      <c r="P30" s="439" t="str">
        <f t="shared" si="20"/>
        <v>Not covered</v>
      </c>
      <c r="Q30" s="531"/>
      <c r="R30" s="532"/>
      <c r="S30" s="531"/>
      <c r="T30" s="516" t="s">
        <v>262</v>
      </c>
      <c r="U30" s="436" t="str">
        <f t="shared" si="21"/>
        <v>Not documented</v>
      </c>
      <c r="V30" s="542">
        <v>0</v>
      </c>
      <c r="W30" s="515">
        <v>0</v>
      </c>
      <c r="X30" s="543" t="s">
        <v>19</v>
      </c>
      <c r="Y30" s="542">
        <v>0</v>
      </c>
      <c r="Z30" s="550">
        <v>0</v>
      </c>
      <c r="AA30" s="551">
        <v>0</v>
      </c>
      <c r="AB30" s="556">
        <v>0</v>
      </c>
      <c r="AC30" s="557">
        <v>0</v>
      </c>
      <c r="AD30" s="443">
        <f t="shared" si="1"/>
        <v>0</v>
      </c>
      <c r="AE30" s="407">
        <f t="shared" si="22"/>
        <v>0</v>
      </c>
      <c r="AF30" s="408">
        <f t="shared" si="2"/>
        <v>0</v>
      </c>
      <c r="AG30" s="409">
        <f t="shared" si="23"/>
        <v>0</v>
      </c>
      <c r="AH30" s="406">
        <f t="shared" si="3"/>
        <v>0</v>
      </c>
      <c r="AI30" s="409">
        <f t="shared" si="24"/>
        <v>0</v>
      </c>
      <c r="AJ30" s="410" t="str">
        <f t="shared" si="4"/>
        <v>0-10%</v>
      </c>
      <c r="AK30" s="406">
        <f t="shared" si="5"/>
        <v>0</v>
      </c>
      <c r="AL30" s="411">
        <f t="shared" si="6"/>
        <v>0</v>
      </c>
      <c r="AM30" s="409">
        <f t="shared" si="7"/>
        <v>4.2500000000000003E-2</v>
      </c>
      <c r="AN30" s="409">
        <f t="shared" si="8"/>
        <v>0</v>
      </c>
      <c r="AO30" s="409">
        <f t="shared" si="25"/>
        <v>0</v>
      </c>
      <c r="AP30" s="566">
        <v>0</v>
      </c>
      <c r="AQ30" s="567">
        <f t="shared" si="26"/>
        <v>0</v>
      </c>
      <c r="AR30" s="551" t="s">
        <v>746</v>
      </c>
      <c r="AS30" s="552">
        <v>0</v>
      </c>
      <c r="AT30" s="515">
        <v>0</v>
      </c>
      <c r="AU30" s="515">
        <v>0</v>
      </c>
      <c r="AV30" s="515" t="s">
        <v>91</v>
      </c>
      <c r="AW30" s="412">
        <f t="shared" si="9"/>
        <v>0</v>
      </c>
      <c r="AX30" s="409">
        <f t="shared" si="27"/>
        <v>0</v>
      </c>
      <c r="AY30" s="412">
        <f t="shared" si="10"/>
        <v>0</v>
      </c>
      <c r="AZ30" s="409">
        <f t="shared" si="28"/>
        <v>0</v>
      </c>
      <c r="BA30" s="412">
        <f t="shared" si="11"/>
        <v>0</v>
      </c>
      <c r="BB30" s="409">
        <f t="shared" si="29"/>
        <v>0</v>
      </c>
      <c r="BC30" s="550">
        <v>0</v>
      </c>
      <c r="BD30" s="571">
        <v>0</v>
      </c>
      <c r="BE30" s="413">
        <f t="shared" si="12"/>
        <v>0</v>
      </c>
      <c r="BF30" s="414">
        <f t="shared" si="30"/>
        <v>0.85</v>
      </c>
      <c r="BG30" s="550">
        <v>0</v>
      </c>
      <c r="BH30" s="550" t="s">
        <v>91</v>
      </c>
      <c r="BI30" s="412">
        <f t="shared" si="31"/>
        <v>0</v>
      </c>
      <c r="BJ30" s="409">
        <f t="shared" si="32"/>
        <v>0</v>
      </c>
      <c r="BK30" s="414">
        <f t="shared" si="33"/>
        <v>0.17</v>
      </c>
      <c r="BL30" s="566">
        <v>0</v>
      </c>
      <c r="BM30" s="409">
        <f t="shared" si="34"/>
        <v>0</v>
      </c>
      <c r="BN30" s="550">
        <v>0</v>
      </c>
      <c r="BO30" s="412">
        <f t="shared" si="13"/>
        <v>0</v>
      </c>
      <c r="BP30" s="414">
        <f t="shared" si="14"/>
        <v>0.17</v>
      </c>
      <c r="BQ30" s="557">
        <v>0</v>
      </c>
      <c r="BR30" s="589"/>
      <c r="BS30" s="594"/>
      <c r="BT30" s="415" t="str">
        <f t="shared" si="15"/>
        <v>To be realised</v>
      </c>
      <c r="BU30" s="515">
        <v>0</v>
      </c>
      <c r="BV30" s="515">
        <v>0</v>
      </c>
      <c r="BW30" s="416">
        <f t="shared" si="16"/>
        <v>11</v>
      </c>
      <c r="BX30" s="417">
        <f t="shared" si="17"/>
        <v>0</v>
      </c>
      <c r="BY30" s="409">
        <f t="shared" si="18"/>
        <v>0</v>
      </c>
      <c r="BZ30" s="446" t="str">
        <f t="shared" si="19"/>
        <v>Column BN to be completed</v>
      </c>
      <c r="CA30" s="542"/>
      <c r="CB30" s="557">
        <v>0</v>
      </c>
      <c r="CC30" s="451">
        <f t="shared" si="35"/>
        <v>0</v>
      </c>
      <c r="CD30" s="542">
        <v>0</v>
      </c>
      <c r="CE30" s="418" t="str">
        <f t="shared" si="36"/>
        <v>No coverage</v>
      </c>
      <c r="CF30" s="550">
        <v>0</v>
      </c>
      <c r="CG30" s="551" t="s">
        <v>491</v>
      </c>
      <c r="CH30" s="602"/>
    </row>
    <row r="31" spans="2:86" s="40" customFormat="1" ht="30.75" customHeight="1" x14ac:dyDescent="0.2">
      <c r="B31" s="512" t="s">
        <v>325</v>
      </c>
      <c r="C31" s="513" t="s">
        <v>569</v>
      </c>
      <c r="D31" s="514" t="s">
        <v>322</v>
      </c>
      <c r="E31" s="513" t="s">
        <v>326</v>
      </c>
      <c r="F31" s="514">
        <v>97.589449999999999</v>
      </c>
      <c r="G31" s="514">
        <v>27.273710000000001</v>
      </c>
      <c r="H31" s="514" t="s">
        <v>467</v>
      </c>
      <c r="I31" s="514" t="s">
        <v>218</v>
      </c>
      <c r="J31" s="515">
        <v>8</v>
      </c>
      <c r="K31" s="515">
        <v>35</v>
      </c>
      <c r="L31" s="515">
        <v>35</v>
      </c>
      <c r="M31" s="405" t="str">
        <f t="shared" si="0"/>
        <v>1. Small</v>
      </c>
      <c r="N31" s="516" t="s">
        <v>239</v>
      </c>
      <c r="O31" s="530" t="s">
        <v>239</v>
      </c>
      <c r="P31" s="439" t="str">
        <f t="shared" si="20"/>
        <v>Covered</v>
      </c>
      <c r="Q31" s="531" t="s">
        <v>656</v>
      </c>
      <c r="R31" s="532"/>
      <c r="S31" s="531"/>
      <c r="T31" s="516" t="s">
        <v>260</v>
      </c>
      <c r="U31" s="436" t="str">
        <f t="shared" si="21"/>
        <v>Documented</v>
      </c>
      <c r="V31" s="542">
        <v>0</v>
      </c>
      <c r="W31" s="515">
        <v>0</v>
      </c>
      <c r="X31" s="543" t="s">
        <v>19</v>
      </c>
      <c r="Y31" s="542">
        <v>0</v>
      </c>
      <c r="Z31" s="550">
        <v>0</v>
      </c>
      <c r="AA31" s="551">
        <v>3000</v>
      </c>
      <c r="AB31" s="556">
        <v>0</v>
      </c>
      <c r="AC31" s="557">
        <v>0</v>
      </c>
      <c r="AD31" s="443">
        <f t="shared" si="1"/>
        <v>1</v>
      </c>
      <c r="AE31" s="407">
        <f t="shared" si="22"/>
        <v>35</v>
      </c>
      <c r="AF31" s="408">
        <f t="shared" si="2"/>
        <v>1</v>
      </c>
      <c r="AG31" s="409">
        <f t="shared" si="23"/>
        <v>35</v>
      </c>
      <c r="AH31" s="406">
        <f t="shared" si="3"/>
        <v>1</v>
      </c>
      <c r="AI31" s="409">
        <f t="shared" si="24"/>
        <v>35</v>
      </c>
      <c r="AJ31" s="410" t="str">
        <f t="shared" si="4"/>
        <v>80-100%</v>
      </c>
      <c r="AK31" s="406">
        <f t="shared" si="5"/>
        <v>0</v>
      </c>
      <c r="AL31" s="411">
        <f t="shared" si="6"/>
        <v>0</v>
      </c>
      <c r="AM31" s="409">
        <f t="shared" si="7"/>
        <v>8.7499999999999994E-2</v>
      </c>
      <c r="AN31" s="409">
        <f t="shared" si="8"/>
        <v>0</v>
      </c>
      <c r="AO31" s="409">
        <f t="shared" si="25"/>
        <v>0</v>
      </c>
      <c r="AP31" s="566">
        <v>1</v>
      </c>
      <c r="AQ31" s="567">
        <f t="shared" si="26"/>
        <v>35</v>
      </c>
      <c r="AR31" s="551" t="s">
        <v>769</v>
      </c>
      <c r="AS31" s="552">
        <v>1</v>
      </c>
      <c r="AT31" s="515">
        <v>1</v>
      </c>
      <c r="AU31" s="515">
        <v>0</v>
      </c>
      <c r="AV31" s="515" t="s">
        <v>91</v>
      </c>
      <c r="AW31" s="412">
        <f t="shared" si="9"/>
        <v>0.5714285714285714</v>
      </c>
      <c r="AX31" s="409">
        <f t="shared" si="27"/>
        <v>20</v>
      </c>
      <c r="AY31" s="412">
        <f t="shared" si="10"/>
        <v>0.5714285714285714</v>
      </c>
      <c r="AZ31" s="409">
        <f t="shared" si="28"/>
        <v>20</v>
      </c>
      <c r="BA31" s="412">
        <f t="shared" si="11"/>
        <v>0</v>
      </c>
      <c r="BB31" s="409">
        <f t="shared" si="29"/>
        <v>0</v>
      </c>
      <c r="BC31" s="550">
        <v>0</v>
      </c>
      <c r="BD31" s="571">
        <v>0.56999999999999995</v>
      </c>
      <c r="BE31" s="413">
        <f t="shared" si="12"/>
        <v>19.95</v>
      </c>
      <c r="BF31" s="414">
        <f t="shared" si="30"/>
        <v>1.75</v>
      </c>
      <c r="BG31" s="550">
        <v>0</v>
      </c>
      <c r="BH31" s="550" t="s">
        <v>91</v>
      </c>
      <c r="BI31" s="412">
        <f t="shared" si="31"/>
        <v>0</v>
      </c>
      <c r="BJ31" s="409">
        <f t="shared" si="32"/>
        <v>0</v>
      </c>
      <c r="BK31" s="414">
        <f t="shared" si="33"/>
        <v>0.35</v>
      </c>
      <c r="BL31" s="566">
        <v>0</v>
      </c>
      <c r="BM31" s="409">
        <f t="shared" si="34"/>
        <v>0</v>
      </c>
      <c r="BN31" s="550">
        <v>0</v>
      </c>
      <c r="BO31" s="412">
        <f t="shared" si="13"/>
        <v>0</v>
      </c>
      <c r="BP31" s="414">
        <f t="shared" si="14"/>
        <v>0.35</v>
      </c>
      <c r="BQ31" s="557">
        <v>0</v>
      </c>
      <c r="BR31" s="589"/>
      <c r="BS31" s="594">
        <v>42129</v>
      </c>
      <c r="BT31" s="415">
        <f t="shared" si="15"/>
        <v>42494</v>
      </c>
      <c r="BU31" s="515">
        <v>8</v>
      </c>
      <c r="BV31" s="515">
        <v>0</v>
      </c>
      <c r="BW31" s="416">
        <f t="shared" si="16"/>
        <v>0</v>
      </c>
      <c r="BX31" s="417">
        <f t="shared" si="17"/>
        <v>1</v>
      </c>
      <c r="BY31" s="409">
        <f t="shared" si="18"/>
        <v>35</v>
      </c>
      <c r="BZ31" s="446">
        <f t="shared" si="19"/>
        <v>0</v>
      </c>
      <c r="CA31" s="542"/>
      <c r="CB31" s="557">
        <v>0</v>
      </c>
      <c r="CC31" s="451">
        <f t="shared" si="35"/>
        <v>0</v>
      </c>
      <c r="CD31" s="542">
        <v>0</v>
      </c>
      <c r="CE31" s="418" t="str">
        <f t="shared" si="36"/>
        <v>No coverage</v>
      </c>
      <c r="CF31" s="550">
        <v>0</v>
      </c>
      <c r="CG31" s="551" t="s">
        <v>302</v>
      </c>
      <c r="CH31" s="602"/>
    </row>
    <row r="32" spans="2:86" s="40" customFormat="1" ht="30.75" customHeight="1" x14ac:dyDescent="0.2">
      <c r="B32" s="512" t="s">
        <v>225</v>
      </c>
      <c r="C32" s="513" t="s">
        <v>580</v>
      </c>
      <c r="D32" s="514" t="s">
        <v>266</v>
      </c>
      <c r="E32" s="513" t="s">
        <v>130</v>
      </c>
      <c r="F32" s="514">
        <v>96.922619999999995</v>
      </c>
      <c r="G32" s="514">
        <v>25.305669999999999</v>
      </c>
      <c r="H32" s="514" t="s">
        <v>467</v>
      </c>
      <c r="I32" s="514" t="s">
        <v>218</v>
      </c>
      <c r="J32" s="515">
        <v>17</v>
      </c>
      <c r="K32" s="515">
        <v>69</v>
      </c>
      <c r="L32" s="515">
        <v>69</v>
      </c>
      <c r="M32" s="405" t="str">
        <f t="shared" si="0"/>
        <v>1. Small</v>
      </c>
      <c r="N32" s="516" t="s">
        <v>239</v>
      </c>
      <c r="O32" s="530" t="s">
        <v>239</v>
      </c>
      <c r="P32" s="439" t="str">
        <f t="shared" si="20"/>
        <v>Covered</v>
      </c>
      <c r="Q32" s="531">
        <v>42185</v>
      </c>
      <c r="R32" s="532" t="s">
        <v>240</v>
      </c>
      <c r="S32" s="531">
        <v>42185</v>
      </c>
      <c r="T32" s="516" t="s">
        <v>260</v>
      </c>
      <c r="U32" s="436" t="str">
        <f t="shared" si="21"/>
        <v>Documented</v>
      </c>
      <c r="V32" s="542">
        <v>0</v>
      </c>
      <c r="W32" s="515">
        <v>0</v>
      </c>
      <c r="X32" s="543" t="s">
        <v>19</v>
      </c>
      <c r="Y32" s="542">
        <v>0</v>
      </c>
      <c r="Z32" s="550">
        <v>2</v>
      </c>
      <c r="AA32" s="551">
        <v>3600</v>
      </c>
      <c r="AB32" s="556">
        <v>0</v>
      </c>
      <c r="AC32" s="557">
        <v>1</v>
      </c>
      <c r="AD32" s="443">
        <f t="shared" si="1"/>
        <v>1</v>
      </c>
      <c r="AE32" s="407">
        <f t="shared" si="22"/>
        <v>69</v>
      </c>
      <c r="AF32" s="408">
        <f t="shared" si="2"/>
        <v>1</v>
      </c>
      <c r="AG32" s="409">
        <f t="shared" si="23"/>
        <v>69</v>
      </c>
      <c r="AH32" s="406">
        <f t="shared" si="3"/>
        <v>1</v>
      </c>
      <c r="AI32" s="409">
        <f t="shared" si="24"/>
        <v>69</v>
      </c>
      <c r="AJ32" s="410" t="str">
        <f t="shared" si="4"/>
        <v>80-100%</v>
      </c>
      <c r="AK32" s="406">
        <f t="shared" si="5"/>
        <v>0</v>
      </c>
      <c r="AL32" s="411">
        <f t="shared" si="6"/>
        <v>0</v>
      </c>
      <c r="AM32" s="409">
        <f t="shared" si="7"/>
        <v>0</v>
      </c>
      <c r="AN32" s="409">
        <f t="shared" si="8"/>
        <v>17</v>
      </c>
      <c r="AO32" s="409">
        <f t="shared" si="25"/>
        <v>0</v>
      </c>
      <c r="AP32" s="566">
        <v>1</v>
      </c>
      <c r="AQ32" s="567">
        <f t="shared" si="26"/>
        <v>69</v>
      </c>
      <c r="AR32" s="551"/>
      <c r="AS32" s="552">
        <v>0</v>
      </c>
      <c r="AT32" s="515">
        <v>0</v>
      </c>
      <c r="AU32" s="515">
        <v>6</v>
      </c>
      <c r="AV32" s="515" t="s">
        <v>298</v>
      </c>
      <c r="AW32" s="412">
        <f t="shared" si="9"/>
        <v>1</v>
      </c>
      <c r="AX32" s="409">
        <f t="shared" si="27"/>
        <v>69</v>
      </c>
      <c r="AY32" s="412">
        <f t="shared" si="10"/>
        <v>0</v>
      </c>
      <c r="AZ32" s="409">
        <f t="shared" si="28"/>
        <v>0</v>
      </c>
      <c r="BA32" s="412">
        <f t="shared" si="11"/>
        <v>1</v>
      </c>
      <c r="BB32" s="409">
        <f t="shared" si="29"/>
        <v>69</v>
      </c>
      <c r="BC32" s="550">
        <v>0</v>
      </c>
      <c r="BD32" s="571">
        <v>1</v>
      </c>
      <c r="BE32" s="413">
        <f t="shared" si="12"/>
        <v>69</v>
      </c>
      <c r="BF32" s="414">
        <f t="shared" si="30"/>
        <v>0</v>
      </c>
      <c r="BG32" s="550">
        <v>2</v>
      </c>
      <c r="BH32" s="550" t="s">
        <v>299</v>
      </c>
      <c r="BI32" s="412">
        <f t="shared" si="31"/>
        <v>1</v>
      </c>
      <c r="BJ32" s="409">
        <f t="shared" si="32"/>
        <v>69</v>
      </c>
      <c r="BK32" s="414">
        <f t="shared" si="33"/>
        <v>0</v>
      </c>
      <c r="BL32" s="566">
        <v>1</v>
      </c>
      <c r="BM32" s="409">
        <f t="shared" si="34"/>
        <v>69</v>
      </c>
      <c r="BN32" s="550">
        <v>6</v>
      </c>
      <c r="BO32" s="412">
        <f t="shared" si="13"/>
        <v>1</v>
      </c>
      <c r="BP32" s="414">
        <f t="shared" si="14"/>
        <v>0</v>
      </c>
      <c r="BQ32" s="557">
        <v>1</v>
      </c>
      <c r="BR32" s="589"/>
      <c r="BS32" s="593">
        <v>42053</v>
      </c>
      <c r="BT32" s="415">
        <f t="shared" si="15"/>
        <v>42418</v>
      </c>
      <c r="BU32" s="515">
        <v>17</v>
      </c>
      <c r="BV32" s="515">
        <v>3</v>
      </c>
      <c r="BW32" s="416">
        <f t="shared" si="16"/>
        <v>0</v>
      </c>
      <c r="BX32" s="417">
        <f t="shared" si="17"/>
        <v>1</v>
      </c>
      <c r="BY32" s="409">
        <f t="shared" si="18"/>
        <v>69</v>
      </c>
      <c r="BZ32" s="446">
        <f t="shared" si="19"/>
        <v>0</v>
      </c>
      <c r="CA32" s="542"/>
      <c r="CB32" s="557">
        <v>0.8</v>
      </c>
      <c r="CC32" s="451">
        <f t="shared" si="35"/>
        <v>55.2</v>
      </c>
      <c r="CD32" s="542">
        <v>1</v>
      </c>
      <c r="CE32" s="418" t="str">
        <f t="shared" si="36"/>
        <v>Excellent coverage</v>
      </c>
      <c r="CF32" s="550">
        <v>0</v>
      </c>
      <c r="CG32" s="551" t="s">
        <v>301</v>
      </c>
      <c r="CH32" s="602"/>
    </row>
    <row r="33" spans="2:86" s="40" customFormat="1" ht="30.75" customHeight="1" x14ac:dyDescent="0.2">
      <c r="B33" s="512" t="s">
        <v>225</v>
      </c>
      <c r="C33" s="513" t="s">
        <v>578</v>
      </c>
      <c r="D33" s="514" t="s">
        <v>266</v>
      </c>
      <c r="E33" s="513" t="s">
        <v>131</v>
      </c>
      <c r="F33" s="514">
        <v>96.942279999999997</v>
      </c>
      <c r="G33" s="514">
        <v>25.296579999999999</v>
      </c>
      <c r="H33" s="514" t="s">
        <v>467</v>
      </c>
      <c r="I33" s="514" t="s">
        <v>218</v>
      </c>
      <c r="J33" s="515">
        <v>12</v>
      </c>
      <c r="K33" s="515">
        <v>48</v>
      </c>
      <c r="L33" s="515">
        <v>48</v>
      </c>
      <c r="M33" s="405" t="str">
        <f t="shared" si="0"/>
        <v>1. Small</v>
      </c>
      <c r="N33" s="516" t="s">
        <v>239</v>
      </c>
      <c r="O33" s="530" t="s">
        <v>239</v>
      </c>
      <c r="P33" s="439" t="str">
        <f t="shared" si="20"/>
        <v>Covered</v>
      </c>
      <c r="Q33" s="531">
        <v>42185</v>
      </c>
      <c r="R33" s="532" t="s">
        <v>240</v>
      </c>
      <c r="S33" s="531">
        <v>42185</v>
      </c>
      <c r="T33" s="516" t="s">
        <v>260</v>
      </c>
      <c r="U33" s="436" t="str">
        <f t="shared" si="21"/>
        <v>Documented</v>
      </c>
      <c r="V33" s="542">
        <v>0</v>
      </c>
      <c r="W33" s="515">
        <v>0</v>
      </c>
      <c r="X33" s="543" t="s">
        <v>19</v>
      </c>
      <c r="Y33" s="542">
        <v>0</v>
      </c>
      <c r="Z33" s="550">
        <v>2</v>
      </c>
      <c r="AA33" s="551">
        <v>3600</v>
      </c>
      <c r="AB33" s="556">
        <v>0</v>
      </c>
      <c r="AC33" s="557">
        <v>1</v>
      </c>
      <c r="AD33" s="443">
        <f t="shared" si="1"/>
        <v>1</v>
      </c>
      <c r="AE33" s="407">
        <f t="shared" si="22"/>
        <v>48</v>
      </c>
      <c r="AF33" s="408">
        <f t="shared" si="2"/>
        <v>1</v>
      </c>
      <c r="AG33" s="409">
        <f t="shared" si="23"/>
        <v>48</v>
      </c>
      <c r="AH33" s="406">
        <f t="shared" si="3"/>
        <v>1</v>
      </c>
      <c r="AI33" s="409">
        <f t="shared" si="24"/>
        <v>48</v>
      </c>
      <c r="AJ33" s="410" t="str">
        <f t="shared" si="4"/>
        <v>80-100%</v>
      </c>
      <c r="AK33" s="406">
        <f t="shared" si="5"/>
        <v>0</v>
      </c>
      <c r="AL33" s="411">
        <f t="shared" si="6"/>
        <v>0</v>
      </c>
      <c r="AM33" s="409">
        <f t="shared" si="7"/>
        <v>0</v>
      </c>
      <c r="AN33" s="409">
        <f t="shared" si="8"/>
        <v>12</v>
      </c>
      <c r="AO33" s="409">
        <f t="shared" si="25"/>
        <v>0</v>
      </c>
      <c r="AP33" s="566">
        <v>1</v>
      </c>
      <c r="AQ33" s="567">
        <f t="shared" si="26"/>
        <v>48</v>
      </c>
      <c r="AR33" s="551"/>
      <c r="AS33" s="552">
        <v>0</v>
      </c>
      <c r="AT33" s="515">
        <v>0</v>
      </c>
      <c r="AU33" s="515">
        <v>4</v>
      </c>
      <c r="AV33" s="515" t="s">
        <v>298</v>
      </c>
      <c r="AW33" s="412">
        <f t="shared" si="9"/>
        <v>1</v>
      </c>
      <c r="AX33" s="409">
        <f t="shared" si="27"/>
        <v>48</v>
      </c>
      <c r="AY33" s="412">
        <f t="shared" si="10"/>
        <v>0</v>
      </c>
      <c r="AZ33" s="409">
        <f t="shared" si="28"/>
        <v>0</v>
      </c>
      <c r="BA33" s="412">
        <f t="shared" si="11"/>
        <v>1</v>
      </c>
      <c r="BB33" s="409">
        <f t="shared" si="29"/>
        <v>48</v>
      </c>
      <c r="BC33" s="550">
        <v>0</v>
      </c>
      <c r="BD33" s="571">
        <v>1</v>
      </c>
      <c r="BE33" s="413">
        <f t="shared" si="12"/>
        <v>48</v>
      </c>
      <c r="BF33" s="414">
        <f t="shared" si="30"/>
        <v>0</v>
      </c>
      <c r="BG33" s="550">
        <v>2</v>
      </c>
      <c r="BH33" s="550" t="s">
        <v>91</v>
      </c>
      <c r="BI33" s="412">
        <f t="shared" si="31"/>
        <v>1</v>
      </c>
      <c r="BJ33" s="409">
        <f t="shared" si="32"/>
        <v>48</v>
      </c>
      <c r="BK33" s="414">
        <f t="shared" si="33"/>
        <v>0</v>
      </c>
      <c r="BL33" s="566">
        <v>1</v>
      </c>
      <c r="BM33" s="409">
        <f t="shared" si="34"/>
        <v>48</v>
      </c>
      <c r="BN33" s="550">
        <v>3</v>
      </c>
      <c r="BO33" s="412">
        <f t="shared" si="13"/>
        <v>1</v>
      </c>
      <c r="BP33" s="414">
        <f t="shared" si="14"/>
        <v>0</v>
      </c>
      <c r="BQ33" s="557">
        <v>1</v>
      </c>
      <c r="BR33" s="589"/>
      <c r="BS33" s="593">
        <v>42053</v>
      </c>
      <c r="BT33" s="415">
        <f t="shared" si="15"/>
        <v>42418</v>
      </c>
      <c r="BU33" s="515">
        <v>12</v>
      </c>
      <c r="BV33" s="515">
        <v>3</v>
      </c>
      <c r="BW33" s="416">
        <f t="shared" si="16"/>
        <v>0</v>
      </c>
      <c r="BX33" s="417">
        <f t="shared" si="17"/>
        <v>1</v>
      </c>
      <c r="BY33" s="409">
        <f t="shared" si="18"/>
        <v>48</v>
      </c>
      <c r="BZ33" s="446">
        <f t="shared" si="19"/>
        <v>0</v>
      </c>
      <c r="CA33" s="542"/>
      <c r="CB33" s="557">
        <v>0.8</v>
      </c>
      <c r="CC33" s="451">
        <f t="shared" si="35"/>
        <v>38.400000000000006</v>
      </c>
      <c r="CD33" s="542">
        <v>1</v>
      </c>
      <c r="CE33" s="418" t="str">
        <f t="shared" si="36"/>
        <v>Excellent coverage</v>
      </c>
      <c r="CF33" s="550">
        <v>0</v>
      </c>
      <c r="CG33" s="551" t="s">
        <v>301</v>
      </c>
      <c r="CH33" s="602"/>
    </row>
    <row r="34" spans="2:86" s="40" customFormat="1" ht="30.75" customHeight="1" x14ac:dyDescent="0.2">
      <c r="B34" s="512" t="s">
        <v>225</v>
      </c>
      <c r="C34" s="513" t="s">
        <v>579</v>
      </c>
      <c r="D34" s="514" t="s">
        <v>266</v>
      </c>
      <c r="E34" s="513" t="s">
        <v>132</v>
      </c>
      <c r="F34" s="514">
        <v>96.948740000000001</v>
      </c>
      <c r="G34" s="514">
        <v>25.30442</v>
      </c>
      <c r="H34" s="514" t="s">
        <v>467</v>
      </c>
      <c r="I34" s="514" t="s">
        <v>218</v>
      </c>
      <c r="J34" s="515">
        <v>15</v>
      </c>
      <c r="K34" s="515">
        <v>47</v>
      </c>
      <c r="L34" s="515">
        <v>47</v>
      </c>
      <c r="M34" s="405" t="str">
        <f t="shared" si="0"/>
        <v>1. Small</v>
      </c>
      <c r="N34" s="516" t="s">
        <v>239</v>
      </c>
      <c r="O34" s="530" t="s">
        <v>239</v>
      </c>
      <c r="P34" s="439" t="str">
        <f t="shared" si="20"/>
        <v>Covered</v>
      </c>
      <c r="Q34" s="531">
        <v>42185</v>
      </c>
      <c r="R34" s="532" t="s">
        <v>240</v>
      </c>
      <c r="S34" s="531">
        <v>42185</v>
      </c>
      <c r="T34" s="516" t="s">
        <v>260</v>
      </c>
      <c r="U34" s="436" t="str">
        <f t="shared" si="21"/>
        <v>Documented</v>
      </c>
      <c r="V34" s="542">
        <v>0</v>
      </c>
      <c r="W34" s="515">
        <v>0</v>
      </c>
      <c r="X34" s="543" t="s">
        <v>19</v>
      </c>
      <c r="Y34" s="542">
        <v>1</v>
      </c>
      <c r="Z34" s="550">
        <v>2</v>
      </c>
      <c r="AA34" s="551">
        <v>3600</v>
      </c>
      <c r="AB34" s="556">
        <v>0</v>
      </c>
      <c r="AC34" s="557">
        <v>1</v>
      </c>
      <c r="AD34" s="443">
        <f t="shared" si="1"/>
        <v>1</v>
      </c>
      <c r="AE34" s="407">
        <f t="shared" si="22"/>
        <v>47</v>
      </c>
      <c r="AF34" s="408">
        <f t="shared" si="2"/>
        <v>1</v>
      </c>
      <c r="AG34" s="409">
        <f t="shared" si="23"/>
        <v>47</v>
      </c>
      <c r="AH34" s="406">
        <f t="shared" si="3"/>
        <v>1</v>
      </c>
      <c r="AI34" s="409">
        <f t="shared" si="24"/>
        <v>47</v>
      </c>
      <c r="AJ34" s="410" t="str">
        <f t="shared" si="4"/>
        <v>80-100%</v>
      </c>
      <c r="AK34" s="406">
        <f t="shared" si="5"/>
        <v>0</v>
      </c>
      <c r="AL34" s="411">
        <f t="shared" si="6"/>
        <v>0</v>
      </c>
      <c r="AM34" s="409">
        <f t="shared" si="7"/>
        <v>0</v>
      </c>
      <c r="AN34" s="409">
        <f t="shared" si="8"/>
        <v>15</v>
      </c>
      <c r="AO34" s="409">
        <f t="shared" si="25"/>
        <v>0</v>
      </c>
      <c r="AP34" s="566">
        <v>1</v>
      </c>
      <c r="AQ34" s="567">
        <f t="shared" si="26"/>
        <v>47</v>
      </c>
      <c r="AR34" s="551"/>
      <c r="AS34" s="552">
        <v>0</v>
      </c>
      <c r="AT34" s="515">
        <v>0</v>
      </c>
      <c r="AU34" s="515">
        <v>3</v>
      </c>
      <c r="AV34" s="515" t="s">
        <v>298</v>
      </c>
      <c r="AW34" s="412">
        <f t="shared" si="9"/>
        <v>1</v>
      </c>
      <c r="AX34" s="409">
        <f t="shared" si="27"/>
        <v>47</v>
      </c>
      <c r="AY34" s="412">
        <f t="shared" si="10"/>
        <v>0</v>
      </c>
      <c r="AZ34" s="409">
        <f t="shared" si="28"/>
        <v>0</v>
      </c>
      <c r="BA34" s="412">
        <f t="shared" si="11"/>
        <v>1</v>
      </c>
      <c r="BB34" s="409">
        <f t="shared" si="29"/>
        <v>47</v>
      </c>
      <c r="BC34" s="550">
        <v>0</v>
      </c>
      <c r="BD34" s="571">
        <v>1</v>
      </c>
      <c r="BE34" s="413">
        <f t="shared" si="12"/>
        <v>47</v>
      </c>
      <c r="BF34" s="414">
        <f t="shared" si="30"/>
        <v>0</v>
      </c>
      <c r="BG34" s="550">
        <v>2</v>
      </c>
      <c r="BH34" s="550" t="s">
        <v>299</v>
      </c>
      <c r="BI34" s="412">
        <f t="shared" si="31"/>
        <v>1</v>
      </c>
      <c r="BJ34" s="409">
        <f t="shared" si="32"/>
        <v>47</v>
      </c>
      <c r="BK34" s="414">
        <f t="shared" si="33"/>
        <v>0</v>
      </c>
      <c r="BL34" s="566">
        <v>1</v>
      </c>
      <c r="BM34" s="409">
        <f t="shared" si="34"/>
        <v>47</v>
      </c>
      <c r="BN34" s="550">
        <v>6</v>
      </c>
      <c r="BO34" s="412">
        <f t="shared" si="13"/>
        <v>1</v>
      </c>
      <c r="BP34" s="414">
        <f t="shared" si="14"/>
        <v>0</v>
      </c>
      <c r="BQ34" s="557">
        <v>1</v>
      </c>
      <c r="BR34" s="589"/>
      <c r="BS34" s="593">
        <v>42053</v>
      </c>
      <c r="BT34" s="415">
        <f t="shared" si="15"/>
        <v>42418</v>
      </c>
      <c r="BU34" s="515">
        <v>15</v>
      </c>
      <c r="BV34" s="515">
        <v>3</v>
      </c>
      <c r="BW34" s="416">
        <f t="shared" si="16"/>
        <v>0</v>
      </c>
      <c r="BX34" s="417">
        <f t="shared" si="17"/>
        <v>1</v>
      </c>
      <c r="BY34" s="409">
        <f t="shared" si="18"/>
        <v>47</v>
      </c>
      <c r="BZ34" s="446">
        <f t="shared" si="19"/>
        <v>0</v>
      </c>
      <c r="CA34" s="542"/>
      <c r="CB34" s="557">
        <v>0.8</v>
      </c>
      <c r="CC34" s="451">
        <f t="shared" si="35"/>
        <v>37.6</v>
      </c>
      <c r="CD34" s="542">
        <v>1</v>
      </c>
      <c r="CE34" s="418" t="str">
        <f t="shared" si="36"/>
        <v>Excellent coverage</v>
      </c>
      <c r="CF34" s="550">
        <v>0</v>
      </c>
      <c r="CG34" s="551" t="s">
        <v>301</v>
      </c>
      <c r="CH34" s="602"/>
    </row>
    <row r="35" spans="2:86" s="40" customFormat="1" ht="30.75" customHeight="1" x14ac:dyDescent="0.2">
      <c r="B35" s="512" t="s">
        <v>133</v>
      </c>
      <c r="C35" s="513" t="s">
        <v>582</v>
      </c>
      <c r="D35" s="514" t="s">
        <v>266</v>
      </c>
      <c r="E35" s="513" t="s">
        <v>323</v>
      </c>
      <c r="F35" s="514">
        <v>96.364949999999993</v>
      </c>
      <c r="G35" s="514">
        <v>24.998349999999999</v>
      </c>
      <c r="H35" s="514" t="s">
        <v>467</v>
      </c>
      <c r="I35" s="514" t="s">
        <v>218</v>
      </c>
      <c r="J35" s="515">
        <v>19</v>
      </c>
      <c r="K35" s="515">
        <v>104</v>
      </c>
      <c r="L35" s="515">
        <v>84</v>
      </c>
      <c r="M35" s="405" t="str">
        <f t="shared" si="0"/>
        <v>1. Small</v>
      </c>
      <c r="N35" s="516" t="s">
        <v>239</v>
      </c>
      <c r="O35" s="530" t="s">
        <v>239</v>
      </c>
      <c r="P35" s="439" t="str">
        <f t="shared" si="20"/>
        <v>Covered</v>
      </c>
      <c r="Q35" s="531">
        <v>42185</v>
      </c>
      <c r="R35" s="532" t="s">
        <v>240</v>
      </c>
      <c r="S35" s="531">
        <v>42185</v>
      </c>
      <c r="T35" s="516" t="s">
        <v>260</v>
      </c>
      <c r="U35" s="436" t="str">
        <f t="shared" si="21"/>
        <v>Documented</v>
      </c>
      <c r="V35" s="542">
        <v>0</v>
      </c>
      <c r="W35" s="515">
        <v>0</v>
      </c>
      <c r="X35" s="543" t="s">
        <v>19</v>
      </c>
      <c r="Y35" s="542">
        <v>0</v>
      </c>
      <c r="Z35" s="550">
        <v>1</v>
      </c>
      <c r="AA35" s="551">
        <v>7200</v>
      </c>
      <c r="AB35" s="556">
        <v>0</v>
      </c>
      <c r="AC35" s="557">
        <v>1</v>
      </c>
      <c r="AD35" s="443">
        <f t="shared" si="1"/>
        <v>1</v>
      </c>
      <c r="AE35" s="407">
        <f t="shared" si="22"/>
        <v>84</v>
      </c>
      <c r="AF35" s="408">
        <f t="shared" si="2"/>
        <v>1</v>
      </c>
      <c r="AG35" s="409">
        <f t="shared" si="23"/>
        <v>84</v>
      </c>
      <c r="AH35" s="406">
        <f t="shared" si="3"/>
        <v>1</v>
      </c>
      <c r="AI35" s="409">
        <f t="shared" si="24"/>
        <v>84</v>
      </c>
      <c r="AJ35" s="410" t="str">
        <f t="shared" si="4"/>
        <v>80-100%</v>
      </c>
      <c r="AK35" s="406">
        <f t="shared" si="5"/>
        <v>0</v>
      </c>
      <c r="AL35" s="411">
        <f t="shared" si="6"/>
        <v>0</v>
      </c>
      <c r="AM35" s="409">
        <f t="shared" si="7"/>
        <v>0</v>
      </c>
      <c r="AN35" s="409">
        <f t="shared" si="8"/>
        <v>19</v>
      </c>
      <c r="AO35" s="409">
        <f t="shared" si="25"/>
        <v>0</v>
      </c>
      <c r="AP35" s="566">
        <v>1</v>
      </c>
      <c r="AQ35" s="567">
        <f t="shared" si="26"/>
        <v>84</v>
      </c>
      <c r="AR35" s="551"/>
      <c r="AS35" s="552">
        <v>0</v>
      </c>
      <c r="AT35" s="515">
        <v>0</v>
      </c>
      <c r="AU35" s="515">
        <v>5</v>
      </c>
      <c r="AV35" s="515" t="s">
        <v>298</v>
      </c>
      <c r="AW35" s="412">
        <f t="shared" si="9"/>
        <v>1</v>
      </c>
      <c r="AX35" s="409">
        <f t="shared" si="27"/>
        <v>84</v>
      </c>
      <c r="AY35" s="412">
        <f t="shared" si="10"/>
        <v>0</v>
      </c>
      <c r="AZ35" s="409">
        <f t="shared" si="28"/>
        <v>0</v>
      </c>
      <c r="BA35" s="412">
        <f t="shared" si="11"/>
        <v>1</v>
      </c>
      <c r="BB35" s="409">
        <f t="shared" si="29"/>
        <v>84</v>
      </c>
      <c r="BC35" s="550">
        <v>0</v>
      </c>
      <c r="BD35" s="571">
        <v>1</v>
      </c>
      <c r="BE35" s="413">
        <f t="shared" si="12"/>
        <v>84</v>
      </c>
      <c r="BF35" s="414">
        <f t="shared" si="30"/>
        <v>0</v>
      </c>
      <c r="BG35" s="550">
        <v>2</v>
      </c>
      <c r="BH35" s="550" t="s">
        <v>299</v>
      </c>
      <c r="BI35" s="412">
        <f t="shared" si="31"/>
        <v>1</v>
      </c>
      <c r="BJ35" s="409">
        <f t="shared" si="32"/>
        <v>84</v>
      </c>
      <c r="BK35" s="414">
        <f t="shared" si="33"/>
        <v>0</v>
      </c>
      <c r="BL35" s="566">
        <v>1</v>
      </c>
      <c r="BM35" s="409">
        <f t="shared" si="34"/>
        <v>84</v>
      </c>
      <c r="BN35" s="550">
        <v>2</v>
      </c>
      <c r="BO35" s="412">
        <f t="shared" si="13"/>
        <v>1</v>
      </c>
      <c r="BP35" s="414">
        <f t="shared" si="14"/>
        <v>0</v>
      </c>
      <c r="BQ35" s="557">
        <v>1</v>
      </c>
      <c r="BR35" s="589" t="s">
        <v>824</v>
      </c>
      <c r="BS35" s="593">
        <v>42053</v>
      </c>
      <c r="BT35" s="415">
        <f t="shared" si="15"/>
        <v>42418</v>
      </c>
      <c r="BU35" s="515">
        <v>19</v>
      </c>
      <c r="BV35" s="515">
        <v>3</v>
      </c>
      <c r="BW35" s="416">
        <f t="shared" si="16"/>
        <v>0</v>
      </c>
      <c r="BX35" s="417">
        <f t="shared" si="17"/>
        <v>1</v>
      </c>
      <c r="BY35" s="409">
        <f t="shared" si="18"/>
        <v>84</v>
      </c>
      <c r="BZ35" s="446">
        <f t="shared" si="19"/>
        <v>0</v>
      </c>
      <c r="CA35" s="542"/>
      <c r="CB35" s="557">
        <v>0.8</v>
      </c>
      <c r="CC35" s="451">
        <f t="shared" si="35"/>
        <v>67.2</v>
      </c>
      <c r="CD35" s="542">
        <v>1</v>
      </c>
      <c r="CE35" s="418" t="str">
        <f t="shared" si="36"/>
        <v>Excellent coverage</v>
      </c>
      <c r="CF35" s="550">
        <v>0</v>
      </c>
      <c r="CG35" s="551" t="s">
        <v>301</v>
      </c>
      <c r="CH35" s="602"/>
    </row>
    <row r="36" spans="2:86" s="40" customFormat="1" ht="30.75" customHeight="1" x14ac:dyDescent="0.2">
      <c r="B36" s="512" t="s">
        <v>133</v>
      </c>
      <c r="C36" s="513" t="s">
        <v>581</v>
      </c>
      <c r="D36" s="514" t="s">
        <v>266</v>
      </c>
      <c r="E36" s="513" t="s">
        <v>134</v>
      </c>
      <c r="F36" s="514">
        <v>96.367059999999995</v>
      </c>
      <c r="G36" s="514">
        <v>24.764800000000001</v>
      </c>
      <c r="H36" s="514" t="s">
        <v>467</v>
      </c>
      <c r="I36" s="514" t="s">
        <v>218</v>
      </c>
      <c r="J36" s="515">
        <v>12</v>
      </c>
      <c r="K36" s="515">
        <v>51</v>
      </c>
      <c r="L36" s="515">
        <v>51</v>
      </c>
      <c r="M36" s="405" t="str">
        <f t="shared" si="0"/>
        <v>1. Small</v>
      </c>
      <c r="N36" s="516" t="s">
        <v>235</v>
      </c>
      <c r="O36" s="530" t="s">
        <v>235</v>
      </c>
      <c r="P36" s="439" t="str">
        <f t="shared" si="20"/>
        <v>Covered</v>
      </c>
      <c r="Q36" s="531">
        <v>42369</v>
      </c>
      <c r="R36" s="532"/>
      <c r="S36" s="531"/>
      <c r="T36" s="516" t="s">
        <v>260</v>
      </c>
      <c r="U36" s="436" t="str">
        <f t="shared" si="21"/>
        <v>Documented</v>
      </c>
      <c r="V36" s="542">
        <v>0</v>
      </c>
      <c r="W36" s="515">
        <v>0</v>
      </c>
      <c r="X36" s="543" t="s">
        <v>19</v>
      </c>
      <c r="Y36" s="542">
        <v>1</v>
      </c>
      <c r="Z36" s="550">
        <v>0</v>
      </c>
      <c r="AA36" s="551">
        <v>3000</v>
      </c>
      <c r="AB36" s="556">
        <v>0</v>
      </c>
      <c r="AC36" s="557">
        <v>0</v>
      </c>
      <c r="AD36" s="443">
        <f t="shared" si="1"/>
        <v>1</v>
      </c>
      <c r="AE36" s="407">
        <f t="shared" si="22"/>
        <v>51</v>
      </c>
      <c r="AF36" s="408">
        <f t="shared" si="2"/>
        <v>1</v>
      </c>
      <c r="AG36" s="409">
        <f t="shared" si="23"/>
        <v>51</v>
      </c>
      <c r="AH36" s="406">
        <f t="shared" si="3"/>
        <v>1</v>
      </c>
      <c r="AI36" s="409">
        <f t="shared" si="24"/>
        <v>51</v>
      </c>
      <c r="AJ36" s="410" t="str">
        <f t="shared" si="4"/>
        <v>80-100%</v>
      </c>
      <c r="AK36" s="406">
        <f t="shared" si="5"/>
        <v>0</v>
      </c>
      <c r="AL36" s="411">
        <f t="shared" si="6"/>
        <v>0</v>
      </c>
      <c r="AM36" s="409">
        <f t="shared" si="7"/>
        <v>0</v>
      </c>
      <c r="AN36" s="409">
        <f t="shared" si="8"/>
        <v>0</v>
      </c>
      <c r="AO36" s="409">
        <f t="shared" si="25"/>
        <v>0</v>
      </c>
      <c r="AP36" s="566">
        <v>1</v>
      </c>
      <c r="AQ36" s="567">
        <f t="shared" si="26"/>
        <v>51</v>
      </c>
      <c r="AR36" s="551"/>
      <c r="AS36" s="552">
        <v>11</v>
      </c>
      <c r="AT36" s="515">
        <v>0</v>
      </c>
      <c r="AU36" s="515">
        <v>3</v>
      </c>
      <c r="AV36" s="515" t="s">
        <v>299</v>
      </c>
      <c r="AW36" s="412">
        <f t="shared" si="9"/>
        <v>1</v>
      </c>
      <c r="AX36" s="409">
        <f t="shared" si="27"/>
        <v>51</v>
      </c>
      <c r="AY36" s="412">
        <f t="shared" si="10"/>
        <v>0</v>
      </c>
      <c r="AZ36" s="409">
        <f t="shared" si="28"/>
        <v>0</v>
      </c>
      <c r="BA36" s="412">
        <f t="shared" si="11"/>
        <v>1</v>
      </c>
      <c r="BB36" s="409">
        <f t="shared" si="29"/>
        <v>51</v>
      </c>
      <c r="BC36" s="550">
        <v>0</v>
      </c>
      <c r="BD36" s="571">
        <v>1</v>
      </c>
      <c r="BE36" s="413">
        <f t="shared" si="12"/>
        <v>51</v>
      </c>
      <c r="BF36" s="414">
        <f t="shared" si="30"/>
        <v>0</v>
      </c>
      <c r="BG36" s="550">
        <v>2</v>
      </c>
      <c r="BH36" s="550" t="s">
        <v>299</v>
      </c>
      <c r="BI36" s="412">
        <f t="shared" si="31"/>
        <v>1</v>
      </c>
      <c r="BJ36" s="409">
        <f t="shared" si="32"/>
        <v>51</v>
      </c>
      <c r="BK36" s="414">
        <f t="shared" si="33"/>
        <v>0</v>
      </c>
      <c r="BL36" s="566">
        <v>1</v>
      </c>
      <c r="BM36" s="409">
        <f t="shared" si="34"/>
        <v>51</v>
      </c>
      <c r="BN36" s="550">
        <v>1</v>
      </c>
      <c r="BO36" s="412">
        <f t="shared" si="13"/>
        <v>1</v>
      </c>
      <c r="BP36" s="414">
        <f t="shared" si="14"/>
        <v>0</v>
      </c>
      <c r="BQ36" s="557">
        <v>1</v>
      </c>
      <c r="BR36" s="589"/>
      <c r="BS36" s="593">
        <v>41817</v>
      </c>
      <c r="BT36" s="415">
        <f t="shared" si="15"/>
        <v>42182</v>
      </c>
      <c r="BU36" s="515">
        <v>12</v>
      </c>
      <c r="BV36" s="515">
        <v>2</v>
      </c>
      <c r="BW36" s="416">
        <f t="shared" si="16"/>
        <v>0</v>
      </c>
      <c r="BX36" s="417">
        <f t="shared" si="17"/>
        <v>1</v>
      </c>
      <c r="BY36" s="409">
        <f t="shared" si="18"/>
        <v>51</v>
      </c>
      <c r="BZ36" s="446">
        <f t="shared" si="19"/>
        <v>8</v>
      </c>
      <c r="CA36" s="542"/>
      <c r="CB36" s="557">
        <v>0</v>
      </c>
      <c r="CC36" s="451">
        <f t="shared" si="35"/>
        <v>0</v>
      </c>
      <c r="CD36" s="542">
        <v>0</v>
      </c>
      <c r="CE36" s="418" t="str">
        <f t="shared" si="36"/>
        <v>No coverage</v>
      </c>
      <c r="CF36" s="550">
        <v>0</v>
      </c>
      <c r="CG36" s="551" t="s">
        <v>301</v>
      </c>
      <c r="CH36" s="602"/>
    </row>
    <row r="37" spans="2:86" s="40" customFormat="1" ht="30.75" customHeight="1" x14ac:dyDescent="0.2">
      <c r="B37" s="512" t="s">
        <v>188</v>
      </c>
      <c r="C37" s="513" t="s">
        <v>583</v>
      </c>
      <c r="D37" s="514" t="s">
        <v>273</v>
      </c>
      <c r="E37" s="513" t="s">
        <v>189</v>
      </c>
      <c r="F37" s="514">
        <v>97.537099999999995</v>
      </c>
      <c r="G37" s="514">
        <v>24.461033</v>
      </c>
      <c r="H37" s="514" t="s">
        <v>467</v>
      </c>
      <c r="I37" s="514" t="s">
        <v>226</v>
      </c>
      <c r="J37" s="515">
        <v>117</v>
      </c>
      <c r="K37" s="515">
        <v>620</v>
      </c>
      <c r="L37" s="515">
        <v>620</v>
      </c>
      <c r="M37" s="405" t="str">
        <f t="shared" ref="M37:M67" si="37">IF(J37&gt;50,IF(J37&gt;250,IF(J37&gt;500,IF(J37&gt;1000,"5. Massive","4. Big"),"3. Large"),"2. Medium"),"1. Small")</f>
        <v>2. Medium</v>
      </c>
      <c r="N37" s="516" t="s">
        <v>285</v>
      </c>
      <c r="O37" s="530" t="s">
        <v>235</v>
      </c>
      <c r="P37" s="439" t="str">
        <f t="shared" si="20"/>
        <v>Covered</v>
      </c>
      <c r="Q37" s="531">
        <v>42369</v>
      </c>
      <c r="R37" s="532"/>
      <c r="S37" s="531"/>
      <c r="T37" s="516" t="s">
        <v>260</v>
      </c>
      <c r="U37" s="436" t="str">
        <f t="shared" si="21"/>
        <v>Documented</v>
      </c>
      <c r="V37" s="542">
        <v>0</v>
      </c>
      <c r="W37" s="515">
        <v>0</v>
      </c>
      <c r="X37" s="543" t="s">
        <v>19</v>
      </c>
      <c r="Y37" s="542">
        <v>0</v>
      </c>
      <c r="Z37" s="550">
        <v>0</v>
      </c>
      <c r="AA37" s="551">
        <v>14568</v>
      </c>
      <c r="AB37" s="556">
        <v>0</v>
      </c>
      <c r="AC37" s="557">
        <v>1</v>
      </c>
      <c r="AD37" s="443">
        <f t="shared" si="1"/>
        <v>1</v>
      </c>
      <c r="AE37" s="407">
        <f t="shared" si="22"/>
        <v>620</v>
      </c>
      <c r="AF37" s="408">
        <f t="shared" ref="AF37:AF67" si="38">IF(((Y37*400+Z37*500+(AA37/15))/L37)&gt;1,1,(Y37*400+Z37*500+(AA37/15))/L37)</f>
        <v>1</v>
      </c>
      <c r="AG37" s="409">
        <f t="shared" si="23"/>
        <v>620</v>
      </c>
      <c r="AH37" s="406">
        <f t="shared" ref="AH37:AH67" si="39">IF(AC37=0,AD37,IF(AC37&lt;AD37,AD37,AC37))</f>
        <v>1</v>
      </c>
      <c r="AI37" s="409">
        <f t="shared" si="24"/>
        <v>620</v>
      </c>
      <c r="AJ37" s="410" t="str">
        <f t="shared" ref="AJ37:AJ67" si="40">IF(AD37&gt;0.15,IF(AD37&gt;0.3,IF(AD37&gt;0.45,IF(AD37&gt;0.6,IF(AD37&gt;0.8,"80-100%","60-80%"),"45-60%"),"30-45%"),"15-30%"),"0-10%")</f>
        <v>80-100%</v>
      </c>
      <c r="AK37" s="406">
        <f t="shared" ref="AK37:AK67" si="41">IF((AD37-AF37)&lt; 0, 0, AD37-AF37)</f>
        <v>0</v>
      </c>
      <c r="AL37" s="411">
        <f t="shared" ref="AL37:AL67" si="42">AK37*L37</f>
        <v>0</v>
      </c>
      <c r="AM37" s="409">
        <f t="shared" ref="AM37:AM67" si="43">IF(L37/400-(Y37+Z37)&lt;0,0,L37/400-(Y37+Z37))</f>
        <v>1.55</v>
      </c>
      <c r="AN37" s="409">
        <f t="shared" ref="AN37:AN67" si="44">AC37*J37</f>
        <v>117</v>
      </c>
      <c r="AO37" s="409">
        <f t="shared" si="25"/>
        <v>0</v>
      </c>
      <c r="AP37" s="566">
        <v>1</v>
      </c>
      <c r="AQ37" s="567">
        <f t="shared" si="26"/>
        <v>620</v>
      </c>
      <c r="AR37" s="551" t="s">
        <v>819</v>
      </c>
      <c r="AS37" s="552">
        <v>62</v>
      </c>
      <c r="AT37" s="515">
        <v>60</v>
      </c>
      <c r="AU37" s="515">
        <v>37</v>
      </c>
      <c r="AV37" s="515" t="s">
        <v>300</v>
      </c>
      <c r="AW37" s="412">
        <f t="shared" ref="AW37:AW67" si="45">IF((((AT37+AU37)*20)/L37)&gt;1,1,(((AT37+AU37)*20)/L37))</f>
        <v>1</v>
      </c>
      <c r="AX37" s="409">
        <f t="shared" si="27"/>
        <v>620</v>
      </c>
      <c r="AY37" s="412">
        <f t="shared" ref="AY37:AY67" si="46">AW37-BA37</f>
        <v>0</v>
      </c>
      <c r="AZ37" s="409">
        <f t="shared" si="28"/>
        <v>0</v>
      </c>
      <c r="BA37" s="412">
        <f t="shared" ref="BA37:BA67" si="47">IF(((AU37*20)/L37)&gt;1,1,((AU37*20)/L37))</f>
        <v>1</v>
      </c>
      <c r="BB37" s="409">
        <f t="shared" si="29"/>
        <v>620</v>
      </c>
      <c r="BC37" s="550">
        <v>0</v>
      </c>
      <c r="BD37" s="571">
        <v>1</v>
      </c>
      <c r="BE37" s="413">
        <f t="shared" ref="BE37:BE67" si="48">BD37*L37</f>
        <v>620</v>
      </c>
      <c r="BF37" s="414">
        <f t="shared" si="30"/>
        <v>0</v>
      </c>
      <c r="BG37" s="550">
        <v>4</v>
      </c>
      <c r="BH37" s="550" t="s">
        <v>299</v>
      </c>
      <c r="BI37" s="412">
        <f t="shared" si="31"/>
        <v>0.64516129032258063</v>
      </c>
      <c r="BJ37" s="409">
        <f t="shared" si="32"/>
        <v>400</v>
      </c>
      <c r="BK37" s="414">
        <f t="shared" si="33"/>
        <v>2.2000000000000002</v>
      </c>
      <c r="BL37" s="566">
        <v>0.66</v>
      </c>
      <c r="BM37" s="409">
        <f t="shared" si="34"/>
        <v>409.20000000000005</v>
      </c>
      <c r="BN37" s="550">
        <v>7</v>
      </c>
      <c r="BO37" s="412">
        <f t="shared" ref="BO37:BO67" si="49">IF((BN37*100/L37)&gt;1,1,(BN37*100/L37))</f>
        <v>1</v>
      </c>
      <c r="BP37" s="414">
        <f t="shared" ref="BP37:BP67" si="50">IF(K37/100-BN37&lt;0,0,K37/100-BN37)</f>
        <v>0</v>
      </c>
      <c r="BQ37" s="557">
        <v>1</v>
      </c>
      <c r="BR37" s="589"/>
      <c r="BS37" s="593">
        <v>42065</v>
      </c>
      <c r="BT37" s="415">
        <f t="shared" si="15"/>
        <v>42430</v>
      </c>
      <c r="BU37" s="515">
        <v>117</v>
      </c>
      <c r="BV37" s="515">
        <v>3</v>
      </c>
      <c r="BW37" s="416">
        <f t="shared" si="16"/>
        <v>0</v>
      </c>
      <c r="BX37" s="417">
        <f t="shared" ref="BX37:BX67" si="51">IF(BW37=0,1,(J37-BW37)/J37)</f>
        <v>1</v>
      </c>
      <c r="BY37" s="409">
        <f t="shared" ref="BY37:BY67" si="52">BX37*L37</f>
        <v>620</v>
      </c>
      <c r="BZ37" s="446">
        <f t="shared" si="19"/>
        <v>0</v>
      </c>
      <c r="CA37" s="542"/>
      <c r="CB37" s="557">
        <v>0</v>
      </c>
      <c r="CC37" s="451">
        <f t="shared" si="35"/>
        <v>0</v>
      </c>
      <c r="CD37" s="542">
        <v>0</v>
      </c>
      <c r="CE37" s="418" t="str">
        <f t="shared" si="36"/>
        <v>No coverage</v>
      </c>
      <c r="CF37" s="550">
        <v>0</v>
      </c>
      <c r="CG37" s="551" t="s">
        <v>301</v>
      </c>
      <c r="CH37" s="602"/>
    </row>
    <row r="38" spans="2:86" s="40" customFormat="1" ht="30.75" customHeight="1" x14ac:dyDescent="0.2">
      <c r="B38" s="512" t="s">
        <v>188</v>
      </c>
      <c r="C38" s="513" t="s">
        <v>585</v>
      </c>
      <c r="D38" s="514" t="s">
        <v>268</v>
      </c>
      <c r="E38" s="513" t="s">
        <v>190</v>
      </c>
      <c r="F38" s="514">
        <v>97.573166999999998</v>
      </c>
      <c r="G38" s="514">
        <v>24.661466999999998</v>
      </c>
      <c r="H38" s="514" t="s">
        <v>467</v>
      </c>
      <c r="I38" s="514" t="s">
        <v>226</v>
      </c>
      <c r="J38" s="515">
        <v>479</v>
      </c>
      <c r="K38" s="515">
        <v>2288</v>
      </c>
      <c r="L38" s="515">
        <v>2288</v>
      </c>
      <c r="M38" s="405" t="str">
        <f t="shared" si="37"/>
        <v>3. Large</v>
      </c>
      <c r="N38" s="516" t="s">
        <v>235</v>
      </c>
      <c r="O38" s="530" t="s">
        <v>237</v>
      </c>
      <c r="P38" s="439" t="str">
        <f t="shared" si="20"/>
        <v>Covered</v>
      </c>
      <c r="Q38" s="531" t="s">
        <v>656</v>
      </c>
      <c r="R38" s="532" t="s">
        <v>238</v>
      </c>
      <c r="S38" s="531">
        <v>41835</v>
      </c>
      <c r="T38" s="516" t="s">
        <v>260</v>
      </c>
      <c r="U38" s="436" t="str">
        <f t="shared" si="21"/>
        <v>Documented</v>
      </c>
      <c r="V38" s="542">
        <v>0</v>
      </c>
      <c r="W38" s="515">
        <v>0</v>
      </c>
      <c r="X38" s="543" t="s">
        <v>19</v>
      </c>
      <c r="Y38" s="542">
        <v>3</v>
      </c>
      <c r="Z38" s="550">
        <v>0</v>
      </c>
      <c r="AA38" s="551">
        <v>34155</v>
      </c>
      <c r="AB38" s="556">
        <v>0</v>
      </c>
      <c r="AC38" s="557">
        <v>1</v>
      </c>
      <c r="AD38" s="443">
        <f t="shared" si="1"/>
        <v>1</v>
      </c>
      <c r="AE38" s="407">
        <f t="shared" si="22"/>
        <v>2288</v>
      </c>
      <c r="AF38" s="408">
        <f t="shared" si="38"/>
        <v>1</v>
      </c>
      <c r="AG38" s="409">
        <f t="shared" si="23"/>
        <v>2288</v>
      </c>
      <c r="AH38" s="406">
        <f t="shared" si="39"/>
        <v>1</v>
      </c>
      <c r="AI38" s="409">
        <f t="shared" si="24"/>
        <v>2288</v>
      </c>
      <c r="AJ38" s="410" t="str">
        <f t="shared" si="40"/>
        <v>80-100%</v>
      </c>
      <c r="AK38" s="406">
        <f t="shared" si="41"/>
        <v>0</v>
      </c>
      <c r="AL38" s="411">
        <f t="shared" si="42"/>
        <v>0</v>
      </c>
      <c r="AM38" s="409">
        <f t="shared" si="43"/>
        <v>2.7199999999999998</v>
      </c>
      <c r="AN38" s="409">
        <f t="shared" si="44"/>
        <v>479</v>
      </c>
      <c r="AO38" s="409">
        <f t="shared" si="25"/>
        <v>0</v>
      </c>
      <c r="AP38" s="566">
        <v>1</v>
      </c>
      <c r="AQ38" s="567">
        <f t="shared" si="26"/>
        <v>2288</v>
      </c>
      <c r="AR38" s="551"/>
      <c r="AS38" s="552">
        <v>0</v>
      </c>
      <c r="AT38" s="515">
        <v>70</v>
      </c>
      <c r="AU38" s="515">
        <v>148</v>
      </c>
      <c r="AV38" s="515" t="s">
        <v>91</v>
      </c>
      <c r="AW38" s="412">
        <f t="shared" si="45"/>
        <v>1</v>
      </c>
      <c r="AX38" s="409">
        <f t="shared" si="27"/>
        <v>2288</v>
      </c>
      <c r="AY38" s="412">
        <f t="shared" si="46"/>
        <v>0</v>
      </c>
      <c r="AZ38" s="409">
        <f t="shared" si="28"/>
        <v>0</v>
      </c>
      <c r="BA38" s="412">
        <f t="shared" si="47"/>
        <v>1</v>
      </c>
      <c r="BB38" s="409">
        <f t="shared" si="29"/>
        <v>2288</v>
      </c>
      <c r="BC38" s="550">
        <v>0</v>
      </c>
      <c r="BD38" s="571">
        <v>1</v>
      </c>
      <c r="BE38" s="413">
        <f t="shared" si="48"/>
        <v>2288</v>
      </c>
      <c r="BF38" s="414">
        <f t="shared" si="30"/>
        <v>0</v>
      </c>
      <c r="BG38" s="550">
        <v>6</v>
      </c>
      <c r="BH38" s="550" t="s">
        <v>91</v>
      </c>
      <c r="BI38" s="412">
        <f t="shared" si="31"/>
        <v>0.26223776223776224</v>
      </c>
      <c r="BJ38" s="409">
        <f t="shared" si="32"/>
        <v>600</v>
      </c>
      <c r="BK38" s="414">
        <f t="shared" si="33"/>
        <v>16.88</v>
      </c>
      <c r="BL38" s="566">
        <v>0.26</v>
      </c>
      <c r="BM38" s="409">
        <f t="shared" si="34"/>
        <v>594.88</v>
      </c>
      <c r="BN38" s="550">
        <v>28</v>
      </c>
      <c r="BO38" s="412">
        <f t="shared" si="49"/>
        <v>1</v>
      </c>
      <c r="BP38" s="414">
        <f t="shared" si="50"/>
        <v>0</v>
      </c>
      <c r="BQ38" s="557">
        <v>1</v>
      </c>
      <c r="BR38" s="589"/>
      <c r="BS38" s="593">
        <v>41559</v>
      </c>
      <c r="BT38" s="415" t="str">
        <f t="shared" si="15"/>
        <v>To be realised</v>
      </c>
      <c r="BU38" s="515">
        <v>479</v>
      </c>
      <c r="BV38" s="515">
        <v>19</v>
      </c>
      <c r="BW38" s="416">
        <f t="shared" si="16"/>
        <v>479</v>
      </c>
      <c r="BX38" s="417">
        <f t="shared" si="51"/>
        <v>0</v>
      </c>
      <c r="BY38" s="409">
        <f t="shared" si="52"/>
        <v>0</v>
      </c>
      <c r="BZ38" s="446">
        <f t="shared" si="19"/>
        <v>0</v>
      </c>
      <c r="CA38" s="542" t="s">
        <v>833</v>
      </c>
      <c r="CB38" s="557">
        <v>0.5</v>
      </c>
      <c r="CC38" s="451">
        <f t="shared" si="35"/>
        <v>1144</v>
      </c>
      <c r="CD38" s="542">
        <v>2</v>
      </c>
      <c r="CE38" s="418" t="str">
        <f t="shared" si="36"/>
        <v>Low coverage</v>
      </c>
      <c r="CF38" s="550">
        <v>1</v>
      </c>
      <c r="CG38" s="551" t="s">
        <v>65</v>
      </c>
      <c r="CH38" s="602"/>
    </row>
    <row r="39" spans="2:86" s="40" customFormat="1" ht="30.75" customHeight="1" x14ac:dyDescent="0.2">
      <c r="B39" s="512" t="s">
        <v>135</v>
      </c>
      <c r="C39" s="513" t="s">
        <v>514</v>
      </c>
      <c r="D39" s="514" t="s">
        <v>265</v>
      </c>
      <c r="E39" s="513" t="s">
        <v>136</v>
      </c>
      <c r="F39" s="514">
        <v>97.385101000000006</v>
      </c>
      <c r="G39" s="514">
        <v>25.399795999999998</v>
      </c>
      <c r="H39" s="514" t="s">
        <v>467</v>
      </c>
      <c r="I39" s="514" t="s">
        <v>218</v>
      </c>
      <c r="J39" s="515">
        <v>6</v>
      </c>
      <c r="K39" s="515">
        <v>27</v>
      </c>
      <c r="L39" s="515">
        <v>27</v>
      </c>
      <c r="M39" s="405" t="str">
        <f t="shared" si="37"/>
        <v>1. Small</v>
      </c>
      <c r="N39" s="516" t="s">
        <v>239</v>
      </c>
      <c r="O39" s="530" t="s">
        <v>239</v>
      </c>
      <c r="P39" s="439" t="str">
        <f t="shared" si="20"/>
        <v>Covered</v>
      </c>
      <c r="Q39" s="531">
        <v>42185</v>
      </c>
      <c r="R39" s="532" t="s">
        <v>240</v>
      </c>
      <c r="S39" s="531">
        <v>42185</v>
      </c>
      <c r="T39" s="516" t="s">
        <v>260</v>
      </c>
      <c r="U39" s="436" t="str">
        <f t="shared" si="21"/>
        <v>Documented</v>
      </c>
      <c r="V39" s="542">
        <v>0</v>
      </c>
      <c r="W39" s="515">
        <v>0</v>
      </c>
      <c r="X39" s="543" t="s">
        <v>19</v>
      </c>
      <c r="Y39" s="542">
        <v>0</v>
      </c>
      <c r="Z39" s="550">
        <v>1</v>
      </c>
      <c r="AA39" s="551">
        <v>0</v>
      </c>
      <c r="AB39" s="556">
        <v>0</v>
      </c>
      <c r="AC39" s="557">
        <v>1</v>
      </c>
      <c r="AD39" s="443">
        <f t="shared" si="1"/>
        <v>1</v>
      </c>
      <c r="AE39" s="407">
        <f t="shared" si="22"/>
        <v>27</v>
      </c>
      <c r="AF39" s="408">
        <f t="shared" si="38"/>
        <v>1</v>
      </c>
      <c r="AG39" s="409">
        <f t="shared" si="23"/>
        <v>27</v>
      </c>
      <c r="AH39" s="406">
        <f t="shared" si="39"/>
        <v>1</v>
      </c>
      <c r="AI39" s="409">
        <f t="shared" si="24"/>
        <v>27</v>
      </c>
      <c r="AJ39" s="410" t="str">
        <f t="shared" si="40"/>
        <v>80-100%</v>
      </c>
      <c r="AK39" s="406">
        <f t="shared" si="41"/>
        <v>0</v>
      </c>
      <c r="AL39" s="411">
        <f t="shared" si="42"/>
        <v>0</v>
      </c>
      <c r="AM39" s="409">
        <f t="shared" si="43"/>
        <v>0</v>
      </c>
      <c r="AN39" s="409">
        <f t="shared" si="44"/>
        <v>6</v>
      </c>
      <c r="AO39" s="409">
        <f t="shared" si="25"/>
        <v>0</v>
      </c>
      <c r="AP39" s="566">
        <v>1</v>
      </c>
      <c r="AQ39" s="567">
        <f t="shared" si="26"/>
        <v>27</v>
      </c>
      <c r="AR39" s="551"/>
      <c r="AS39" s="552">
        <v>0</v>
      </c>
      <c r="AT39" s="515">
        <v>0</v>
      </c>
      <c r="AU39" s="515">
        <v>1</v>
      </c>
      <c r="AV39" s="515" t="s">
        <v>298</v>
      </c>
      <c r="AW39" s="412">
        <f t="shared" si="45"/>
        <v>0.7407407407407407</v>
      </c>
      <c r="AX39" s="409">
        <f t="shared" si="27"/>
        <v>20</v>
      </c>
      <c r="AY39" s="412">
        <f t="shared" si="46"/>
        <v>0</v>
      </c>
      <c r="AZ39" s="409">
        <f t="shared" si="28"/>
        <v>0</v>
      </c>
      <c r="BA39" s="412">
        <f t="shared" si="47"/>
        <v>0.7407407407407407</v>
      </c>
      <c r="BB39" s="409">
        <f t="shared" si="29"/>
        <v>20</v>
      </c>
      <c r="BC39" s="550">
        <v>0</v>
      </c>
      <c r="BD39" s="571">
        <v>0.74</v>
      </c>
      <c r="BE39" s="413">
        <f t="shared" si="48"/>
        <v>19.98</v>
      </c>
      <c r="BF39" s="414">
        <f t="shared" si="30"/>
        <v>0.35000000000000009</v>
      </c>
      <c r="BG39" s="550">
        <v>1</v>
      </c>
      <c r="BH39" s="550" t="s">
        <v>91</v>
      </c>
      <c r="BI39" s="412">
        <f t="shared" si="31"/>
        <v>1</v>
      </c>
      <c r="BJ39" s="409">
        <f t="shared" si="32"/>
        <v>27</v>
      </c>
      <c r="BK39" s="414">
        <f t="shared" si="33"/>
        <v>0</v>
      </c>
      <c r="BL39" s="566">
        <v>1</v>
      </c>
      <c r="BM39" s="409">
        <f t="shared" si="34"/>
        <v>27</v>
      </c>
      <c r="BN39" s="550">
        <v>2</v>
      </c>
      <c r="BO39" s="412">
        <f t="shared" si="49"/>
        <v>1</v>
      </c>
      <c r="BP39" s="414">
        <f t="shared" si="50"/>
        <v>0</v>
      </c>
      <c r="BQ39" s="557">
        <v>1</v>
      </c>
      <c r="BR39" s="589" t="s">
        <v>797</v>
      </c>
      <c r="BS39" s="593">
        <v>42053</v>
      </c>
      <c r="BT39" s="415">
        <f t="shared" si="15"/>
        <v>42418</v>
      </c>
      <c r="BU39" s="515">
        <v>6</v>
      </c>
      <c r="BV39" s="515">
        <v>3</v>
      </c>
      <c r="BW39" s="416">
        <f t="shared" si="16"/>
        <v>0</v>
      </c>
      <c r="BX39" s="417">
        <f t="shared" si="51"/>
        <v>1</v>
      </c>
      <c r="BY39" s="409">
        <f t="shared" si="52"/>
        <v>27</v>
      </c>
      <c r="BZ39" s="446">
        <f t="shared" si="19"/>
        <v>0</v>
      </c>
      <c r="CA39" s="542"/>
      <c r="CB39" s="557">
        <v>0.8</v>
      </c>
      <c r="CC39" s="451">
        <f t="shared" si="35"/>
        <v>21.6</v>
      </c>
      <c r="CD39" s="542">
        <v>1</v>
      </c>
      <c r="CE39" s="418" t="str">
        <f t="shared" si="36"/>
        <v>Excellent coverage</v>
      </c>
      <c r="CF39" s="550">
        <v>0</v>
      </c>
      <c r="CG39" s="551" t="s">
        <v>301</v>
      </c>
      <c r="CH39" s="602"/>
    </row>
    <row r="40" spans="2:86" s="40" customFormat="1" ht="30.75" customHeight="1" x14ac:dyDescent="0.2">
      <c r="B40" s="512" t="s">
        <v>135</v>
      </c>
      <c r="C40" s="513" t="s">
        <v>512</v>
      </c>
      <c r="D40" s="514" t="s">
        <v>265</v>
      </c>
      <c r="E40" s="513" t="s">
        <v>137</v>
      </c>
      <c r="F40" s="514">
        <v>97.383056999999994</v>
      </c>
      <c r="G40" s="514">
        <v>25.395994000000002</v>
      </c>
      <c r="H40" s="514" t="s">
        <v>467</v>
      </c>
      <c r="I40" s="514" t="s">
        <v>218</v>
      </c>
      <c r="J40" s="515">
        <v>6</v>
      </c>
      <c r="K40" s="515">
        <v>35</v>
      </c>
      <c r="L40" s="515">
        <v>35</v>
      </c>
      <c r="M40" s="405" t="str">
        <f t="shared" si="37"/>
        <v>1. Small</v>
      </c>
      <c r="N40" s="516" t="s">
        <v>239</v>
      </c>
      <c r="O40" s="530" t="s">
        <v>239</v>
      </c>
      <c r="P40" s="439" t="str">
        <f t="shared" si="20"/>
        <v>Covered</v>
      </c>
      <c r="Q40" s="531">
        <v>42185</v>
      </c>
      <c r="R40" s="532" t="s">
        <v>240</v>
      </c>
      <c r="S40" s="531">
        <v>42185</v>
      </c>
      <c r="T40" s="516" t="s">
        <v>260</v>
      </c>
      <c r="U40" s="436" t="str">
        <f t="shared" si="21"/>
        <v>Documented</v>
      </c>
      <c r="V40" s="542">
        <v>0</v>
      </c>
      <c r="W40" s="515">
        <v>0</v>
      </c>
      <c r="X40" s="543" t="s">
        <v>19</v>
      </c>
      <c r="Y40" s="542">
        <v>0</v>
      </c>
      <c r="Z40" s="550">
        <v>1</v>
      </c>
      <c r="AA40" s="551">
        <v>0</v>
      </c>
      <c r="AB40" s="556">
        <v>0</v>
      </c>
      <c r="AC40" s="557">
        <v>1</v>
      </c>
      <c r="AD40" s="443">
        <f t="shared" si="1"/>
        <v>1</v>
      </c>
      <c r="AE40" s="407">
        <f t="shared" si="22"/>
        <v>35</v>
      </c>
      <c r="AF40" s="408">
        <f t="shared" si="38"/>
        <v>1</v>
      </c>
      <c r="AG40" s="409">
        <f t="shared" si="23"/>
        <v>35</v>
      </c>
      <c r="AH40" s="406">
        <f t="shared" si="39"/>
        <v>1</v>
      </c>
      <c r="AI40" s="409">
        <f t="shared" si="24"/>
        <v>35</v>
      </c>
      <c r="AJ40" s="410" t="str">
        <f t="shared" si="40"/>
        <v>80-100%</v>
      </c>
      <c r="AK40" s="406">
        <f t="shared" si="41"/>
        <v>0</v>
      </c>
      <c r="AL40" s="411">
        <f t="shared" si="42"/>
        <v>0</v>
      </c>
      <c r="AM40" s="409">
        <f t="shared" si="43"/>
        <v>0</v>
      </c>
      <c r="AN40" s="409">
        <f t="shared" si="44"/>
        <v>6</v>
      </c>
      <c r="AO40" s="409">
        <f t="shared" si="25"/>
        <v>0</v>
      </c>
      <c r="AP40" s="566">
        <v>1</v>
      </c>
      <c r="AQ40" s="567">
        <f t="shared" si="26"/>
        <v>35</v>
      </c>
      <c r="AR40" s="551"/>
      <c r="AS40" s="552">
        <v>0</v>
      </c>
      <c r="AT40" s="515">
        <v>0</v>
      </c>
      <c r="AU40" s="515">
        <v>3</v>
      </c>
      <c r="AV40" s="515" t="s">
        <v>298</v>
      </c>
      <c r="AW40" s="412">
        <f t="shared" si="45"/>
        <v>1</v>
      </c>
      <c r="AX40" s="409">
        <f t="shared" si="27"/>
        <v>35</v>
      </c>
      <c r="AY40" s="412">
        <f t="shared" si="46"/>
        <v>0</v>
      </c>
      <c r="AZ40" s="409">
        <f t="shared" si="28"/>
        <v>0</v>
      </c>
      <c r="BA40" s="412">
        <f t="shared" si="47"/>
        <v>1</v>
      </c>
      <c r="BB40" s="409">
        <f t="shared" si="29"/>
        <v>35</v>
      </c>
      <c r="BC40" s="550">
        <v>0</v>
      </c>
      <c r="BD40" s="571">
        <v>1</v>
      </c>
      <c r="BE40" s="413">
        <f t="shared" si="48"/>
        <v>35</v>
      </c>
      <c r="BF40" s="414">
        <f t="shared" si="30"/>
        <v>0</v>
      </c>
      <c r="BG40" s="550">
        <v>1</v>
      </c>
      <c r="BH40" s="550" t="s">
        <v>91</v>
      </c>
      <c r="BI40" s="412">
        <f t="shared" si="31"/>
        <v>1</v>
      </c>
      <c r="BJ40" s="409">
        <f t="shared" si="32"/>
        <v>35</v>
      </c>
      <c r="BK40" s="414">
        <f t="shared" si="33"/>
        <v>0</v>
      </c>
      <c r="BL40" s="566">
        <v>1</v>
      </c>
      <c r="BM40" s="409">
        <f t="shared" si="34"/>
        <v>35</v>
      </c>
      <c r="BN40" s="550">
        <v>3</v>
      </c>
      <c r="BO40" s="412">
        <f t="shared" si="49"/>
        <v>1</v>
      </c>
      <c r="BP40" s="414">
        <f t="shared" si="50"/>
        <v>0</v>
      </c>
      <c r="BQ40" s="557">
        <v>1</v>
      </c>
      <c r="BR40" s="589" t="s">
        <v>670</v>
      </c>
      <c r="BS40" s="593">
        <v>42053</v>
      </c>
      <c r="BT40" s="415">
        <f t="shared" si="15"/>
        <v>42418</v>
      </c>
      <c r="BU40" s="515">
        <v>6</v>
      </c>
      <c r="BV40" s="515">
        <v>3</v>
      </c>
      <c r="BW40" s="416">
        <f t="shared" si="16"/>
        <v>0</v>
      </c>
      <c r="BX40" s="417">
        <f t="shared" si="51"/>
        <v>1</v>
      </c>
      <c r="BY40" s="409">
        <f t="shared" si="52"/>
        <v>35</v>
      </c>
      <c r="BZ40" s="446">
        <f t="shared" si="19"/>
        <v>0</v>
      </c>
      <c r="CA40" s="542"/>
      <c r="CB40" s="557">
        <v>0.8</v>
      </c>
      <c r="CC40" s="451">
        <f t="shared" si="35"/>
        <v>28</v>
      </c>
      <c r="CD40" s="542">
        <v>1</v>
      </c>
      <c r="CE40" s="418" t="str">
        <f t="shared" si="36"/>
        <v>Excellent coverage</v>
      </c>
      <c r="CF40" s="550">
        <v>0</v>
      </c>
      <c r="CG40" s="551" t="s">
        <v>301</v>
      </c>
      <c r="CH40" s="602"/>
    </row>
    <row r="41" spans="2:86" s="40" customFormat="1" ht="30.75" customHeight="1" x14ac:dyDescent="0.2">
      <c r="B41" s="512" t="s">
        <v>135</v>
      </c>
      <c r="C41" s="513" t="s">
        <v>513</v>
      </c>
      <c r="D41" s="514" t="s">
        <v>265</v>
      </c>
      <c r="E41" s="513" t="s">
        <v>138</v>
      </c>
      <c r="F41" s="514">
        <v>97.381195000000005</v>
      </c>
      <c r="G41" s="514">
        <v>25.396363999999998</v>
      </c>
      <c r="H41" s="514" t="s">
        <v>467</v>
      </c>
      <c r="I41" s="514" t="s">
        <v>218</v>
      </c>
      <c r="J41" s="515">
        <v>8</v>
      </c>
      <c r="K41" s="515">
        <v>26</v>
      </c>
      <c r="L41" s="515">
        <v>26</v>
      </c>
      <c r="M41" s="405" t="str">
        <f t="shared" si="37"/>
        <v>1. Small</v>
      </c>
      <c r="N41" s="516" t="s">
        <v>239</v>
      </c>
      <c r="O41" s="530" t="s">
        <v>239</v>
      </c>
      <c r="P41" s="439" t="str">
        <f t="shared" si="20"/>
        <v>Covered</v>
      </c>
      <c r="Q41" s="531">
        <v>42185</v>
      </c>
      <c r="R41" s="532" t="s">
        <v>240</v>
      </c>
      <c r="S41" s="531">
        <v>42185</v>
      </c>
      <c r="T41" s="516" t="s">
        <v>260</v>
      </c>
      <c r="U41" s="436" t="str">
        <f t="shared" si="21"/>
        <v>Documented</v>
      </c>
      <c r="V41" s="542">
        <v>0</v>
      </c>
      <c r="W41" s="515">
        <v>0</v>
      </c>
      <c r="X41" s="543" t="s">
        <v>19</v>
      </c>
      <c r="Y41" s="542">
        <v>0</v>
      </c>
      <c r="Z41" s="550">
        <v>1</v>
      </c>
      <c r="AA41" s="551">
        <v>0</v>
      </c>
      <c r="AB41" s="556">
        <v>0</v>
      </c>
      <c r="AC41" s="557">
        <v>1</v>
      </c>
      <c r="AD41" s="443">
        <f t="shared" si="1"/>
        <v>1</v>
      </c>
      <c r="AE41" s="407">
        <f t="shared" si="22"/>
        <v>26</v>
      </c>
      <c r="AF41" s="408">
        <f t="shared" si="38"/>
        <v>1</v>
      </c>
      <c r="AG41" s="409">
        <f t="shared" si="23"/>
        <v>26</v>
      </c>
      <c r="AH41" s="406">
        <f t="shared" si="39"/>
        <v>1</v>
      </c>
      <c r="AI41" s="409">
        <f t="shared" si="24"/>
        <v>26</v>
      </c>
      <c r="AJ41" s="410" t="str">
        <f t="shared" si="40"/>
        <v>80-100%</v>
      </c>
      <c r="AK41" s="406">
        <f t="shared" si="41"/>
        <v>0</v>
      </c>
      <c r="AL41" s="411">
        <f t="shared" si="42"/>
        <v>0</v>
      </c>
      <c r="AM41" s="409">
        <f t="shared" si="43"/>
        <v>0</v>
      </c>
      <c r="AN41" s="409">
        <f t="shared" si="44"/>
        <v>8</v>
      </c>
      <c r="AO41" s="409">
        <f t="shared" si="25"/>
        <v>0</v>
      </c>
      <c r="AP41" s="566">
        <v>1</v>
      </c>
      <c r="AQ41" s="567">
        <f t="shared" si="26"/>
        <v>26</v>
      </c>
      <c r="AR41" s="551"/>
      <c r="AS41" s="552">
        <v>0</v>
      </c>
      <c r="AT41" s="515">
        <v>0</v>
      </c>
      <c r="AU41" s="515">
        <v>1</v>
      </c>
      <c r="AV41" s="515" t="s">
        <v>298</v>
      </c>
      <c r="AW41" s="412">
        <f t="shared" si="45"/>
        <v>0.76923076923076927</v>
      </c>
      <c r="AX41" s="409">
        <f t="shared" si="27"/>
        <v>20</v>
      </c>
      <c r="AY41" s="412">
        <f t="shared" si="46"/>
        <v>0</v>
      </c>
      <c r="AZ41" s="409">
        <f t="shared" si="28"/>
        <v>0</v>
      </c>
      <c r="BA41" s="412">
        <f t="shared" si="47"/>
        <v>0.76923076923076927</v>
      </c>
      <c r="BB41" s="409">
        <f t="shared" si="29"/>
        <v>20</v>
      </c>
      <c r="BC41" s="550">
        <v>0</v>
      </c>
      <c r="BD41" s="571">
        <v>0.77</v>
      </c>
      <c r="BE41" s="413">
        <f t="shared" si="48"/>
        <v>20.02</v>
      </c>
      <c r="BF41" s="414">
        <f t="shared" si="30"/>
        <v>0.30000000000000004</v>
      </c>
      <c r="BG41" s="550">
        <v>1</v>
      </c>
      <c r="BH41" s="550" t="s">
        <v>91</v>
      </c>
      <c r="BI41" s="412">
        <f t="shared" si="31"/>
        <v>1</v>
      </c>
      <c r="BJ41" s="409">
        <f t="shared" si="32"/>
        <v>26</v>
      </c>
      <c r="BK41" s="414">
        <f t="shared" si="33"/>
        <v>0</v>
      </c>
      <c r="BL41" s="566">
        <v>1</v>
      </c>
      <c r="BM41" s="409">
        <f t="shared" si="34"/>
        <v>26</v>
      </c>
      <c r="BN41" s="550">
        <v>3</v>
      </c>
      <c r="BO41" s="412">
        <f t="shared" si="49"/>
        <v>1</v>
      </c>
      <c r="BP41" s="414">
        <f t="shared" si="50"/>
        <v>0</v>
      </c>
      <c r="BQ41" s="557">
        <v>1</v>
      </c>
      <c r="BR41" s="589" t="s">
        <v>798</v>
      </c>
      <c r="BS41" s="593">
        <v>42053</v>
      </c>
      <c r="BT41" s="415">
        <f t="shared" si="15"/>
        <v>42418</v>
      </c>
      <c r="BU41" s="515">
        <v>8</v>
      </c>
      <c r="BV41" s="515">
        <v>3</v>
      </c>
      <c r="BW41" s="416">
        <f t="shared" si="16"/>
        <v>0</v>
      </c>
      <c r="BX41" s="417">
        <f t="shared" si="51"/>
        <v>1</v>
      </c>
      <c r="BY41" s="409">
        <f t="shared" si="52"/>
        <v>26</v>
      </c>
      <c r="BZ41" s="446">
        <f t="shared" si="19"/>
        <v>0</v>
      </c>
      <c r="CA41" s="542"/>
      <c r="CB41" s="557">
        <v>0.8</v>
      </c>
      <c r="CC41" s="451">
        <f t="shared" si="35"/>
        <v>20.8</v>
      </c>
      <c r="CD41" s="542">
        <v>1</v>
      </c>
      <c r="CE41" s="418" t="str">
        <f t="shared" si="36"/>
        <v>Excellent coverage</v>
      </c>
      <c r="CF41" s="550">
        <v>0</v>
      </c>
      <c r="CG41" s="551" t="s">
        <v>301</v>
      </c>
      <c r="CH41" s="602"/>
    </row>
    <row r="42" spans="2:86" s="40" customFormat="1" ht="30.75" customHeight="1" x14ac:dyDescent="0.2">
      <c r="B42" s="512" t="s">
        <v>135</v>
      </c>
      <c r="C42" s="513" t="s">
        <v>519</v>
      </c>
      <c r="D42" s="514" t="s">
        <v>265</v>
      </c>
      <c r="E42" s="513" t="s">
        <v>139</v>
      </c>
      <c r="F42" s="514">
        <v>97.389778000000007</v>
      </c>
      <c r="G42" s="514">
        <v>25.417733999999999</v>
      </c>
      <c r="H42" s="514" t="s">
        <v>467</v>
      </c>
      <c r="I42" s="514" t="s">
        <v>218</v>
      </c>
      <c r="J42" s="515">
        <v>189</v>
      </c>
      <c r="K42" s="515">
        <v>974</v>
      </c>
      <c r="L42" s="515">
        <v>974</v>
      </c>
      <c r="M42" s="405" t="str">
        <f t="shared" si="37"/>
        <v>2. Medium</v>
      </c>
      <c r="N42" s="516" t="s">
        <v>239</v>
      </c>
      <c r="O42" s="530" t="s">
        <v>239</v>
      </c>
      <c r="P42" s="439" t="str">
        <f t="shared" si="20"/>
        <v>Covered</v>
      </c>
      <c r="Q42" s="531">
        <v>42185</v>
      </c>
      <c r="R42" s="532" t="s">
        <v>240</v>
      </c>
      <c r="S42" s="531">
        <v>42185</v>
      </c>
      <c r="T42" s="516" t="s">
        <v>260</v>
      </c>
      <c r="U42" s="436" t="str">
        <f t="shared" si="21"/>
        <v>Documented</v>
      </c>
      <c r="V42" s="542">
        <v>0</v>
      </c>
      <c r="W42" s="515">
        <v>0</v>
      </c>
      <c r="X42" s="543" t="s">
        <v>19</v>
      </c>
      <c r="Y42" s="542">
        <v>1</v>
      </c>
      <c r="Z42" s="550">
        <v>9</v>
      </c>
      <c r="AA42" s="551">
        <v>3000</v>
      </c>
      <c r="AB42" s="556">
        <v>0</v>
      </c>
      <c r="AC42" s="557">
        <v>1</v>
      </c>
      <c r="AD42" s="443">
        <f t="shared" si="1"/>
        <v>1</v>
      </c>
      <c r="AE42" s="407">
        <f t="shared" si="22"/>
        <v>974</v>
      </c>
      <c r="AF42" s="408">
        <f t="shared" si="38"/>
        <v>1</v>
      </c>
      <c r="AG42" s="409">
        <f t="shared" si="23"/>
        <v>974</v>
      </c>
      <c r="AH42" s="406">
        <f t="shared" si="39"/>
        <v>1</v>
      </c>
      <c r="AI42" s="409">
        <f t="shared" si="24"/>
        <v>974</v>
      </c>
      <c r="AJ42" s="410" t="str">
        <f t="shared" si="40"/>
        <v>80-100%</v>
      </c>
      <c r="AK42" s="406">
        <f t="shared" si="41"/>
        <v>0</v>
      </c>
      <c r="AL42" s="411">
        <f t="shared" si="42"/>
        <v>0</v>
      </c>
      <c r="AM42" s="409">
        <f t="shared" si="43"/>
        <v>0</v>
      </c>
      <c r="AN42" s="409">
        <f t="shared" si="44"/>
        <v>189</v>
      </c>
      <c r="AO42" s="409">
        <f t="shared" si="25"/>
        <v>0</v>
      </c>
      <c r="AP42" s="566">
        <v>1</v>
      </c>
      <c r="AQ42" s="567">
        <f t="shared" si="26"/>
        <v>974</v>
      </c>
      <c r="AR42" s="551"/>
      <c r="AS42" s="552">
        <v>0</v>
      </c>
      <c r="AT42" s="515">
        <v>0</v>
      </c>
      <c r="AU42" s="515">
        <v>51</v>
      </c>
      <c r="AV42" s="515" t="s">
        <v>298</v>
      </c>
      <c r="AW42" s="412">
        <f t="shared" si="45"/>
        <v>1</v>
      </c>
      <c r="AX42" s="409">
        <f t="shared" si="27"/>
        <v>974</v>
      </c>
      <c r="AY42" s="412">
        <f t="shared" si="46"/>
        <v>0</v>
      </c>
      <c r="AZ42" s="409">
        <f t="shared" si="28"/>
        <v>0</v>
      </c>
      <c r="BA42" s="412">
        <f t="shared" si="47"/>
        <v>1</v>
      </c>
      <c r="BB42" s="409">
        <f t="shared" si="29"/>
        <v>974</v>
      </c>
      <c r="BC42" s="550">
        <v>0</v>
      </c>
      <c r="BD42" s="571">
        <v>1</v>
      </c>
      <c r="BE42" s="413">
        <f t="shared" si="48"/>
        <v>974</v>
      </c>
      <c r="BF42" s="414">
        <f t="shared" si="30"/>
        <v>0</v>
      </c>
      <c r="BG42" s="550">
        <v>4</v>
      </c>
      <c r="BH42" s="550" t="s">
        <v>300</v>
      </c>
      <c r="BI42" s="412">
        <f t="shared" si="31"/>
        <v>0.41067761806981518</v>
      </c>
      <c r="BJ42" s="409">
        <f t="shared" si="32"/>
        <v>400</v>
      </c>
      <c r="BK42" s="414">
        <f t="shared" si="33"/>
        <v>5.74</v>
      </c>
      <c r="BL42" s="566">
        <v>0.41</v>
      </c>
      <c r="BM42" s="409">
        <f t="shared" si="34"/>
        <v>399.34</v>
      </c>
      <c r="BN42" s="550">
        <v>15</v>
      </c>
      <c r="BO42" s="412">
        <f t="shared" si="49"/>
        <v>1</v>
      </c>
      <c r="BP42" s="414">
        <f t="shared" si="50"/>
        <v>0</v>
      </c>
      <c r="BQ42" s="557">
        <v>1</v>
      </c>
      <c r="BR42" s="589" t="s">
        <v>825</v>
      </c>
      <c r="BS42" s="593">
        <v>42053</v>
      </c>
      <c r="BT42" s="415">
        <f t="shared" si="15"/>
        <v>42418</v>
      </c>
      <c r="BU42" s="515">
        <v>189</v>
      </c>
      <c r="BV42" s="515">
        <v>3</v>
      </c>
      <c r="BW42" s="416">
        <f t="shared" si="16"/>
        <v>0</v>
      </c>
      <c r="BX42" s="417">
        <f t="shared" si="51"/>
        <v>1</v>
      </c>
      <c r="BY42" s="409">
        <f t="shared" si="52"/>
        <v>974</v>
      </c>
      <c r="BZ42" s="446">
        <f t="shared" si="19"/>
        <v>0</v>
      </c>
      <c r="CA42" s="542"/>
      <c r="CB42" s="557">
        <v>0.8</v>
      </c>
      <c r="CC42" s="451">
        <f t="shared" si="35"/>
        <v>779.2</v>
      </c>
      <c r="CD42" s="542">
        <v>3</v>
      </c>
      <c r="CE42" s="418" t="str">
        <f t="shared" si="36"/>
        <v>Excellent coverage</v>
      </c>
      <c r="CF42" s="550">
        <v>0</v>
      </c>
      <c r="CG42" s="551" t="s">
        <v>301</v>
      </c>
      <c r="CH42" s="602"/>
    </row>
    <row r="43" spans="2:86" s="40" customFormat="1" ht="30.75" customHeight="1" x14ac:dyDescent="0.2">
      <c r="B43" s="512" t="s">
        <v>135</v>
      </c>
      <c r="C43" s="513" t="s">
        <v>520</v>
      </c>
      <c r="D43" s="514" t="s">
        <v>265</v>
      </c>
      <c r="E43" s="513" t="s">
        <v>140</v>
      </c>
      <c r="F43" s="514">
        <v>97.373361000000003</v>
      </c>
      <c r="G43" s="514">
        <v>25.403476999999999</v>
      </c>
      <c r="H43" s="514" t="s">
        <v>467</v>
      </c>
      <c r="I43" s="514" t="s">
        <v>218</v>
      </c>
      <c r="J43" s="515">
        <v>106</v>
      </c>
      <c r="K43" s="515">
        <v>468</v>
      </c>
      <c r="L43" s="515">
        <v>468</v>
      </c>
      <c r="M43" s="405" t="str">
        <f t="shared" si="37"/>
        <v>2. Medium</v>
      </c>
      <c r="N43" s="516" t="s">
        <v>235</v>
      </c>
      <c r="O43" s="530" t="s">
        <v>235</v>
      </c>
      <c r="P43" s="439" t="str">
        <f t="shared" si="20"/>
        <v>Covered</v>
      </c>
      <c r="Q43" s="531">
        <v>42369</v>
      </c>
      <c r="R43" s="532"/>
      <c r="S43" s="531"/>
      <c r="T43" s="516" t="s">
        <v>260</v>
      </c>
      <c r="U43" s="436" t="str">
        <f t="shared" si="21"/>
        <v>Documented</v>
      </c>
      <c r="V43" s="542">
        <v>0</v>
      </c>
      <c r="W43" s="515">
        <v>0</v>
      </c>
      <c r="X43" s="543" t="s">
        <v>19</v>
      </c>
      <c r="Y43" s="542">
        <v>1</v>
      </c>
      <c r="Z43" s="550">
        <v>3</v>
      </c>
      <c r="AA43" s="551">
        <v>3000</v>
      </c>
      <c r="AB43" s="556">
        <v>0</v>
      </c>
      <c r="AC43" s="557">
        <v>1</v>
      </c>
      <c r="AD43" s="443">
        <f t="shared" si="1"/>
        <v>1</v>
      </c>
      <c r="AE43" s="407">
        <f t="shared" si="22"/>
        <v>468</v>
      </c>
      <c r="AF43" s="408">
        <f t="shared" si="38"/>
        <v>1</v>
      </c>
      <c r="AG43" s="409">
        <f t="shared" si="23"/>
        <v>468</v>
      </c>
      <c r="AH43" s="406">
        <f t="shared" si="39"/>
        <v>1</v>
      </c>
      <c r="AI43" s="409">
        <f t="shared" si="24"/>
        <v>468</v>
      </c>
      <c r="AJ43" s="410" t="str">
        <f t="shared" si="40"/>
        <v>80-100%</v>
      </c>
      <c r="AK43" s="406">
        <f t="shared" si="41"/>
        <v>0</v>
      </c>
      <c r="AL43" s="411">
        <f t="shared" si="42"/>
        <v>0</v>
      </c>
      <c r="AM43" s="409">
        <f t="shared" si="43"/>
        <v>0</v>
      </c>
      <c r="AN43" s="409">
        <f t="shared" si="44"/>
        <v>106</v>
      </c>
      <c r="AO43" s="409">
        <f t="shared" si="25"/>
        <v>0</v>
      </c>
      <c r="AP43" s="566">
        <v>1</v>
      </c>
      <c r="AQ43" s="567">
        <f t="shared" si="26"/>
        <v>468</v>
      </c>
      <c r="AR43" s="551" t="s">
        <v>770</v>
      </c>
      <c r="AS43" s="552">
        <v>27</v>
      </c>
      <c r="AT43" s="515">
        <v>0</v>
      </c>
      <c r="AU43" s="515">
        <v>20</v>
      </c>
      <c r="AV43" s="515" t="s">
        <v>298</v>
      </c>
      <c r="AW43" s="412">
        <f t="shared" si="45"/>
        <v>0.85470085470085466</v>
      </c>
      <c r="AX43" s="409">
        <f t="shared" si="27"/>
        <v>400</v>
      </c>
      <c r="AY43" s="412">
        <f t="shared" si="46"/>
        <v>0</v>
      </c>
      <c r="AZ43" s="409">
        <f t="shared" si="28"/>
        <v>0</v>
      </c>
      <c r="BA43" s="412">
        <f t="shared" si="47"/>
        <v>0.85470085470085466</v>
      </c>
      <c r="BB43" s="409">
        <f t="shared" si="29"/>
        <v>400</v>
      </c>
      <c r="BC43" s="550">
        <v>0</v>
      </c>
      <c r="BD43" s="571">
        <v>0.85</v>
      </c>
      <c r="BE43" s="413">
        <f t="shared" si="48"/>
        <v>397.8</v>
      </c>
      <c r="BF43" s="414">
        <f t="shared" si="30"/>
        <v>3.3999999999999986</v>
      </c>
      <c r="BG43" s="550">
        <v>1</v>
      </c>
      <c r="BH43" s="550" t="s">
        <v>91</v>
      </c>
      <c r="BI43" s="412">
        <f t="shared" si="31"/>
        <v>0.21367521367521367</v>
      </c>
      <c r="BJ43" s="409">
        <f t="shared" si="32"/>
        <v>100</v>
      </c>
      <c r="BK43" s="414">
        <f t="shared" si="33"/>
        <v>3.6799999999999997</v>
      </c>
      <c r="BL43" s="566">
        <v>0.21</v>
      </c>
      <c r="BM43" s="409">
        <f t="shared" si="34"/>
        <v>98.28</v>
      </c>
      <c r="BN43" s="550">
        <v>4</v>
      </c>
      <c r="BO43" s="412">
        <f t="shared" si="49"/>
        <v>0.85470085470085466</v>
      </c>
      <c r="BP43" s="414">
        <f t="shared" si="50"/>
        <v>0.67999999999999972</v>
      </c>
      <c r="BQ43" s="557">
        <v>0.85</v>
      </c>
      <c r="BR43" s="589" t="s">
        <v>776</v>
      </c>
      <c r="BS43" s="593">
        <v>41781</v>
      </c>
      <c r="BT43" s="415" t="str">
        <f t="shared" si="15"/>
        <v>To be realised</v>
      </c>
      <c r="BU43" s="515">
        <v>106</v>
      </c>
      <c r="BV43" s="515">
        <v>2</v>
      </c>
      <c r="BW43" s="416">
        <f t="shared" si="16"/>
        <v>106</v>
      </c>
      <c r="BX43" s="417">
        <f t="shared" si="51"/>
        <v>0</v>
      </c>
      <c r="BY43" s="409">
        <f t="shared" si="52"/>
        <v>0</v>
      </c>
      <c r="BZ43" s="446">
        <f t="shared" si="19"/>
        <v>9</v>
      </c>
      <c r="CA43" s="542"/>
      <c r="CB43" s="557">
        <v>0</v>
      </c>
      <c r="CC43" s="451">
        <f t="shared" si="35"/>
        <v>0</v>
      </c>
      <c r="CD43" s="542">
        <v>0</v>
      </c>
      <c r="CE43" s="418" t="str">
        <f t="shared" si="36"/>
        <v>No coverage</v>
      </c>
      <c r="CF43" s="550">
        <v>0</v>
      </c>
      <c r="CG43" s="551" t="s">
        <v>301</v>
      </c>
      <c r="CH43" s="602"/>
    </row>
    <row r="44" spans="2:86" s="40" customFormat="1" ht="30.75" customHeight="1" x14ac:dyDescent="0.2">
      <c r="B44" s="512" t="s">
        <v>135</v>
      </c>
      <c r="C44" s="513" t="s">
        <v>515</v>
      </c>
      <c r="D44" s="514" t="s">
        <v>265</v>
      </c>
      <c r="E44" s="513" t="s">
        <v>141</v>
      </c>
      <c r="F44" s="514">
        <v>97.405120999999994</v>
      </c>
      <c r="G44" s="514">
        <v>25.365891000000001</v>
      </c>
      <c r="H44" s="514" t="s">
        <v>467</v>
      </c>
      <c r="I44" s="514" t="s">
        <v>218</v>
      </c>
      <c r="J44" s="515">
        <v>44</v>
      </c>
      <c r="K44" s="515">
        <v>180</v>
      </c>
      <c r="L44" s="515">
        <v>180</v>
      </c>
      <c r="M44" s="405" t="str">
        <f t="shared" si="37"/>
        <v>1. Small</v>
      </c>
      <c r="N44" s="516" t="s">
        <v>239</v>
      </c>
      <c r="O44" s="530" t="s">
        <v>239</v>
      </c>
      <c r="P44" s="439" t="str">
        <f t="shared" si="20"/>
        <v>Covered</v>
      </c>
      <c r="Q44" s="531">
        <v>42185</v>
      </c>
      <c r="R44" s="532" t="s">
        <v>240</v>
      </c>
      <c r="S44" s="531">
        <v>42185</v>
      </c>
      <c r="T44" s="516" t="s">
        <v>260</v>
      </c>
      <c r="U44" s="436" t="str">
        <f t="shared" si="21"/>
        <v>Documented</v>
      </c>
      <c r="V44" s="542">
        <v>0</v>
      </c>
      <c r="W44" s="515">
        <v>0</v>
      </c>
      <c r="X44" s="543" t="s">
        <v>19</v>
      </c>
      <c r="Y44" s="542">
        <v>1</v>
      </c>
      <c r="Z44" s="550">
        <v>1</v>
      </c>
      <c r="AA44" s="551">
        <v>0</v>
      </c>
      <c r="AB44" s="556">
        <v>0</v>
      </c>
      <c r="AC44" s="557">
        <v>1</v>
      </c>
      <c r="AD44" s="443">
        <f t="shared" si="1"/>
        <v>1</v>
      </c>
      <c r="AE44" s="407">
        <f t="shared" si="22"/>
        <v>180</v>
      </c>
      <c r="AF44" s="408">
        <f t="shared" si="38"/>
        <v>1</v>
      </c>
      <c r="AG44" s="409">
        <f t="shared" si="23"/>
        <v>180</v>
      </c>
      <c r="AH44" s="406">
        <f t="shared" si="39"/>
        <v>1</v>
      </c>
      <c r="AI44" s="409">
        <f t="shared" si="24"/>
        <v>180</v>
      </c>
      <c r="AJ44" s="410" t="str">
        <f t="shared" si="40"/>
        <v>80-100%</v>
      </c>
      <c r="AK44" s="406">
        <f t="shared" si="41"/>
        <v>0</v>
      </c>
      <c r="AL44" s="411">
        <f t="shared" si="42"/>
        <v>0</v>
      </c>
      <c r="AM44" s="409">
        <f t="shared" si="43"/>
        <v>0</v>
      </c>
      <c r="AN44" s="409">
        <f t="shared" si="44"/>
        <v>44</v>
      </c>
      <c r="AO44" s="409">
        <f t="shared" si="25"/>
        <v>0</v>
      </c>
      <c r="AP44" s="566">
        <v>1</v>
      </c>
      <c r="AQ44" s="567">
        <f t="shared" si="26"/>
        <v>180</v>
      </c>
      <c r="AR44" s="551"/>
      <c r="AS44" s="552">
        <v>0</v>
      </c>
      <c r="AT44" s="515">
        <v>0</v>
      </c>
      <c r="AU44" s="515">
        <v>8</v>
      </c>
      <c r="AV44" s="515" t="s">
        <v>298</v>
      </c>
      <c r="AW44" s="412">
        <f t="shared" si="45"/>
        <v>0.88888888888888884</v>
      </c>
      <c r="AX44" s="409">
        <f t="shared" si="27"/>
        <v>160</v>
      </c>
      <c r="AY44" s="412">
        <f t="shared" si="46"/>
        <v>0</v>
      </c>
      <c r="AZ44" s="409">
        <f t="shared" si="28"/>
        <v>0</v>
      </c>
      <c r="BA44" s="412">
        <f t="shared" si="47"/>
        <v>0.88888888888888884</v>
      </c>
      <c r="BB44" s="409">
        <f t="shared" si="29"/>
        <v>160</v>
      </c>
      <c r="BC44" s="550">
        <v>0</v>
      </c>
      <c r="BD44" s="571">
        <v>0.89</v>
      </c>
      <c r="BE44" s="413">
        <f t="shared" si="48"/>
        <v>160.19999999999999</v>
      </c>
      <c r="BF44" s="414">
        <f t="shared" si="30"/>
        <v>1</v>
      </c>
      <c r="BG44" s="550">
        <v>2</v>
      </c>
      <c r="BH44" s="550" t="s">
        <v>91</v>
      </c>
      <c r="BI44" s="412">
        <f t="shared" si="31"/>
        <v>1</v>
      </c>
      <c r="BJ44" s="409">
        <f t="shared" si="32"/>
        <v>180</v>
      </c>
      <c r="BK44" s="414">
        <f t="shared" si="33"/>
        <v>0</v>
      </c>
      <c r="BL44" s="566">
        <v>1</v>
      </c>
      <c r="BM44" s="409">
        <f t="shared" si="34"/>
        <v>180</v>
      </c>
      <c r="BN44" s="550">
        <v>3</v>
      </c>
      <c r="BO44" s="412">
        <f t="shared" si="49"/>
        <v>1</v>
      </c>
      <c r="BP44" s="414">
        <f t="shared" si="50"/>
        <v>0</v>
      </c>
      <c r="BQ44" s="557">
        <v>1</v>
      </c>
      <c r="BR44" s="589" t="s">
        <v>748</v>
      </c>
      <c r="BS44" s="593">
        <v>42053</v>
      </c>
      <c r="BT44" s="415">
        <f t="shared" si="15"/>
        <v>42418</v>
      </c>
      <c r="BU44" s="515">
        <v>44</v>
      </c>
      <c r="BV44" s="515">
        <v>3</v>
      </c>
      <c r="BW44" s="416">
        <f t="shared" si="16"/>
        <v>0</v>
      </c>
      <c r="BX44" s="417">
        <f t="shared" si="51"/>
        <v>1</v>
      </c>
      <c r="BY44" s="409">
        <f t="shared" si="52"/>
        <v>180</v>
      </c>
      <c r="BZ44" s="446">
        <f t="shared" si="19"/>
        <v>0</v>
      </c>
      <c r="CA44" s="542"/>
      <c r="CB44" s="557">
        <v>0.8</v>
      </c>
      <c r="CC44" s="451">
        <f t="shared" si="35"/>
        <v>144</v>
      </c>
      <c r="CD44" s="542">
        <v>1</v>
      </c>
      <c r="CE44" s="418" t="str">
        <f t="shared" si="36"/>
        <v>Excellent coverage</v>
      </c>
      <c r="CF44" s="550">
        <v>0</v>
      </c>
      <c r="CG44" s="551" t="s">
        <v>301</v>
      </c>
      <c r="CH44" s="602"/>
    </row>
    <row r="45" spans="2:86" s="40" customFormat="1" ht="30.75" customHeight="1" x14ac:dyDescent="0.2">
      <c r="B45" s="512" t="s">
        <v>135</v>
      </c>
      <c r="C45" s="513" t="s">
        <v>728</v>
      </c>
      <c r="D45" s="514" t="s">
        <v>265</v>
      </c>
      <c r="E45" s="513" t="s">
        <v>200</v>
      </c>
      <c r="F45" s="514" t="s">
        <v>491</v>
      </c>
      <c r="G45" s="514" t="s">
        <v>491</v>
      </c>
      <c r="H45" s="514" t="s">
        <v>467</v>
      </c>
      <c r="I45" s="514" t="s">
        <v>226</v>
      </c>
      <c r="J45" s="515">
        <v>19</v>
      </c>
      <c r="K45" s="515">
        <v>68</v>
      </c>
      <c r="L45" s="515">
        <v>68</v>
      </c>
      <c r="M45" s="405" t="str">
        <f t="shared" si="37"/>
        <v>1. Small</v>
      </c>
      <c r="N45" s="516"/>
      <c r="O45" s="530" t="s">
        <v>235</v>
      </c>
      <c r="P45" s="439" t="str">
        <f t="shared" si="20"/>
        <v>Covered</v>
      </c>
      <c r="Q45" s="531">
        <v>42369</v>
      </c>
      <c r="R45" s="532"/>
      <c r="S45" s="531"/>
      <c r="T45" s="516" t="s">
        <v>260</v>
      </c>
      <c r="U45" s="436" t="str">
        <f t="shared" si="21"/>
        <v>Documented</v>
      </c>
      <c r="V45" s="542">
        <v>0</v>
      </c>
      <c r="W45" s="515">
        <v>0</v>
      </c>
      <c r="X45" s="543" t="s">
        <v>19</v>
      </c>
      <c r="Y45" s="542">
        <v>0</v>
      </c>
      <c r="Z45" s="550">
        <v>0</v>
      </c>
      <c r="AA45" s="551">
        <v>1500</v>
      </c>
      <c r="AB45" s="556">
        <v>0</v>
      </c>
      <c r="AC45" s="557">
        <v>0</v>
      </c>
      <c r="AD45" s="443">
        <f t="shared" si="1"/>
        <v>1</v>
      </c>
      <c r="AE45" s="407">
        <f t="shared" si="22"/>
        <v>68</v>
      </c>
      <c r="AF45" s="408">
        <f t="shared" si="38"/>
        <v>1</v>
      </c>
      <c r="AG45" s="409">
        <f t="shared" si="23"/>
        <v>68</v>
      </c>
      <c r="AH45" s="406">
        <f t="shared" si="39"/>
        <v>1</v>
      </c>
      <c r="AI45" s="409">
        <f t="shared" si="24"/>
        <v>68</v>
      </c>
      <c r="AJ45" s="410" t="str">
        <f t="shared" si="40"/>
        <v>80-100%</v>
      </c>
      <c r="AK45" s="406">
        <f t="shared" si="41"/>
        <v>0</v>
      </c>
      <c r="AL45" s="411">
        <f t="shared" si="42"/>
        <v>0</v>
      </c>
      <c r="AM45" s="409">
        <f t="shared" si="43"/>
        <v>0.17</v>
      </c>
      <c r="AN45" s="409">
        <f t="shared" si="44"/>
        <v>0</v>
      </c>
      <c r="AO45" s="409">
        <f t="shared" si="25"/>
        <v>0</v>
      </c>
      <c r="AP45" s="566">
        <v>1</v>
      </c>
      <c r="AQ45" s="567">
        <f t="shared" si="26"/>
        <v>68</v>
      </c>
      <c r="AR45" s="551" t="s">
        <v>841</v>
      </c>
      <c r="AS45" s="552">
        <v>0</v>
      </c>
      <c r="AT45" s="515">
        <v>0</v>
      </c>
      <c r="AU45" s="515">
        <v>3</v>
      </c>
      <c r="AV45" s="515" t="s">
        <v>91</v>
      </c>
      <c r="AW45" s="412">
        <f t="shared" si="45"/>
        <v>0.88235294117647056</v>
      </c>
      <c r="AX45" s="409">
        <f t="shared" si="27"/>
        <v>60</v>
      </c>
      <c r="AY45" s="412">
        <f t="shared" si="46"/>
        <v>0</v>
      </c>
      <c r="AZ45" s="409">
        <f t="shared" si="28"/>
        <v>0</v>
      </c>
      <c r="BA45" s="412">
        <f t="shared" si="47"/>
        <v>0.88235294117647056</v>
      </c>
      <c r="BB45" s="409">
        <f t="shared" si="29"/>
        <v>60</v>
      </c>
      <c r="BC45" s="550">
        <v>0</v>
      </c>
      <c r="BD45" s="571">
        <v>0.88</v>
      </c>
      <c r="BE45" s="413">
        <f t="shared" si="48"/>
        <v>59.84</v>
      </c>
      <c r="BF45" s="414">
        <f t="shared" si="30"/>
        <v>0.39999999999999991</v>
      </c>
      <c r="BG45" s="550">
        <v>0</v>
      </c>
      <c r="BH45" s="550" t="s">
        <v>91</v>
      </c>
      <c r="BI45" s="412">
        <f t="shared" si="31"/>
        <v>0</v>
      </c>
      <c r="BJ45" s="409">
        <f t="shared" si="32"/>
        <v>0</v>
      </c>
      <c r="BK45" s="414">
        <f t="shared" si="33"/>
        <v>0.68</v>
      </c>
      <c r="BL45" s="566">
        <v>0</v>
      </c>
      <c r="BM45" s="409">
        <f t="shared" si="34"/>
        <v>0</v>
      </c>
      <c r="BN45" s="550">
        <v>0</v>
      </c>
      <c r="BO45" s="412">
        <f t="shared" si="49"/>
        <v>0</v>
      </c>
      <c r="BP45" s="414">
        <f t="shared" si="50"/>
        <v>0.68</v>
      </c>
      <c r="BQ45" s="557">
        <v>0</v>
      </c>
      <c r="BR45" s="589" t="s">
        <v>854</v>
      </c>
      <c r="BS45" s="593"/>
      <c r="BT45" s="415" t="str">
        <f t="shared" si="15"/>
        <v>To be realised</v>
      </c>
      <c r="BU45" s="515">
        <v>0</v>
      </c>
      <c r="BV45" s="515">
        <v>0</v>
      </c>
      <c r="BW45" s="416">
        <f t="shared" si="16"/>
        <v>19</v>
      </c>
      <c r="BX45" s="417">
        <f t="shared" si="51"/>
        <v>0</v>
      </c>
      <c r="BY45" s="409">
        <f t="shared" si="52"/>
        <v>0</v>
      </c>
      <c r="BZ45" s="446" t="str">
        <f t="shared" si="19"/>
        <v>Column BN to be completed</v>
      </c>
      <c r="CA45" s="542"/>
      <c r="CB45" s="557">
        <v>0</v>
      </c>
      <c r="CC45" s="451">
        <f t="shared" si="35"/>
        <v>0</v>
      </c>
      <c r="CD45" s="542">
        <v>0</v>
      </c>
      <c r="CE45" s="418" t="str">
        <f t="shared" si="36"/>
        <v>No coverage</v>
      </c>
      <c r="CF45" s="550">
        <v>0</v>
      </c>
      <c r="CG45" s="551" t="s">
        <v>302</v>
      </c>
      <c r="CH45" s="602"/>
    </row>
    <row r="46" spans="2:86" s="40" customFormat="1" ht="30.75" customHeight="1" x14ac:dyDescent="0.2">
      <c r="B46" s="512" t="s">
        <v>135</v>
      </c>
      <c r="C46" s="513" t="s">
        <v>517</v>
      </c>
      <c r="D46" s="514" t="s">
        <v>265</v>
      </c>
      <c r="E46" s="513" t="s">
        <v>142</v>
      </c>
      <c r="F46" s="514">
        <v>97.409317000000001</v>
      </c>
      <c r="G46" s="514">
        <v>25.362189999999998</v>
      </c>
      <c r="H46" s="514" t="s">
        <v>467</v>
      </c>
      <c r="I46" s="514" t="s">
        <v>218</v>
      </c>
      <c r="J46" s="515">
        <v>105</v>
      </c>
      <c r="K46" s="515">
        <v>563</v>
      </c>
      <c r="L46" s="515">
        <v>328</v>
      </c>
      <c r="M46" s="405" t="str">
        <f t="shared" si="37"/>
        <v>2. Medium</v>
      </c>
      <c r="N46" s="516" t="s">
        <v>239</v>
      </c>
      <c r="O46" s="530" t="s">
        <v>239</v>
      </c>
      <c r="P46" s="439" t="str">
        <f t="shared" si="20"/>
        <v>Covered</v>
      </c>
      <c r="Q46" s="531">
        <v>42185</v>
      </c>
      <c r="R46" s="532" t="s">
        <v>240</v>
      </c>
      <c r="S46" s="531">
        <v>42185</v>
      </c>
      <c r="T46" s="516" t="s">
        <v>260</v>
      </c>
      <c r="U46" s="436" t="str">
        <f t="shared" si="21"/>
        <v>Documented</v>
      </c>
      <c r="V46" s="542">
        <v>0</v>
      </c>
      <c r="W46" s="515">
        <v>0</v>
      </c>
      <c r="X46" s="543" t="s">
        <v>19</v>
      </c>
      <c r="Y46" s="542">
        <v>1</v>
      </c>
      <c r="Z46" s="550">
        <v>0</v>
      </c>
      <c r="AA46" s="551">
        <v>0</v>
      </c>
      <c r="AB46" s="556">
        <v>0</v>
      </c>
      <c r="AC46" s="557">
        <v>1</v>
      </c>
      <c r="AD46" s="443">
        <f t="shared" si="1"/>
        <v>1</v>
      </c>
      <c r="AE46" s="407">
        <f t="shared" si="22"/>
        <v>328</v>
      </c>
      <c r="AF46" s="408">
        <f t="shared" si="38"/>
        <v>1</v>
      </c>
      <c r="AG46" s="409">
        <f t="shared" si="23"/>
        <v>328</v>
      </c>
      <c r="AH46" s="406">
        <f t="shared" si="39"/>
        <v>1</v>
      </c>
      <c r="AI46" s="409">
        <f t="shared" si="24"/>
        <v>328</v>
      </c>
      <c r="AJ46" s="410" t="str">
        <f t="shared" si="40"/>
        <v>80-100%</v>
      </c>
      <c r="AK46" s="406">
        <f t="shared" si="41"/>
        <v>0</v>
      </c>
      <c r="AL46" s="411">
        <f t="shared" si="42"/>
        <v>0</v>
      </c>
      <c r="AM46" s="409">
        <f t="shared" si="43"/>
        <v>0</v>
      </c>
      <c r="AN46" s="409">
        <f t="shared" si="44"/>
        <v>105</v>
      </c>
      <c r="AO46" s="409">
        <f t="shared" si="25"/>
        <v>0</v>
      </c>
      <c r="AP46" s="566">
        <v>1</v>
      </c>
      <c r="AQ46" s="567">
        <f t="shared" si="26"/>
        <v>328</v>
      </c>
      <c r="AR46" s="551"/>
      <c r="AS46" s="552">
        <v>0</v>
      </c>
      <c r="AT46" s="515">
        <v>0</v>
      </c>
      <c r="AU46" s="515">
        <v>10</v>
      </c>
      <c r="AV46" s="515" t="s">
        <v>298</v>
      </c>
      <c r="AW46" s="412">
        <f t="shared" si="45"/>
        <v>0.6097560975609756</v>
      </c>
      <c r="AX46" s="409">
        <f t="shared" si="27"/>
        <v>200</v>
      </c>
      <c r="AY46" s="412">
        <f t="shared" si="46"/>
        <v>0</v>
      </c>
      <c r="AZ46" s="409">
        <f t="shared" si="28"/>
        <v>0</v>
      </c>
      <c r="BA46" s="412">
        <f t="shared" si="47"/>
        <v>0.6097560975609756</v>
      </c>
      <c r="BB46" s="409">
        <f t="shared" si="29"/>
        <v>200</v>
      </c>
      <c r="BC46" s="550">
        <v>0</v>
      </c>
      <c r="BD46" s="571">
        <v>0.61</v>
      </c>
      <c r="BE46" s="413">
        <f t="shared" si="48"/>
        <v>200.07999999999998</v>
      </c>
      <c r="BF46" s="414">
        <f t="shared" si="30"/>
        <v>6.3999999999999986</v>
      </c>
      <c r="BG46" s="550">
        <v>1</v>
      </c>
      <c r="BH46" s="550" t="s">
        <v>91</v>
      </c>
      <c r="BI46" s="412">
        <f t="shared" si="31"/>
        <v>0.3048780487804878</v>
      </c>
      <c r="BJ46" s="409">
        <f t="shared" si="32"/>
        <v>100</v>
      </c>
      <c r="BK46" s="414">
        <f t="shared" si="33"/>
        <v>4.63</v>
      </c>
      <c r="BL46" s="566">
        <v>0.3</v>
      </c>
      <c r="BM46" s="409">
        <f t="shared" si="34"/>
        <v>98.399999999999991</v>
      </c>
      <c r="BN46" s="550">
        <v>3</v>
      </c>
      <c r="BO46" s="412">
        <f t="shared" si="49"/>
        <v>0.91463414634146345</v>
      </c>
      <c r="BP46" s="414">
        <f t="shared" si="50"/>
        <v>2.63</v>
      </c>
      <c r="BQ46" s="557">
        <v>0.91</v>
      </c>
      <c r="BR46" s="589" t="s">
        <v>826</v>
      </c>
      <c r="BS46" s="593">
        <v>42053</v>
      </c>
      <c r="BT46" s="415">
        <f t="shared" si="15"/>
        <v>42418</v>
      </c>
      <c r="BU46" s="515">
        <v>105</v>
      </c>
      <c r="BV46" s="515">
        <v>3</v>
      </c>
      <c r="BW46" s="416">
        <f t="shared" si="16"/>
        <v>0</v>
      </c>
      <c r="BX46" s="417">
        <f t="shared" si="51"/>
        <v>1</v>
      </c>
      <c r="BY46" s="409">
        <f t="shared" si="52"/>
        <v>328</v>
      </c>
      <c r="BZ46" s="446">
        <f t="shared" si="19"/>
        <v>0</v>
      </c>
      <c r="CA46" s="542"/>
      <c r="CB46" s="557">
        <v>0.8</v>
      </c>
      <c r="CC46" s="451">
        <f t="shared" si="35"/>
        <v>262.40000000000003</v>
      </c>
      <c r="CD46" s="542">
        <v>1</v>
      </c>
      <c r="CE46" s="418" t="str">
        <f t="shared" si="36"/>
        <v>Excellent coverage</v>
      </c>
      <c r="CF46" s="550">
        <v>3</v>
      </c>
      <c r="CG46" s="551" t="s">
        <v>301</v>
      </c>
      <c r="CH46" s="602"/>
    </row>
    <row r="47" spans="2:86" s="40" customFormat="1" ht="30.75" customHeight="1" x14ac:dyDescent="0.2">
      <c r="B47" s="512" t="s">
        <v>135</v>
      </c>
      <c r="C47" s="513" t="s">
        <v>516</v>
      </c>
      <c r="D47" s="514" t="s">
        <v>265</v>
      </c>
      <c r="E47" s="513" t="s">
        <v>143</v>
      </c>
      <c r="F47" s="514">
        <v>97.408919999999995</v>
      </c>
      <c r="G47" s="514">
        <v>25.355983999999999</v>
      </c>
      <c r="H47" s="514" t="s">
        <v>467</v>
      </c>
      <c r="I47" s="514" t="s">
        <v>218</v>
      </c>
      <c r="J47" s="515">
        <v>143</v>
      </c>
      <c r="K47" s="515">
        <v>717</v>
      </c>
      <c r="L47" s="515">
        <v>462</v>
      </c>
      <c r="M47" s="405" t="str">
        <f t="shared" si="37"/>
        <v>2. Medium</v>
      </c>
      <c r="N47" s="516" t="s">
        <v>239</v>
      </c>
      <c r="O47" s="530" t="s">
        <v>239</v>
      </c>
      <c r="P47" s="439" t="str">
        <f t="shared" si="20"/>
        <v>Covered</v>
      </c>
      <c r="Q47" s="531">
        <v>42185</v>
      </c>
      <c r="R47" s="532" t="s">
        <v>240</v>
      </c>
      <c r="S47" s="531">
        <v>42185</v>
      </c>
      <c r="T47" s="516" t="s">
        <v>260</v>
      </c>
      <c r="U47" s="436" t="str">
        <f t="shared" si="21"/>
        <v>Documented</v>
      </c>
      <c r="V47" s="542">
        <v>0</v>
      </c>
      <c r="W47" s="515">
        <v>0</v>
      </c>
      <c r="X47" s="543" t="s">
        <v>19</v>
      </c>
      <c r="Y47" s="542">
        <v>0</v>
      </c>
      <c r="Z47" s="550">
        <v>3</v>
      </c>
      <c r="AA47" s="551">
        <v>5600</v>
      </c>
      <c r="AB47" s="556">
        <v>0</v>
      </c>
      <c r="AC47" s="557">
        <v>1</v>
      </c>
      <c r="AD47" s="443">
        <f t="shared" si="1"/>
        <v>1</v>
      </c>
      <c r="AE47" s="407">
        <f t="shared" si="22"/>
        <v>462</v>
      </c>
      <c r="AF47" s="408">
        <f t="shared" si="38"/>
        <v>1</v>
      </c>
      <c r="AG47" s="409">
        <f t="shared" si="23"/>
        <v>462</v>
      </c>
      <c r="AH47" s="406">
        <f t="shared" si="39"/>
        <v>1</v>
      </c>
      <c r="AI47" s="409">
        <f t="shared" si="24"/>
        <v>462</v>
      </c>
      <c r="AJ47" s="410" t="str">
        <f t="shared" si="40"/>
        <v>80-100%</v>
      </c>
      <c r="AK47" s="406">
        <f t="shared" si="41"/>
        <v>0</v>
      </c>
      <c r="AL47" s="411">
        <f t="shared" si="42"/>
        <v>0</v>
      </c>
      <c r="AM47" s="409">
        <f t="shared" si="43"/>
        <v>0</v>
      </c>
      <c r="AN47" s="409">
        <f t="shared" si="44"/>
        <v>143</v>
      </c>
      <c r="AO47" s="409">
        <f t="shared" si="25"/>
        <v>0</v>
      </c>
      <c r="AP47" s="566">
        <v>1</v>
      </c>
      <c r="AQ47" s="567">
        <f t="shared" si="26"/>
        <v>462</v>
      </c>
      <c r="AR47" s="551"/>
      <c r="AS47" s="552">
        <v>0</v>
      </c>
      <c r="AT47" s="515">
        <v>0</v>
      </c>
      <c r="AU47" s="515">
        <v>34</v>
      </c>
      <c r="AV47" s="515" t="s">
        <v>298</v>
      </c>
      <c r="AW47" s="412">
        <f t="shared" si="45"/>
        <v>1</v>
      </c>
      <c r="AX47" s="409">
        <f t="shared" si="27"/>
        <v>462</v>
      </c>
      <c r="AY47" s="412">
        <f t="shared" si="46"/>
        <v>0</v>
      </c>
      <c r="AZ47" s="409">
        <f t="shared" si="28"/>
        <v>0</v>
      </c>
      <c r="BA47" s="412">
        <f t="shared" si="47"/>
        <v>1</v>
      </c>
      <c r="BB47" s="409">
        <f t="shared" si="29"/>
        <v>462</v>
      </c>
      <c r="BC47" s="550">
        <v>0</v>
      </c>
      <c r="BD47" s="571">
        <v>1</v>
      </c>
      <c r="BE47" s="413">
        <f t="shared" si="48"/>
        <v>462</v>
      </c>
      <c r="BF47" s="414">
        <f t="shared" si="30"/>
        <v>0</v>
      </c>
      <c r="BG47" s="515">
        <v>3</v>
      </c>
      <c r="BH47" s="550" t="s">
        <v>299</v>
      </c>
      <c r="BI47" s="412">
        <f t="shared" si="31"/>
        <v>0.64935064935064934</v>
      </c>
      <c r="BJ47" s="409">
        <f t="shared" si="32"/>
        <v>300</v>
      </c>
      <c r="BK47" s="414">
        <f t="shared" si="33"/>
        <v>4.17</v>
      </c>
      <c r="BL47" s="566">
        <v>0.42</v>
      </c>
      <c r="BM47" s="409">
        <f t="shared" si="34"/>
        <v>194.04</v>
      </c>
      <c r="BN47" s="550">
        <v>9</v>
      </c>
      <c r="BO47" s="412">
        <f t="shared" si="49"/>
        <v>1</v>
      </c>
      <c r="BP47" s="414">
        <f t="shared" si="50"/>
        <v>0</v>
      </c>
      <c r="BQ47" s="557">
        <v>1</v>
      </c>
      <c r="BR47" s="589" t="s">
        <v>671</v>
      </c>
      <c r="BS47" s="593">
        <v>42053</v>
      </c>
      <c r="BT47" s="415">
        <f t="shared" si="15"/>
        <v>42418</v>
      </c>
      <c r="BU47" s="515">
        <v>143</v>
      </c>
      <c r="BV47" s="515">
        <v>3</v>
      </c>
      <c r="BW47" s="416">
        <f t="shared" si="16"/>
        <v>0</v>
      </c>
      <c r="BX47" s="417">
        <f t="shared" si="51"/>
        <v>1</v>
      </c>
      <c r="BY47" s="409">
        <f t="shared" si="52"/>
        <v>462</v>
      </c>
      <c r="BZ47" s="446">
        <f t="shared" si="19"/>
        <v>0</v>
      </c>
      <c r="CA47" s="542"/>
      <c r="CB47" s="557">
        <v>0.8</v>
      </c>
      <c r="CC47" s="451">
        <f t="shared" si="35"/>
        <v>369.6</v>
      </c>
      <c r="CD47" s="542">
        <v>2</v>
      </c>
      <c r="CE47" s="418" t="str">
        <f t="shared" si="36"/>
        <v>Excellent coverage</v>
      </c>
      <c r="CF47" s="550">
        <v>0</v>
      </c>
      <c r="CG47" s="551" t="s">
        <v>301</v>
      </c>
      <c r="CH47" s="602"/>
    </row>
    <row r="48" spans="2:86" s="40" customFormat="1" ht="30.75" customHeight="1" x14ac:dyDescent="0.2">
      <c r="B48" s="512" t="s">
        <v>135</v>
      </c>
      <c r="C48" s="513" t="s">
        <v>518</v>
      </c>
      <c r="D48" s="514" t="s">
        <v>265</v>
      </c>
      <c r="E48" s="513" t="s">
        <v>144</v>
      </c>
      <c r="F48" s="514">
        <v>97.411606000000006</v>
      </c>
      <c r="G48" s="514">
        <v>25.360475999999998</v>
      </c>
      <c r="H48" s="514" t="s">
        <v>467</v>
      </c>
      <c r="I48" s="514" t="s">
        <v>218</v>
      </c>
      <c r="J48" s="515">
        <v>71</v>
      </c>
      <c r="K48" s="515">
        <v>319</v>
      </c>
      <c r="L48" s="515">
        <v>319</v>
      </c>
      <c r="M48" s="405" t="str">
        <f t="shared" si="37"/>
        <v>2. Medium</v>
      </c>
      <c r="N48" s="516" t="s">
        <v>239</v>
      </c>
      <c r="O48" s="530" t="s">
        <v>239</v>
      </c>
      <c r="P48" s="439" t="str">
        <f t="shared" si="20"/>
        <v>Covered</v>
      </c>
      <c r="Q48" s="531">
        <v>42185</v>
      </c>
      <c r="R48" s="532" t="s">
        <v>240</v>
      </c>
      <c r="S48" s="531">
        <v>42185</v>
      </c>
      <c r="T48" s="516" t="s">
        <v>260</v>
      </c>
      <c r="U48" s="436" t="str">
        <f t="shared" si="21"/>
        <v>Documented</v>
      </c>
      <c r="V48" s="542">
        <v>0</v>
      </c>
      <c r="W48" s="515">
        <v>0</v>
      </c>
      <c r="X48" s="543" t="s">
        <v>19</v>
      </c>
      <c r="Y48" s="542">
        <v>1</v>
      </c>
      <c r="Z48" s="550">
        <v>1</v>
      </c>
      <c r="AA48" s="551">
        <v>1600</v>
      </c>
      <c r="AB48" s="556">
        <v>0</v>
      </c>
      <c r="AC48" s="557">
        <v>1</v>
      </c>
      <c r="AD48" s="443">
        <f t="shared" si="1"/>
        <v>1</v>
      </c>
      <c r="AE48" s="407">
        <f t="shared" si="22"/>
        <v>319</v>
      </c>
      <c r="AF48" s="408">
        <f t="shared" si="38"/>
        <v>1</v>
      </c>
      <c r="AG48" s="409">
        <f t="shared" si="23"/>
        <v>319</v>
      </c>
      <c r="AH48" s="406">
        <f t="shared" si="39"/>
        <v>1</v>
      </c>
      <c r="AI48" s="409">
        <f t="shared" si="24"/>
        <v>319</v>
      </c>
      <c r="AJ48" s="410" t="str">
        <f t="shared" si="40"/>
        <v>80-100%</v>
      </c>
      <c r="AK48" s="406">
        <f t="shared" si="41"/>
        <v>0</v>
      </c>
      <c r="AL48" s="411">
        <f t="shared" si="42"/>
        <v>0</v>
      </c>
      <c r="AM48" s="409">
        <f t="shared" si="43"/>
        <v>0</v>
      </c>
      <c r="AN48" s="409">
        <f t="shared" si="44"/>
        <v>71</v>
      </c>
      <c r="AO48" s="409">
        <f t="shared" si="25"/>
        <v>0</v>
      </c>
      <c r="AP48" s="566">
        <v>1</v>
      </c>
      <c r="AQ48" s="567">
        <f t="shared" si="26"/>
        <v>319</v>
      </c>
      <c r="AR48" s="551"/>
      <c r="AS48" s="552">
        <v>0</v>
      </c>
      <c r="AT48" s="515">
        <v>0</v>
      </c>
      <c r="AU48" s="515">
        <v>12</v>
      </c>
      <c r="AV48" s="515" t="s">
        <v>298</v>
      </c>
      <c r="AW48" s="412">
        <f t="shared" si="45"/>
        <v>0.75235109717868343</v>
      </c>
      <c r="AX48" s="409">
        <f t="shared" si="27"/>
        <v>240</v>
      </c>
      <c r="AY48" s="412">
        <f t="shared" si="46"/>
        <v>0</v>
      </c>
      <c r="AZ48" s="409">
        <f t="shared" si="28"/>
        <v>0</v>
      </c>
      <c r="BA48" s="412">
        <f t="shared" si="47"/>
        <v>0.75235109717868343</v>
      </c>
      <c r="BB48" s="409">
        <f t="shared" si="29"/>
        <v>240</v>
      </c>
      <c r="BC48" s="550">
        <v>0</v>
      </c>
      <c r="BD48" s="571">
        <v>0.75</v>
      </c>
      <c r="BE48" s="413">
        <f t="shared" si="48"/>
        <v>239.25</v>
      </c>
      <c r="BF48" s="414">
        <f t="shared" si="30"/>
        <v>3.9499999999999993</v>
      </c>
      <c r="BG48" s="550">
        <v>2</v>
      </c>
      <c r="BH48" s="550" t="s">
        <v>91</v>
      </c>
      <c r="BI48" s="412">
        <f t="shared" si="31"/>
        <v>0.62695924764890287</v>
      </c>
      <c r="BJ48" s="409">
        <f t="shared" si="32"/>
        <v>200.00000000000003</v>
      </c>
      <c r="BK48" s="414">
        <f t="shared" si="33"/>
        <v>1.19</v>
      </c>
      <c r="BL48" s="566">
        <v>0.63</v>
      </c>
      <c r="BM48" s="409">
        <f t="shared" si="34"/>
        <v>200.97</v>
      </c>
      <c r="BN48" s="550">
        <v>3</v>
      </c>
      <c r="BO48" s="412">
        <f t="shared" si="49"/>
        <v>0.94043887147335425</v>
      </c>
      <c r="BP48" s="414">
        <f t="shared" si="50"/>
        <v>0.18999999999999995</v>
      </c>
      <c r="BQ48" s="557">
        <v>0.94</v>
      </c>
      <c r="BR48" s="589" t="s">
        <v>777</v>
      </c>
      <c r="BS48" s="593">
        <v>42053</v>
      </c>
      <c r="BT48" s="415">
        <f t="shared" si="15"/>
        <v>42418</v>
      </c>
      <c r="BU48" s="515">
        <v>71</v>
      </c>
      <c r="BV48" s="515">
        <v>3</v>
      </c>
      <c r="BW48" s="416">
        <f t="shared" si="16"/>
        <v>0</v>
      </c>
      <c r="BX48" s="417">
        <f t="shared" si="51"/>
        <v>1</v>
      </c>
      <c r="BY48" s="409">
        <f t="shared" si="52"/>
        <v>319</v>
      </c>
      <c r="BZ48" s="446">
        <f t="shared" si="19"/>
        <v>0</v>
      </c>
      <c r="CA48" s="542"/>
      <c r="CB48" s="557">
        <v>0.8</v>
      </c>
      <c r="CC48" s="451">
        <f t="shared" si="35"/>
        <v>255.20000000000002</v>
      </c>
      <c r="CD48" s="542">
        <v>1</v>
      </c>
      <c r="CE48" s="418" t="str">
        <f t="shared" si="36"/>
        <v>Excellent coverage</v>
      </c>
      <c r="CF48" s="550">
        <v>2</v>
      </c>
      <c r="CG48" s="551" t="s">
        <v>301</v>
      </c>
      <c r="CH48" s="602" t="s">
        <v>781</v>
      </c>
    </row>
    <row r="49" spans="2:86" s="40" customFormat="1" ht="30.75" customHeight="1" x14ac:dyDescent="0.2">
      <c r="B49" s="512" t="s">
        <v>135</v>
      </c>
      <c r="C49" s="513" t="s">
        <v>511</v>
      </c>
      <c r="D49" s="514" t="s">
        <v>265</v>
      </c>
      <c r="E49" s="513" t="s">
        <v>145</v>
      </c>
      <c r="F49" s="514">
        <v>97.418694000000002</v>
      </c>
      <c r="G49" s="514">
        <v>25.428910999999999</v>
      </c>
      <c r="H49" s="514" t="s">
        <v>467</v>
      </c>
      <c r="I49" s="514" t="s">
        <v>218</v>
      </c>
      <c r="J49" s="515">
        <v>87</v>
      </c>
      <c r="K49" s="515">
        <v>452</v>
      </c>
      <c r="L49" s="515">
        <v>452</v>
      </c>
      <c r="M49" s="405" t="str">
        <f t="shared" si="37"/>
        <v>2. Medium</v>
      </c>
      <c r="N49" s="516" t="s">
        <v>239</v>
      </c>
      <c r="O49" s="530" t="s">
        <v>239</v>
      </c>
      <c r="P49" s="439" t="str">
        <f t="shared" si="20"/>
        <v>Covered</v>
      </c>
      <c r="Q49" s="531">
        <v>42185</v>
      </c>
      <c r="R49" s="532" t="s">
        <v>240</v>
      </c>
      <c r="S49" s="531">
        <v>42185</v>
      </c>
      <c r="T49" s="516" t="s">
        <v>260</v>
      </c>
      <c r="U49" s="436" t="str">
        <f t="shared" si="21"/>
        <v>Documented</v>
      </c>
      <c r="V49" s="542">
        <v>0</v>
      </c>
      <c r="W49" s="515">
        <v>0</v>
      </c>
      <c r="X49" s="543" t="s">
        <v>19</v>
      </c>
      <c r="Y49" s="542">
        <v>2</v>
      </c>
      <c r="Z49" s="550">
        <v>0</v>
      </c>
      <c r="AA49" s="551">
        <v>1000</v>
      </c>
      <c r="AB49" s="556">
        <v>0</v>
      </c>
      <c r="AC49" s="557">
        <v>1</v>
      </c>
      <c r="AD49" s="443">
        <f t="shared" si="1"/>
        <v>1</v>
      </c>
      <c r="AE49" s="407">
        <f t="shared" si="22"/>
        <v>452</v>
      </c>
      <c r="AF49" s="408">
        <f t="shared" si="38"/>
        <v>1</v>
      </c>
      <c r="AG49" s="409">
        <f t="shared" si="23"/>
        <v>452</v>
      </c>
      <c r="AH49" s="406">
        <f t="shared" si="39"/>
        <v>1</v>
      </c>
      <c r="AI49" s="409">
        <f t="shared" si="24"/>
        <v>452</v>
      </c>
      <c r="AJ49" s="410" t="str">
        <f t="shared" si="40"/>
        <v>80-100%</v>
      </c>
      <c r="AK49" s="406">
        <f t="shared" si="41"/>
        <v>0</v>
      </c>
      <c r="AL49" s="411">
        <f t="shared" si="42"/>
        <v>0</v>
      </c>
      <c r="AM49" s="409">
        <f t="shared" si="43"/>
        <v>0</v>
      </c>
      <c r="AN49" s="409">
        <f t="shared" si="44"/>
        <v>87</v>
      </c>
      <c r="AO49" s="409">
        <f t="shared" si="25"/>
        <v>0</v>
      </c>
      <c r="AP49" s="566">
        <v>1</v>
      </c>
      <c r="AQ49" s="567">
        <f t="shared" si="26"/>
        <v>452</v>
      </c>
      <c r="AR49" s="551"/>
      <c r="AS49" s="552">
        <v>0</v>
      </c>
      <c r="AT49" s="515">
        <v>0</v>
      </c>
      <c r="AU49" s="515">
        <v>24</v>
      </c>
      <c r="AV49" s="515" t="s">
        <v>298</v>
      </c>
      <c r="AW49" s="412">
        <f t="shared" si="45"/>
        <v>1</v>
      </c>
      <c r="AX49" s="409">
        <f t="shared" si="27"/>
        <v>452</v>
      </c>
      <c r="AY49" s="412">
        <f t="shared" si="46"/>
        <v>0</v>
      </c>
      <c r="AZ49" s="409">
        <f t="shared" si="28"/>
        <v>0</v>
      </c>
      <c r="BA49" s="412">
        <f t="shared" si="47"/>
        <v>1</v>
      </c>
      <c r="BB49" s="409">
        <f t="shared" si="29"/>
        <v>452</v>
      </c>
      <c r="BC49" s="550">
        <v>0</v>
      </c>
      <c r="BD49" s="571">
        <v>1</v>
      </c>
      <c r="BE49" s="413">
        <f t="shared" si="48"/>
        <v>452</v>
      </c>
      <c r="BF49" s="414">
        <f t="shared" si="30"/>
        <v>0</v>
      </c>
      <c r="BG49" s="550">
        <v>1</v>
      </c>
      <c r="BH49" s="550" t="s">
        <v>91</v>
      </c>
      <c r="BI49" s="412">
        <f t="shared" si="31"/>
        <v>0.22123893805309736</v>
      </c>
      <c r="BJ49" s="409">
        <f t="shared" si="32"/>
        <v>100</v>
      </c>
      <c r="BK49" s="414">
        <f t="shared" si="33"/>
        <v>3.5199999999999996</v>
      </c>
      <c r="BL49" s="566">
        <v>0.22</v>
      </c>
      <c r="BM49" s="409">
        <f t="shared" si="34"/>
        <v>99.44</v>
      </c>
      <c r="BN49" s="550">
        <v>12</v>
      </c>
      <c r="BO49" s="412">
        <f t="shared" si="49"/>
        <v>1</v>
      </c>
      <c r="BP49" s="414">
        <f t="shared" si="50"/>
        <v>0</v>
      </c>
      <c r="BQ49" s="557">
        <v>1</v>
      </c>
      <c r="BR49" s="589"/>
      <c r="BS49" s="593">
        <v>42053</v>
      </c>
      <c r="BT49" s="415">
        <f t="shared" si="15"/>
        <v>42418</v>
      </c>
      <c r="BU49" s="515">
        <v>87</v>
      </c>
      <c r="BV49" s="515">
        <v>3</v>
      </c>
      <c r="BW49" s="416">
        <f t="shared" si="16"/>
        <v>0</v>
      </c>
      <c r="BX49" s="417">
        <f t="shared" si="51"/>
        <v>1</v>
      </c>
      <c r="BY49" s="409">
        <f t="shared" si="52"/>
        <v>452</v>
      </c>
      <c r="BZ49" s="446">
        <f t="shared" si="19"/>
        <v>0</v>
      </c>
      <c r="CA49" s="542"/>
      <c r="CB49" s="557">
        <v>0.75</v>
      </c>
      <c r="CC49" s="451">
        <f t="shared" si="35"/>
        <v>339</v>
      </c>
      <c r="CD49" s="542">
        <v>1</v>
      </c>
      <c r="CE49" s="418" t="str">
        <f t="shared" si="36"/>
        <v>Excellent coverage</v>
      </c>
      <c r="CF49" s="550">
        <v>1</v>
      </c>
      <c r="CG49" s="551" t="s">
        <v>301</v>
      </c>
      <c r="CH49" s="602" t="s">
        <v>781</v>
      </c>
    </row>
    <row r="50" spans="2:86" s="40" customFormat="1" ht="30.75" customHeight="1" x14ac:dyDescent="0.2">
      <c r="B50" s="512" t="s">
        <v>135</v>
      </c>
      <c r="C50" s="513" t="s">
        <v>521</v>
      </c>
      <c r="D50" s="514" t="s">
        <v>265</v>
      </c>
      <c r="E50" s="513" t="s">
        <v>146</v>
      </c>
      <c r="F50" s="514">
        <v>97.284729999999996</v>
      </c>
      <c r="G50" s="514">
        <v>25.374020000000002</v>
      </c>
      <c r="H50" s="514" t="s">
        <v>467</v>
      </c>
      <c r="I50" s="514" t="s">
        <v>218</v>
      </c>
      <c r="J50" s="515">
        <v>22</v>
      </c>
      <c r="K50" s="515">
        <v>100</v>
      </c>
      <c r="L50" s="515">
        <v>100</v>
      </c>
      <c r="M50" s="405" t="str">
        <f t="shared" si="37"/>
        <v>1. Small</v>
      </c>
      <c r="N50" s="516" t="s">
        <v>284</v>
      </c>
      <c r="O50" s="530" t="s">
        <v>284</v>
      </c>
      <c r="P50" s="439" t="str">
        <f t="shared" si="20"/>
        <v>Covered</v>
      </c>
      <c r="Q50" s="531">
        <v>42155</v>
      </c>
      <c r="R50" s="532"/>
      <c r="S50" s="531"/>
      <c r="T50" s="516" t="s">
        <v>260</v>
      </c>
      <c r="U50" s="436" t="str">
        <f t="shared" si="21"/>
        <v>Documented</v>
      </c>
      <c r="V50" s="542">
        <v>0</v>
      </c>
      <c r="W50" s="515">
        <v>0</v>
      </c>
      <c r="X50" s="543" t="s">
        <v>19</v>
      </c>
      <c r="Y50" s="542">
        <v>1</v>
      </c>
      <c r="Z50" s="550">
        <v>1</v>
      </c>
      <c r="AA50" s="551">
        <v>3000</v>
      </c>
      <c r="AB50" s="556">
        <v>0</v>
      </c>
      <c r="AC50" s="557">
        <v>0</v>
      </c>
      <c r="AD50" s="443">
        <f t="shared" si="1"/>
        <v>1</v>
      </c>
      <c r="AE50" s="407">
        <f t="shared" si="22"/>
        <v>100</v>
      </c>
      <c r="AF50" s="408">
        <f t="shared" si="38"/>
        <v>1</v>
      </c>
      <c r="AG50" s="409">
        <f t="shared" si="23"/>
        <v>100</v>
      </c>
      <c r="AH50" s="406">
        <f t="shared" si="39"/>
        <v>1</v>
      </c>
      <c r="AI50" s="409">
        <f t="shared" si="24"/>
        <v>100</v>
      </c>
      <c r="AJ50" s="410" t="str">
        <f t="shared" si="40"/>
        <v>80-100%</v>
      </c>
      <c r="AK50" s="406">
        <f t="shared" si="41"/>
        <v>0</v>
      </c>
      <c r="AL50" s="411">
        <f t="shared" si="42"/>
        <v>0</v>
      </c>
      <c r="AM50" s="409">
        <f t="shared" si="43"/>
        <v>0</v>
      </c>
      <c r="AN50" s="409">
        <f t="shared" si="44"/>
        <v>0</v>
      </c>
      <c r="AO50" s="409">
        <f t="shared" si="25"/>
        <v>0</v>
      </c>
      <c r="AP50" s="566">
        <v>1</v>
      </c>
      <c r="AQ50" s="567">
        <f t="shared" si="26"/>
        <v>100</v>
      </c>
      <c r="AR50" s="551"/>
      <c r="AS50" s="552">
        <v>0</v>
      </c>
      <c r="AT50" s="515">
        <v>0</v>
      </c>
      <c r="AU50" s="515">
        <v>6</v>
      </c>
      <c r="AV50" s="515" t="s">
        <v>298</v>
      </c>
      <c r="AW50" s="412">
        <f t="shared" si="45"/>
        <v>1</v>
      </c>
      <c r="AX50" s="409">
        <f t="shared" si="27"/>
        <v>100</v>
      </c>
      <c r="AY50" s="412">
        <f t="shared" si="46"/>
        <v>0</v>
      </c>
      <c r="AZ50" s="409">
        <f t="shared" si="28"/>
        <v>0</v>
      </c>
      <c r="BA50" s="412">
        <f t="shared" si="47"/>
        <v>1</v>
      </c>
      <c r="BB50" s="409">
        <f t="shared" si="29"/>
        <v>100</v>
      </c>
      <c r="BC50" s="550">
        <v>0</v>
      </c>
      <c r="BD50" s="571">
        <v>1</v>
      </c>
      <c r="BE50" s="413">
        <f t="shared" si="48"/>
        <v>100</v>
      </c>
      <c r="BF50" s="414">
        <f t="shared" si="30"/>
        <v>0</v>
      </c>
      <c r="BG50" s="550">
        <v>2</v>
      </c>
      <c r="BH50" s="550" t="s">
        <v>298</v>
      </c>
      <c r="BI50" s="412">
        <f t="shared" si="31"/>
        <v>1</v>
      </c>
      <c r="BJ50" s="409">
        <f t="shared" si="32"/>
        <v>100</v>
      </c>
      <c r="BK50" s="414">
        <f t="shared" si="33"/>
        <v>0</v>
      </c>
      <c r="BL50" s="566">
        <v>1</v>
      </c>
      <c r="BM50" s="409">
        <f t="shared" si="34"/>
        <v>100</v>
      </c>
      <c r="BN50" s="550">
        <v>3</v>
      </c>
      <c r="BO50" s="412">
        <f t="shared" si="49"/>
        <v>1</v>
      </c>
      <c r="BP50" s="414">
        <f t="shared" si="50"/>
        <v>0</v>
      </c>
      <c r="BQ50" s="557">
        <v>1</v>
      </c>
      <c r="BR50" s="589"/>
      <c r="BS50" s="593">
        <v>42048</v>
      </c>
      <c r="BT50" s="415">
        <f t="shared" si="15"/>
        <v>42413</v>
      </c>
      <c r="BU50" s="515">
        <v>22</v>
      </c>
      <c r="BV50" s="515">
        <v>3</v>
      </c>
      <c r="BW50" s="416">
        <f t="shared" si="16"/>
        <v>0</v>
      </c>
      <c r="BX50" s="417">
        <f t="shared" si="51"/>
        <v>1</v>
      </c>
      <c r="BY50" s="409">
        <f t="shared" si="52"/>
        <v>100</v>
      </c>
      <c r="BZ50" s="446">
        <f t="shared" si="19"/>
        <v>0</v>
      </c>
      <c r="CA50" s="542"/>
      <c r="CB50" s="557">
        <v>1</v>
      </c>
      <c r="CC50" s="451">
        <f t="shared" si="35"/>
        <v>100</v>
      </c>
      <c r="CD50" s="542">
        <v>2</v>
      </c>
      <c r="CE50" s="418" t="str">
        <f t="shared" si="36"/>
        <v>Excellent coverage</v>
      </c>
      <c r="CF50" s="550">
        <v>1</v>
      </c>
      <c r="CG50" s="551" t="s">
        <v>65</v>
      </c>
      <c r="CH50" s="602" t="s">
        <v>782</v>
      </c>
    </row>
    <row r="51" spans="2:86" s="40" customFormat="1" ht="30.75" customHeight="1" x14ac:dyDescent="0.2">
      <c r="B51" s="512" t="s">
        <v>135</v>
      </c>
      <c r="C51" s="513" t="s">
        <v>522</v>
      </c>
      <c r="D51" s="514" t="s">
        <v>265</v>
      </c>
      <c r="E51" s="513" t="s">
        <v>147</v>
      </c>
      <c r="F51" s="514">
        <v>97.291079999999994</v>
      </c>
      <c r="G51" s="514">
        <v>25.371179999999999</v>
      </c>
      <c r="H51" s="514" t="s">
        <v>467</v>
      </c>
      <c r="I51" s="514" t="s">
        <v>218</v>
      </c>
      <c r="J51" s="515">
        <v>14</v>
      </c>
      <c r="K51" s="515">
        <v>73</v>
      </c>
      <c r="L51" s="515">
        <v>73</v>
      </c>
      <c r="M51" s="405" t="str">
        <f t="shared" si="37"/>
        <v>1. Small</v>
      </c>
      <c r="N51" s="516" t="s">
        <v>284</v>
      </c>
      <c r="O51" s="530" t="s">
        <v>284</v>
      </c>
      <c r="P51" s="439" t="str">
        <f t="shared" si="20"/>
        <v>Covered</v>
      </c>
      <c r="Q51" s="531">
        <v>42155</v>
      </c>
      <c r="R51" s="532"/>
      <c r="S51" s="531"/>
      <c r="T51" s="516" t="s">
        <v>260</v>
      </c>
      <c r="U51" s="436" t="str">
        <f t="shared" si="21"/>
        <v>Documented</v>
      </c>
      <c r="V51" s="542">
        <v>0</v>
      </c>
      <c r="W51" s="515">
        <v>0</v>
      </c>
      <c r="X51" s="543" t="s">
        <v>19</v>
      </c>
      <c r="Y51" s="542">
        <v>1</v>
      </c>
      <c r="Z51" s="550">
        <v>0</v>
      </c>
      <c r="AA51" s="551">
        <v>3000</v>
      </c>
      <c r="AB51" s="556">
        <v>0</v>
      </c>
      <c r="AC51" s="557">
        <v>0</v>
      </c>
      <c r="AD51" s="443">
        <f t="shared" si="1"/>
        <v>1</v>
      </c>
      <c r="AE51" s="407">
        <f t="shared" si="22"/>
        <v>73</v>
      </c>
      <c r="AF51" s="408">
        <f t="shared" si="38"/>
        <v>1</v>
      </c>
      <c r="AG51" s="409">
        <f t="shared" si="23"/>
        <v>73</v>
      </c>
      <c r="AH51" s="406">
        <f t="shared" si="39"/>
        <v>1</v>
      </c>
      <c r="AI51" s="409">
        <f t="shared" si="24"/>
        <v>73</v>
      </c>
      <c r="AJ51" s="410" t="str">
        <f t="shared" si="40"/>
        <v>80-100%</v>
      </c>
      <c r="AK51" s="406">
        <f t="shared" si="41"/>
        <v>0</v>
      </c>
      <c r="AL51" s="411">
        <f t="shared" si="42"/>
        <v>0</v>
      </c>
      <c r="AM51" s="409">
        <f t="shared" si="43"/>
        <v>0</v>
      </c>
      <c r="AN51" s="409">
        <f t="shared" si="44"/>
        <v>0</v>
      </c>
      <c r="AO51" s="409">
        <f t="shared" si="25"/>
        <v>0</v>
      </c>
      <c r="AP51" s="566">
        <v>1</v>
      </c>
      <c r="AQ51" s="567">
        <f t="shared" si="26"/>
        <v>73</v>
      </c>
      <c r="AR51" s="551"/>
      <c r="AS51" s="552">
        <v>0</v>
      </c>
      <c r="AT51" s="515">
        <v>2</v>
      </c>
      <c r="AU51" s="515">
        <v>3</v>
      </c>
      <c r="AV51" s="515" t="s">
        <v>298</v>
      </c>
      <c r="AW51" s="412">
        <f t="shared" si="45"/>
        <v>1</v>
      </c>
      <c r="AX51" s="409">
        <f t="shared" si="27"/>
        <v>73</v>
      </c>
      <c r="AY51" s="412">
        <f t="shared" si="46"/>
        <v>0.17808219178082196</v>
      </c>
      <c r="AZ51" s="409">
        <f t="shared" si="28"/>
        <v>13.000000000000004</v>
      </c>
      <c r="BA51" s="412">
        <f t="shared" si="47"/>
        <v>0.82191780821917804</v>
      </c>
      <c r="BB51" s="409">
        <f t="shared" si="29"/>
        <v>60</v>
      </c>
      <c r="BC51" s="550">
        <v>0</v>
      </c>
      <c r="BD51" s="571">
        <v>1</v>
      </c>
      <c r="BE51" s="413">
        <f t="shared" si="48"/>
        <v>73</v>
      </c>
      <c r="BF51" s="414">
        <f t="shared" si="30"/>
        <v>0.64999999999999991</v>
      </c>
      <c r="BG51" s="550">
        <v>2</v>
      </c>
      <c r="BH51" s="550" t="s">
        <v>299</v>
      </c>
      <c r="BI51" s="412">
        <f t="shared" si="31"/>
        <v>1</v>
      </c>
      <c r="BJ51" s="409">
        <f t="shared" si="32"/>
        <v>73</v>
      </c>
      <c r="BK51" s="414">
        <f t="shared" si="33"/>
        <v>0</v>
      </c>
      <c r="BL51" s="566">
        <v>1</v>
      </c>
      <c r="BM51" s="409">
        <f t="shared" si="34"/>
        <v>73</v>
      </c>
      <c r="BN51" s="550">
        <v>3</v>
      </c>
      <c r="BO51" s="412">
        <f t="shared" si="49"/>
        <v>1</v>
      </c>
      <c r="BP51" s="414">
        <f t="shared" si="50"/>
        <v>0</v>
      </c>
      <c r="BQ51" s="557">
        <v>1</v>
      </c>
      <c r="BR51" s="589"/>
      <c r="BS51" s="593">
        <v>42048</v>
      </c>
      <c r="BT51" s="415">
        <f t="shared" si="15"/>
        <v>42413</v>
      </c>
      <c r="BU51" s="515">
        <v>14</v>
      </c>
      <c r="BV51" s="515">
        <v>3</v>
      </c>
      <c r="BW51" s="416">
        <f t="shared" si="16"/>
        <v>0</v>
      </c>
      <c r="BX51" s="417">
        <f t="shared" si="51"/>
        <v>1</v>
      </c>
      <c r="BY51" s="409">
        <f t="shared" si="52"/>
        <v>73</v>
      </c>
      <c r="BZ51" s="446">
        <f t="shared" si="19"/>
        <v>0</v>
      </c>
      <c r="CA51" s="542"/>
      <c r="CB51" s="557">
        <v>1</v>
      </c>
      <c r="CC51" s="451">
        <f t="shared" si="35"/>
        <v>73</v>
      </c>
      <c r="CD51" s="542">
        <v>2</v>
      </c>
      <c r="CE51" s="418" t="str">
        <f t="shared" si="36"/>
        <v>Excellent coverage</v>
      </c>
      <c r="CF51" s="550">
        <v>0</v>
      </c>
      <c r="CG51" s="551" t="s">
        <v>65</v>
      </c>
      <c r="CH51" s="602"/>
    </row>
    <row r="52" spans="2:86" s="40" customFormat="1" ht="30.75" customHeight="1" x14ac:dyDescent="0.2">
      <c r="B52" s="512" t="s">
        <v>135</v>
      </c>
      <c r="C52" s="513" t="s">
        <v>525</v>
      </c>
      <c r="D52" s="514" t="s">
        <v>265</v>
      </c>
      <c r="E52" s="513" t="s">
        <v>220</v>
      </c>
      <c r="F52" s="514">
        <v>97.359380000000002</v>
      </c>
      <c r="G52" s="514">
        <v>25.411770000000001</v>
      </c>
      <c r="H52" s="514" t="s">
        <v>467</v>
      </c>
      <c r="I52" s="514" t="s">
        <v>218</v>
      </c>
      <c r="J52" s="515">
        <v>72</v>
      </c>
      <c r="K52" s="515">
        <v>308</v>
      </c>
      <c r="L52" s="515">
        <v>308</v>
      </c>
      <c r="M52" s="405" t="str">
        <f t="shared" si="37"/>
        <v>2. Medium</v>
      </c>
      <c r="N52" s="516" t="s">
        <v>235</v>
      </c>
      <c r="O52" s="530" t="s">
        <v>235</v>
      </c>
      <c r="P52" s="439" t="str">
        <f t="shared" si="20"/>
        <v>Covered</v>
      </c>
      <c r="Q52" s="531">
        <v>42369</v>
      </c>
      <c r="R52" s="532"/>
      <c r="S52" s="531"/>
      <c r="T52" s="516" t="s">
        <v>260</v>
      </c>
      <c r="U52" s="436" t="str">
        <f t="shared" si="21"/>
        <v>Documented</v>
      </c>
      <c r="V52" s="542">
        <v>0</v>
      </c>
      <c r="W52" s="515">
        <v>0</v>
      </c>
      <c r="X52" s="543" t="s">
        <v>19</v>
      </c>
      <c r="Y52" s="542">
        <v>0</v>
      </c>
      <c r="Z52" s="550">
        <v>4</v>
      </c>
      <c r="AA52" s="551">
        <v>8000</v>
      </c>
      <c r="AB52" s="556">
        <v>0</v>
      </c>
      <c r="AC52" s="557">
        <v>1</v>
      </c>
      <c r="AD52" s="443">
        <f t="shared" si="1"/>
        <v>1</v>
      </c>
      <c r="AE52" s="407">
        <f t="shared" si="22"/>
        <v>308</v>
      </c>
      <c r="AF52" s="408">
        <f t="shared" si="38"/>
        <v>1</v>
      </c>
      <c r="AG52" s="409">
        <f t="shared" si="23"/>
        <v>308</v>
      </c>
      <c r="AH52" s="406">
        <f t="shared" si="39"/>
        <v>1</v>
      </c>
      <c r="AI52" s="409">
        <f t="shared" si="24"/>
        <v>308</v>
      </c>
      <c r="AJ52" s="410" t="str">
        <f t="shared" si="40"/>
        <v>80-100%</v>
      </c>
      <c r="AK52" s="406">
        <f t="shared" si="41"/>
        <v>0</v>
      </c>
      <c r="AL52" s="411">
        <f t="shared" si="42"/>
        <v>0</v>
      </c>
      <c r="AM52" s="409">
        <f t="shared" si="43"/>
        <v>0</v>
      </c>
      <c r="AN52" s="409">
        <f t="shared" si="44"/>
        <v>72</v>
      </c>
      <c r="AO52" s="409">
        <f t="shared" si="25"/>
        <v>0</v>
      </c>
      <c r="AP52" s="566">
        <v>1</v>
      </c>
      <c r="AQ52" s="567">
        <f t="shared" si="26"/>
        <v>308</v>
      </c>
      <c r="AR52" s="551" t="s">
        <v>771</v>
      </c>
      <c r="AS52" s="552">
        <v>33</v>
      </c>
      <c r="AT52" s="515">
        <v>17</v>
      </c>
      <c r="AU52" s="515">
        <v>6</v>
      </c>
      <c r="AV52" s="515" t="s">
        <v>299</v>
      </c>
      <c r="AW52" s="412">
        <f t="shared" si="45"/>
        <v>1</v>
      </c>
      <c r="AX52" s="409">
        <f t="shared" si="27"/>
        <v>308</v>
      </c>
      <c r="AY52" s="412">
        <f t="shared" si="46"/>
        <v>0.61038961038961037</v>
      </c>
      <c r="AZ52" s="409">
        <f t="shared" si="28"/>
        <v>188</v>
      </c>
      <c r="BA52" s="412">
        <f t="shared" si="47"/>
        <v>0.38961038961038963</v>
      </c>
      <c r="BB52" s="409">
        <f t="shared" si="29"/>
        <v>120</v>
      </c>
      <c r="BC52" s="550">
        <v>0</v>
      </c>
      <c r="BD52" s="571">
        <v>1</v>
      </c>
      <c r="BE52" s="413">
        <f t="shared" si="48"/>
        <v>308</v>
      </c>
      <c r="BF52" s="414">
        <f t="shared" si="30"/>
        <v>9.4</v>
      </c>
      <c r="BG52" s="550">
        <v>3</v>
      </c>
      <c r="BH52" s="550" t="s">
        <v>299</v>
      </c>
      <c r="BI52" s="412">
        <f t="shared" si="31"/>
        <v>0.97402597402597402</v>
      </c>
      <c r="BJ52" s="409">
        <f t="shared" si="32"/>
        <v>300</v>
      </c>
      <c r="BK52" s="414">
        <f t="shared" si="33"/>
        <v>8.0000000000000071E-2</v>
      </c>
      <c r="BL52" s="566">
        <v>0.97</v>
      </c>
      <c r="BM52" s="409">
        <f t="shared" si="34"/>
        <v>298.76</v>
      </c>
      <c r="BN52" s="550">
        <v>4</v>
      </c>
      <c r="BO52" s="412">
        <f t="shared" si="49"/>
        <v>1</v>
      </c>
      <c r="BP52" s="414">
        <f t="shared" si="50"/>
        <v>0</v>
      </c>
      <c r="BQ52" s="557">
        <v>1</v>
      </c>
      <c r="BR52" s="589" t="s">
        <v>672</v>
      </c>
      <c r="BS52" s="593">
        <v>41781</v>
      </c>
      <c r="BT52" s="415" t="str">
        <f t="shared" si="15"/>
        <v>To be realised</v>
      </c>
      <c r="BU52" s="515">
        <v>72</v>
      </c>
      <c r="BV52" s="515">
        <v>2</v>
      </c>
      <c r="BW52" s="416">
        <f t="shared" si="16"/>
        <v>72</v>
      </c>
      <c r="BX52" s="417">
        <f t="shared" si="51"/>
        <v>0</v>
      </c>
      <c r="BY52" s="409">
        <f t="shared" si="52"/>
        <v>0</v>
      </c>
      <c r="BZ52" s="446">
        <f t="shared" si="19"/>
        <v>9</v>
      </c>
      <c r="CA52" s="542"/>
      <c r="CB52" s="557">
        <v>0</v>
      </c>
      <c r="CC52" s="451">
        <f t="shared" si="35"/>
        <v>0</v>
      </c>
      <c r="CD52" s="542">
        <v>0</v>
      </c>
      <c r="CE52" s="418" t="str">
        <f t="shared" si="36"/>
        <v>No coverage</v>
      </c>
      <c r="CF52" s="550">
        <v>0</v>
      </c>
      <c r="CG52" s="551" t="s">
        <v>301</v>
      </c>
      <c r="CH52" s="602"/>
    </row>
    <row r="53" spans="2:86" s="40" customFormat="1" ht="30.75" customHeight="1" x14ac:dyDescent="0.2">
      <c r="B53" s="512" t="s">
        <v>135</v>
      </c>
      <c r="C53" s="513" t="s">
        <v>504</v>
      </c>
      <c r="D53" s="514" t="s">
        <v>265</v>
      </c>
      <c r="E53" s="513" t="s">
        <v>219</v>
      </c>
      <c r="F53" s="514">
        <v>97.394547000000003</v>
      </c>
      <c r="G53" s="514">
        <v>25.422194000000001</v>
      </c>
      <c r="H53" s="514" t="s">
        <v>467</v>
      </c>
      <c r="I53" s="514" t="s">
        <v>218</v>
      </c>
      <c r="J53" s="515">
        <v>55</v>
      </c>
      <c r="K53" s="515">
        <v>229</v>
      </c>
      <c r="L53" s="515">
        <v>229</v>
      </c>
      <c r="M53" s="405" t="str">
        <f t="shared" si="37"/>
        <v>2. Medium</v>
      </c>
      <c r="N53" s="516" t="s">
        <v>239</v>
      </c>
      <c r="O53" s="530" t="s">
        <v>239</v>
      </c>
      <c r="P53" s="439" t="str">
        <f t="shared" si="20"/>
        <v>Covered</v>
      </c>
      <c r="Q53" s="531">
        <v>42185</v>
      </c>
      <c r="R53" s="532" t="s">
        <v>240</v>
      </c>
      <c r="S53" s="531">
        <v>42185</v>
      </c>
      <c r="T53" s="516" t="s">
        <v>260</v>
      </c>
      <c r="U53" s="436" t="str">
        <f t="shared" si="21"/>
        <v>Documented</v>
      </c>
      <c r="V53" s="542">
        <v>0</v>
      </c>
      <c r="W53" s="515">
        <v>0</v>
      </c>
      <c r="X53" s="543" t="s">
        <v>19</v>
      </c>
      <c r="Y53" s="542">
        <v>2</v>
      </c>
      <c r="Z53" s="550">
        <v>2</v>
      </c>
      <c r="AA53" s="551">
        <v>0</v>
      </c>
      <c r="AB53" s="556">
        <v>0</v>
      </c>
      <c r="AC53" s="557">
        <v>1</v>
      </c>
      <c r="AD53" s="443">
        <f t="shared" si="1"/>
        <v>1</v>
      </c>
      <c r="AE53" s="407">
        <f t="shared" si="22"/>
        <v>229</v>
      </c>
      <c r="AF53" s="408">
        <f t="shared" si="38"/>
        <v>1</v>
      </c>
      <c r="AG53" s="409">
        <f t="shared" si="23"/>
        <v>229</v>
      </c>
      <c r="AH53" s="406">
        <f t="shared" si="39"/>
        <v>1</v>
      </c>
      <c r="AI53" s="409">
        <f t="shared" si="24"/>
        <v>229</v>
      </c>
      <c r="AJ53" s="410" t="str">
        <f t="shared" si="40"/>
        <v>80-100%</v>
      </c>
      <c r="AK53" s="406">
        <f t="shared" si="41"/>
        <v>0</v>
      </c>
      <c r="AL53" s="411">
        <f t="shared" si="42"/>
        <v>0</v>
      </c>
      <c r="AM53" s="409">
        <f t="shared" si="43"/>
        <v>0</v>
      </c>
      <c r="AN53" s="409">
        <f t="shared" si="44"/>
        <v>55</v>
      </c>
      <c r="AO53" s="409">
        <f t="shared" si="25"/>
        <v>0</v>
      </c>
      <c r="AP53" s="566">
        <v>1</v>
      </c>
      <c r="AQ53" s="567">
        <f t="shared" si="26"/>
        <v>229</v>
      </c>
      <c r="AR53" s="551"/>
      <c r="AS53" s="552">
        <v>0</v>
      </c>
      <c r="AT53" s="515">
        <v>0</v>
      </c>
      <c r="AU53" s="515">
        <v>8</v>
      </c>
      <c r="AV53" s="515" t="s">
        <v>298</v>
      </c>
      <c r="AW53" s="412">
        <f t="shared" si="45"/>
        <v>0.69868995633187769</v>
      </c>
      <c r="AX53" s="409">
        <f t="shared" si="27"/>
        <v>160</v>
      </c>
      <c r="AY53" s="412">
        <f t="shared" si="46"/>
        <v>0</v>
      </c>
      <c r="AZ53" s="409">
        <f t="shared" si="28"/>
        <v>0</v>
      </c>
      <c r="BA53" s="412">
        <f t="shared" si="47"/>
        <v>0.69868995633187769</v>
      </c>
      <c r="BB53" s="409">
        <f t="shared" si="29"/>
        <v>160</v>
      </c>
      <c r="BC53" s="550">
        <v>0</v>
      </c>
      <c r="BD53" s="571">
        <v>0.7</v>
      </c>
      <c r="BE53" s="413">
        <f t="shared" si="48"/>
        <v>160.29999999999998</v>
      </c>
      <c r="BF53" s="414">
        <f t="shared" si="30"/>
        <v>3.4499999999999993</v>
      </c>
      <c r="BG53" s="550">
        <v>2</v>
      </c>
      <c r="BH53" s="550" t="s">
        <v>299</v>
      </c>
      <c r="BI53" s="412">
        <f t="shared" si="31"/>
        <v>0.8733624454148472</v>
      </c>
      <c r="BJ53" s="409">
        <f t="shared" si="32"/>
        <v>200</v>
      </c>
      <c r="BK53" s="414">
        <f t="shared" si="33"/>
        <v>0.29000000000000004</v>
      </c>
      <c r="BL53" s="566">
        <v>0.87</v>
      </c>
      <c r="BM53" s="409">
        <f t="shared" si="34"/>
        <v>199.23</v>
      </c>
      <c r="BN53" s="550">
        <v>6</v>
      </c>
      <c r="BO53" s="412">
        <f t="shared" si="49"/>
        <v>1</v>
      </c>
      <c r="BP53" s="414">
        <f t="shared" si="50"/>
        <v>0</v>
      </c>
      <c r="BQ53" s="557">
        <v>1</v>
      </c>
      <c r="BR53" s="589" t="s">
        <v>778</v>
      </c>
      <c r="BS53" s="593">
        <v>42053</v>
      </c>
      <c r="BT53" s="415">
        <f t="shared" si="15"/>
        <v>42418</v>
      </c>
      <c r="BU53" s="515">
        <v>55</v>
      </c>
      <c r="BV53" s="515">
        <v>3</v>
      </c>
      <c r="BW53" s="416">
        <f t="shared" si="16"/>
        <v>0</v>
      </c>
      <c r="BX53" s="417">
        <f t="shared" si="51"/>
        <v>1</v>
      </c>
      <c r="BY53" s="409">
        <f t="shared" si="52"/>
        <v>229</v>
      </c>
      <c r="BZ53" s="446">
        <f t="shared" si="19"/>
        <v>0</v>
      </c>
      <c r="CA53" s="542"/>
      <c r="CB53" s="557">
        <v>0.8</v>
      </c>
      <c r="CC53" s="451">
        <f t="shared" si="35"/>
        <v>183.20000000000002</v>
      </c>
      <c r="CD53" s="542">
        <v>1</v>
      </c>
      <c r="CE53" s="418" t="str">
        <f t="shared" si="36"/>
        <v>Excellent coverage</v>
      </c>
      <c r="CF53" s="550">
        <v>0</v>
      </c>
      <c r="CG53" s="551" t="s">
        <v>301</v>
      </c>
      <c r="CH53" s="602"/>
    </row>
    <row r="54" spans="2:86" s="40" customFormat="1" ht="30.75" customHeight="1" x14ac:dyDescent="0.2">
      <c r="B54" s="512" t="s">
        <v>135</v>
      </c>
      <c r="C54" s="513" t="s">
        <v>526</v>
      </c>
      <c r="D54" s="514" t="s">
        <v>265</v>
      </c>
      <c r="E54" s="513" t="s">
        <v>148</v>
      </c>
      <c r="F54" s="514">
        <v>97.4345</v>
      </c>
      <c r="G54" s="514">
        <v>25.493819999999999</v>
      </c>
      <c r="H54" s="514" t="s">
        <v>467</v>
      </c>
      <c r="I54" s="514" t="s">
        <v>218</v>
      </c>
      <c r="J54" s="515">
        <v>28</v>
      </c>
      <c r="K54" s="515">
        <v>176</v>
      </c>
      <c r="L54" s="515">
        <v>176</v>
      </c>
      <c r="M54" s="405" t="str">
        <f t="shared" si="37"/>
        <v>1. Small</v>
      </c>
      <c r="N54" s="516" t="s">
        <v>235</v>
      </c>
      <c r="O54" s="530" t="s">
        <v>235</v>
      </c>
      <c r="P54" s="439" t="str">
        <f t="shared" si="20"/>
        <v>Covered</v>
      </c>
      <c r="Q54" s="531">
        <v>42369</v>
      </c>
      <c r="R54" s="532"/>
      <c r="S54" s="531"/>
      <c r="T54" s="516" t="s">
        <v>260</v>
      </c>
      <c r="U54" s="436" t="str">
        <f t="shared" si="21"/>
        <v>Documented</v>
      </c>
      <c r="V54" s="542">
        <v>0</v>
      </c>
      <c r="W54" s="515">
        <v>0</v>
      </c>
      <c r="X54" s="543" t="s">
        <v>19</v>
      </c>
      <c r="Y54" s="542">
        <v>1</v>
      </c>
      <c r="Z54" s="550">
        <v>1</v>
      </c>
      <c r="AA54" s="551">
        <v>3000</v>
      </c>
      <c r="AB54" s="556">
        <v>0</v>
      </c>
      <c r="AC54" s="557">
        <v>1</v>
      </c>
      <c r="AD54" s="443">
        <f t="shared" si="1"/>
        <v>1</v>
      </c>
      <c r="AE54" s="407">
        <f t="shared" si="22"/>
        <v>176</v>
      </c>
      <c r="AF54" s="408">
        <f t="shared" si="38"/>
        <v>1</v>
      </c>
      <c r="AG54" s="409">
        <f t="shared" si="23"/>
        <v>176</v>
      </c>
      <c r="AH54" s="406">
        <f t="shared" si="39"/>
        <v>1</v>
      </c>
      <c r="AI54" s="409">
        <f t="shared" si="24"/>
        <v>176</v>
      </c>
      <c r="AJ54" s="410" t="str">
        <f t="shared" si="40"/>
        <v>80-100%</v>
      </c>
      <c r="AK54" s="406">
        <f t="shared" si="41"/>
        <v>0</v>
      </c>
      <c r="AL54" s="411">
        <f t="shared" si="42"/>
        <v>0</v>
      </c>
      <c r="AM54" s="409">
        <f t="shared" si="43"/>
        <v>0</v>
      </c>
      <c r="AN54" s="409">
        <f t="shared" si="44"/>
        <v>28</v>
      </c>
      <c r="AO54" s="409">
        <f t="shared" si="25"/>
        <v>0</v>
      </c>
      <c r="AP54" s="566">
        <v>1</v>
      </c>
      <c r="AQ54" s="567">
        <f t="shared" si="26"/>
        <v>176</v>
      </c>
      <c r="AR54" s="551" t="s">
        <v>772</v>
      </c>
      <c r="AS54" s="552">
        <v>10</v>
      </c>
      <c r="AT54" s="515">
        <v>0</v>
      </c>
      <c r="AU54" s="515">
        <v>10</v>
      </c>
      <c r="AV54" s="515" t="s">
        <v>298</v>
      </c>
      <c r="AW54" s="412">
        <f t="shared" si="45"/>
        <v>1</v>
      </c>
      <c r="AX54" s="409">
        <f t="shared" si="27"/>
        <v>176</v>
      </c>
      <c r="AY54" s="412">
        <f t="shared" si="46"/>
        <v>0</v>
      </c>
      <c r="AZ54" s="409">
        <f t="shared" si="28"/>
        <v>0</v>
      </c>
      <c r="BA54" s="412">
        <f t="shared" si="47"/>
        <v>1</v>
      </c>
      <c r="BB54" s="409">
        <f t="shared" si="29"/>
        <v>176</v>
      </c>
      <c r="BC54" s="550">
        <v>0</v>
      </c>
      <c r="BD54" s="571">
        <v>1</v>
      </c>
      <c r="BE54" s="413">
        <f t="shared" si="48"/>
        <v>176</v>
      </c>
      <c r="BF54" s="414">
        <f t="shared" si="30"/>
        <v>0</v>
      </c>
      <c r="BG54" s="550">
        <v>2</v>
      </c>
      <c r="BH54" s="550" t="s">
        <v>299</v>
      </c>
      <c r="BI54" s="412">
        <f t="shared" si="31"/>
        <v>1</v>
      </c>
      <c r="BJ54" s="409">
        <f t="shared" si="32"/>
        <v>176</v>
      </c>
      <c r="BK54" s="414">
        <f t="shared" si="33"/>
        <v>0</v>
      </c>
      <c r="BL54" s="566">
        <v>1</v>
      </c>
      <c r="BM54" s="409">
        <f t="shared" si="34"/>
        <v>176</v>
      </c>
      <c r="BN54" s="550">
        <v>3</v>
      </c>
      <c r="BO54" s="412">
        <f t="shared" si="49"/>
        <v>1</v>
      </c>
      <c r="BP54" s="414">
        <f t="shared" si="50"/>
        <v>0</v>
      </c>
      <c r="BQ54" s="557">
        <v>1</v>
      </c>
      <c r="BR54" s="589"/>
      <c r="BS54" s="593">
        <v>41781</v>
      </c>
      <c r="BT54" s="415" t="str">
        <f t="shared" si="15"/>
        <v>To be realised</v>
      </c>
      <c r="BU54" s="515">
        <v>28</v>
      </c>
      <c r="BV54" s="515">
        <v>2</v>
      </c>
      <c r="BW54" s="416">
        <f t="shared" si="16"/>
        <v>28</v>
      </c>
      <c r="BX54" s="417">
        <f t="shared" si="51"/>
        <v>0</v>
      </c>
      <c r="BY54" s="409">
        <f t="shared" si="52"/>
        <v>0</v>
      </c>
      <c r="BZ54" s="446">
        <f t="shared" si="19"/>
        <v>9</v>
      </c>
      <c r="CA54" s="542"/>
      <c r="CB54" s="557">
        <v>0</v>
      </c>
      <c r="CC54" s="451">
        <f t="shared" si="35"/>
        <v>0</v>
      </c>
      <c r="CD54" s="542">
        <v>0</v>
      </c>
      <c r="CE54" s="418" t="str">
        <f t="shared" si="36"/>
        <v>No coverage</v>
      </c>
      <c r="CF54" s="550">
        <v>0</v>
      </c>
      <c r="CG54" s="551" t="s">
        <v>301</v>
      </c>
      <c r="CH54" s="602"/>
    </row>
    <row r="55" spans="2:86" s="40" customFormat="1" ht="30.75" customHeight="1" x14ac:dyDescent="0.2">
      <c r="B55" s="512" t="s">
        <v>135</v>
      </c>
      <c r="C55" s="513" t="s">
        <v>508</v>
      </c>
      <c r="D55" s="514" t="s">
        <v>265</v>
      </c>
      <c r="E55" s="513" t="s">
        <v>149</v>
      </c>
      <c r="F55" s="514">
        <v>97.399628000000007</v>
      </c>
      <c r="G55" s="514">
        <v>25.412313000000001</v>
      </c>
      <c r="H55" s="514" t="s">
        <v>467</v>
      </c>
      <c r="I55" s="514" t="s">
        <v>218</v>
      </c>
      <c r="J55" s="515">
        <v>100</v>
      </c>
      <c r="K55" s="515">
        <v>400</v>
      </c>
      <c r="L55" s="515">
        <v>400</v>
      </c>
      <c r="M55" s="405" t="str">
        <f t="shared" si="37"/>
        <v>2. Medium</v>
      </c>
      <c r="N55" s="516" t="s">
        <v>239</v>
      </c>
      <c r="O55" s="530" t="s">
        <v>239</v>
      </c>
      <c r="P55" s="439" t="str">
        <f t="shared" si="20"/>
        <v>Covered</v>
      </c>
      <c r="Q55" s="531">
        <v>42185</v>
      </c>
      <c r="R55" s="532" t="s">
        <v>240</v>
      </c>
      <c r="S55" s="531">
        <v>42185</v>
      </c>
      <c r="T55" s="516" t="s">
        <v>260</v>
      </c>
      <c r="U55" s="436" t="str">
        <f t="shared" si="21"/>
        <v>Documented</v>
      </c>
      <c r="V55" s="542">
        <v>0</v>
      </c>
      <c r="W55" s="515">
        <v>0</v>
      </c>
      <c r="X55" s="543" t="s">
        <v>19</v>
      </c>
      <c r="Y55" s="542">
        <v>2</v>
      </c>
      <c r="Z55" s="550">
        <v>1</v>
      </c>
      <c r="AA55" s="551">
        <v>3000</v>
      </c>
      <c r="AB55" s="556">
        <v>0</v>
      </c>
      <c r="AC55" s="557">
        <v>1</v>
      </c>
      <c r="AD55" s="443">
        <f t="shared" si="1"/>
        <v>1</v>
      </c>
      <c r="AE55" s="407">
        <f t="shared" si="22"/>
        <v>400</v>
      </c>
      <c r="AF55" s="408">
        <f t="shared" si="38"/>
        <v>1</v>
      </c>
      <c r="AG55" s="409">
        <f t="shared" si="23"/>
        <v>400</v>
      </c>
      <c r="AH55" s="406">
        <f t="shared" si="39"/>
        <v>1</v>
      </c>
      <c r="AI55" s="409">
        <f t="shared" si="24"/>
        <v>400</v>
      </c>
      <c r="AJ55" s="410" t="str">
        <f t="shared" si="40"/>
        <v>80-100%</v>
      </c>
      <c r="AK55" s="406">
        <f t="shared" si="41"/>
        <v>0</v>
      </c>
      <c r="AL55" s="411">
        <f t="shared" si="42"/>
        <v>0</v>
      </c>
      <c r="AM55" s="409">
        <f t="shared" si="43"/>
        <v>0</v>
      </c>
      <c r="AN55" s="409">
        <f t="shared" si="44"/>
        <v>100</v>
      </c>
      <c r="AO55" s="409">
        <f t="shared" si="25"/>
        <v>0</v>
      </c>
      <c r="AP55" s="566">
        <v>1</v>
      </c>
      <c r="AQ55" s="567">
        <f t="shared" si="26"/>
        <v>400</v>
      </c>
      <c r="AR55" s="551"/>
      <c r="AS55" s="552">
        <v>0</v>
      </c>
      <c r="AT55" s="515">
        <v>0</v>
      </c>
      <c r="AU55" s="515">
        <v>15</v>
      </c>
      <c r="AV55" s="515" t="s">
        <v>298</v>
      </c>
      <c r="AW55" s="412">
        <f t="shared" si="45"/>
        <v>0.75</v>
      </c>
      <c r="AX55" s="409">
        <f t="shared" si="27"/>
        <v>300</v>
      </c>
      <c r="AY55" s="412">
        <f t="shared" si="46"/>
        <v>0</v>
      </c>
      <c r="AZ55" s="409">
        <f t="shared" si="28"/>
        <v>0</v>
      </c>
      <c r="BA55" s="412">
        <f t="shared" si="47"/>
        <v>0.75</v>
      </c>
      <c r="BB55" s="409">
        <f t="shared" si="29"/>
        <v>300</v>
      </c>
      <c r="BC55" s="550">
        <v>0</v>
      </c>
      <c r="BD55" s="571">
        <v>0.75</v>
      </c>
      <c r="BE55" s="413">
        <f t="shared" si="48"/>
        <v>300</v>
      </c>
      <c r="BF55" s="414">
        <f t="shared" si="30"/>
        <v>5</v>
      </c>
      <c r="BG55" s="550">
        <v>2</v>
      </c>
      <c r="BH55" s="550" t="s">
        <v>91</v>
      </c>
      <c r="BI55" s="412">
        <f t="shared" si="31"/>
        <v>0.5</v>
      </c>
      <c r="BJ55" s="409">
        <f t="shared" si="32"/>
        <v>200</v>
      </c>
      <c r="BK55" s="414">
        <f t="shared" si="33"/>
        <v>2</v>
      </c>
      <c r="BL55" s="566">
        <v>0.51</v>
      </c>
      <c r="BM55" s="409">
        <f t="shared" si="34"/>
        <v>204</v>
      </c>
      <c r="BN55" s="550">
        <v>12</v>
      </c>
      <c r="BO55" s="412">
        <f t="shared" si="49"/>
        <v>1</v>
      </c>
      <c r="BP55" s="414">
        <f t="shared" si="50"/>
        <v>0</v>
      </c>
      <c r="BQ55" s="557">
        <v>1</v>
      </c>
      <c r="BR55" s="589" t="s">
        <v>671</v>
      </c>
      <c r="BS55" s="594">
        <v>42053</v>
      </c>
      <c r="BT55" s="415">
        <f t="shared" si="15"/>
        <v>42418</v>
      </c>
      <c r="BU55" s="515">
        <v>100</v>
      </c>
      <c r="BV55" s="515">
        <v>3</v>
      </c>
      <c r="BW55" s="416">
        <f t="shared" si="16"/>
        <v>0</v>
      </c>
      <c r="BX55" s="417">
        <f t="shared" si="51"/>
        <v>1</v>
      </c>
      <c r="BY55" s="409">
        <f t="shared" si="52"/>
        <v>400</v>
      </c>
      <c r="BZ55" s="446">
        <f t="shared" si="19"/>
        <v>0</v>
      </c>
      <c r="CA55" s="542"/>
      <c r="CB55" s="557">
        <v>0.8</v>
      </c>
      <c r="CC55" s="451">
        <f t="shared" si="35"/>
        <v>320</v>
      </c>
      <c r="CD55" s="542">
        <v>2</v>
      </c>
      <c r="CE55" s="418" t="str">
        <f t="shared" si="36"/>
        <v>Excellent coverage</v>
      </c>
      <c r="CF55" s="550">
        <v>0</v>
      </c>
      <c r="CG55" s="551" t="s">
        <v>301</v>
      </c>
      <c r="CH55" s="602"/>
    </row>
    <row r="56" spans="2:86" s="40" customFormat="1" ht="30.75" customHeight="1" x14ac:dyDescent="0.2">
      <c r="B56" s="512" t="s">
        <v>135</v>
      </c>
      <c r="C56" s="513" t="s">
        <v>509</v>
      </c>
      <c r="D56" s="514" t="s">
        <v>265</v>
      </c>
      <c r="E56" s="513" t="s">
        <v>150</v>
      </c>
      <c r="F56" s="514">
        <v>97.418004999999994</v>
      </c>
      <c r="G56" s="514">
        <v>25.423817</v>
      </c>
      <c r="H56" s="514" t="s">
        <v>467</v>
      </c>
      <c r="I56" s="514" t="s">
        <v>218</v>
      </c>
      <c r="J56" s="515">
        <v>28</v>
      </c>
      <c r="K56" s="515">
        <v>130</v>
      </c>
      <c r="L56" s="515">
        <v>130</v>
      </c>
      <c r="M56" s="405" t="str">
        <f t="shared" si="37"/>
        <v>1. Small</v>
      </c>
      <c r="N56" s="516" t="s">
        <v>284</v>
      </c>
      <c r="O56" s="530" t="s">
        <v>284</v>
      </c>
      <c r="P56" s="439" t="str">
        <f t="shared" si="20"/>
        <v>Covered</v>
      </c>
      <c r="Q56" s="531">
        <v>42155</v>
      </c>
      <c r="R56" s="532"/>
      <c r="S56" s="531"/>
      <c r="T56" s="516" t="s">
        <v>260</v>
      </c>
      <c r="U56" s="436" t="str">
        <f t="shared" si="21"/>
        <v>Documented</v>
      </c>
      <c r="V56" s="542">
        <v>0</v>
      </c>
      <c r="W56" s="515">
        <v>0</v>
      </c>
      <c r="X56" s="543" t="s">
        <v>19</v>
      </c>
      <c r="Y56" s="542">
        <v>2</v>
      </c>
      <c r="Z56" s="550">
        <v>0</v>
      </c>
      <c r="AA56" s="551">
        <v>0</v>
      </c>
      <c r="AB56" s="556">
        <v>0</v>
      </c>
      <c r="AC56" s="557">
        <v>0</v>
      </c>
      <c r="AD56" s="443">
        <f t="shared" si="1"/>
        <v>1</v>
      </c>
      <c r="AE56" s="407">
        <f t="shared" si="22"/>
        <v>130</v>
      </c>
      <c r="AF56" s="408">
        <f t="shared" si="38"/>
        <v>1</v>
      </c>
      <c r="AG56" s="409">
        <f t="shared" si="23"/>
        <v>130</v>
      </c>
      <c r="AH56" s="406">
        <f t="shared" si="39"/>
        <v>1</v>
      </c>
      <c r="AI56" s="409">
        <f t="shared" si="24"/>
        <v>130</v>
      </c>
      <c r="AJ56" s="410" t="str">
        <f t="shared" si="40"/>
        <v>80-100%</v>
      </c>
      <c r="AK56" s="406">
        <f t="shared" si="41"/>
        <v>0</v>
      </c>
      <c r="AL56" s="411">
        <f t="shared" si="42"/>
        <v>0</v>
      </c>
      <c r="AM56" s="409">
        <f t="shared" si="43"/>
        <v>0</v>
      </c>
      <c r="AN56" s="409">
        <f t="shared" si="44"/>
        <v>0</v>
      </c>
      <c r="AO56" s="409">
        <f t="shared" si="25"/>
        <v>0</v>
      </c>
      <c r="AP56" s="566">
        <v>1</v>
      </c>
      <c r="AQ56" s="567">
        <f t="shared" si="26"/>
        <v>130</v>
      </c>
      <c r="AR56" s="551"/>
      <c r="AS56" s="552">
        <v>0</v>
      </c>
      <c r="AT56" s="515">
        <v>0</v>
      </c>
      <c r="AU56" s="515">
        <v>5</v>
      </c>
      <c r="AV56" s="515" t="s">
        <v>298</v>
      </c>
      <c r="AW56" s="412">
        <f t="shared" si="45"/>
        <v>0.76923076923076927</v>
      </c>
      <c r="AX56" s="409">
        <f t="shared" si="27"/>
        <v>100</v>
      </c>
      <c r="AY56" s="412">
        <f t="shared" si="46"/>
        <v>0</v>
      </c>
      <c r="AZ56" s="409">
        <f t="shared" si="28"/>
        <v>0</v>
      </c>
      <c r="BA56" s="412">
        <f t="shared" si="47"/>
        <v>0.76923076923076927</v>
      </c>
      <c r="BB56" s="409">
        <f t="shared" si="29"/>
        <v>100</v>
      </c>
      <c r="BC56" s="550">
        <v>0</v>
      </c>
      <c r="BD56" s="571">
        <v>1</v>
      </c>
      <c r="BE56" s="413">
        <f t="shared" si="48"/>
        <v>130</v>
      </c>
      <c r="BF56" s="414">
        <f t="shared" si="30"/>
        <v>1.5</v>
      </c>
      <c r="BG56" s="550">
        <v>2</v>
      </c>
      <c r="BH56" s="550" t="s">
        <v>299</v>
      </c>
      <c r="BI56" s="412">
        <f t="shared" si="31"/>
        <v>1</v>
      </c>
      <c r="BJ56" s="409">
        <f t="shared" si="32"/>
        <v>130</v>
      </c>
      <c r="BK56" s="414">
        <f t="shared" si="33"/>
        <v>0</v>
      </c>
      <c r="BL56" s="566">
        <v>1</v>
      </c>
      <c r="BM56" s="409">
        <f t="shared" si="34"/>
        <v>130</v>
      </c>
      <c r="BN56" s="550">
        <v>2</v>
      </c>
      <c r="BO56" s="412">
        <f t="shared" si="49"/>
        <v>1</v>
      </c>
      <c r="BP56" s="414">
        <f t="shared" si="50"/>
        <v>0</v>
      </c>
      <c r="BQ56" s="557">
        <v>1</v>
      </c>
      <c r="BR56" s="589"/>
      <c r="BS56" s="594">
        <v>42048</v>
      </c>
      <c r="BT56" s="415">
        <f t="shared" si="15"/>
        <v>42413</v>
      </c>
      <c r="BU56" s="515">
        <v>16</v>
      </c>
      <c r="BV56" s="515">
        <v>3</v>
      </c>
      <c r="BW56" s="416">
        <f t="shared" si="16"/>
        <v>12</v>
      </c>
      <c r="BX56" s="417">
        <f t="shared" si="51"/>
        <v>0.5714285714285714</v>
      </c>
      <c r="BY56" s="409">
        <f t="shared" si="52"/>
        <v>74.285714285714278</v>
      </c>
      <c r="BZ56" s="446">
        <f t="shared" si="19"/>
        <v>0</v>
      </c>
      <c r="CA56" s="542"/>
      <c r="CB56" s="557">
        <v>1</v>
      </c>
      <c r="CC56" s="451">
        <f t="shared" si="35"/>
        <v>130</v>
      </c>
      <c r="CD56" s="542">
        <v>2</v>
      </c>
      <c r="CE56" s="418" t="str">
        <f t="shared" si="36"/>
        <v>Excellent coverage</v>
      </c>
      <c r="CF56" s="550">
        <v>0</v>
      </c>
      <c r="CG56" s="551" t="s">
        <v>65</v>
      </c>
      <c r="CH56" s="602"/>
    </row>
    <row r="57" spans="2:86" s="40" customFormat="1" ht="30.75" customHeight="1" x14ac:dyDescent="0.2">
      <c r="B57" s="512" t="s">
        <v>135</v>
      </c>
      <c r="C57" s="513" t="s">
        <v>510</v>
      </c>
      <c r="D57" s="514" t="s">
        <v>265</v>
      </c>
      <c r="E57" s="513" t="s">
        <v>151</v>
      </c>
      <c r="F57" s="514">
        <v>97.419403000000003</v>
      </c>
      <c r="G57" s="514">
        <v>25.440928</v>
      </c>
      <c r="H57" s="514" t="s">
        <v>467</v>
      </c>
      <c r="I57" s="514" t="s">
        <v>218</v>
      </c>
      <c r="J57" s="515">
        <v>83</v>
      </c>
      <c r="K57" s="515">
        <v>425</v>
      </c>
      <c r="L57" s="515">
        <v>425</v>
      </c>
      <c r="M57" s="405" t="str">
        <f t="shared" si="37"/>
        <v>2. Medium</v>
      </c>
      <c r="N57" s="516" t="s">
        <v>239</v>
      </c>
      <c r="O57" s="530" t="s">
        <v>239</v>
      </c>
      <c r="P57" s="439" t="str">
        <f t="shared" si="20"/>
        <v>Covered</v>
      </c>
      <c r="Q57" s="531">
        <v>42185</v>
      </c>
      <c r="R57" s="532" t="s">
        <v>240</v>
      </c>
      <c r="S57" s="531">
        <v>42185</v>
      </c>
      <c r="T57" s="516" t="s">
        <v>260</v>
      </c>
      <c r="U57" s="436" t="str">
        <f t="shared" si="21"/>
        <v>Documented</v>
      </c>
      <c r="V57" s="542">
        <v>0</v>
      </c>
      <c r="W57" s="515">
        <v>0</v>
      </c>
      <c r="X57" s="543" t="s">
        <v>19</v>
      </c>
      <c r="Y57" s="542">
        <v>2</v>
      </c>
      <c r="Z57" s="550">
        <v>0</v>
      </c>
      <c r="AA57" s="551">
        <v>2000</v>
      </c>
      <c r="AB57" s="556">
        <v>0</v>
      </c>
      <c r="AC57" s="557">
        <v>1</v>
      </c>
      <c r="AD57" s="443">
        <f t="shared" si="1"/>
        <v>1</v>
      </c>
      <c r="AE57" s="407">
        <f t="shared" si="22"/>
        <v>425</v>
      </c>
      <c r="AF57" s="408">
        <f t="shared" si="38"/>
        <v>1</v>
      </c>
      <c r="AG57" s="409">
        <f t="shared" si="23"/>
        <v>425</v>
      </c>
      <c r="AH57" s="406">
        <f t="shared" si="39"/>
        <v>1</v>
      </c>
      <c r="AI57" s="409">
        <f t="shared" si="24"/>
        <v>425</v>
      </c>
      <c r="AJ57" s="410" t="str">
        <f t="shared" si="40"/>
        <v>80-100%</v>
      </c>
      <c r="AK57" s="406">
        <f t="shared" si="41"/>
        <v>0</v>
      </c>
      <c r="AL57" s="411">
        <f t="shared" si="42"/>
        <v>0</v>
      </c>
      <c r="AM57" s="409">
        <f t="shared" si="43"/>
        <v>0</v>
      </c>
      <c r="AN57" s="409">
        <f t="shared" si="44"/>
        <v>83</v>
      </c>
      <c r="AO57" s="409">
        <f t="shared" si="25"/>
        <v>0</v>
      </c>
      <c r="AP57" s="566">
        <v>1</v>
      </c>
      <c r="AQ57" s="567">
        <f t="shared" si="26"/>
        <v>425</v>
      </c>
      <c r="AR57" s="551"/>
      <c r="AS57" s="552">
        <v>0</v>
      </c>
      <c r="AT57" s="515">
        <v>0</v>
      </c>
      <c r="AU57" s="515">
        <v>16</v>
      </c>
      <c r="AV57" s="515" t="s">
        <v>298</v>
      </c>
      <c r="AW57" s="412">
        <f t="shared" si="45"/>
        <v>0.75294117647058822</v>
      </c>
      <c r="AX57" s="409">
        <f t="shared" si="27"/>
        <v>320</v>
      </c>
      <c r="AY57" s="412">
        <f t="shared" si="46"/>
        <v>0</v>
      </c>
      <c r="AZ57" s="409">
        <f t="shared" si="28"/>
        <v>0</v>
      </c>
      <c r="BA57" s="412">
        <f t="shared" si="47"/>
        <v>0.75294117647058822</v>
      </c>
      <c r="BB57" s="409">
        <f t="shared" si="29"/>
        <v>320</v>
      </c>
      <c r="BC57" s="550">
        <v>0</v>
      </c>
      <c r="BD57" s="571">
        <v>0.75</v>
      </c>
      <c r="BE57" s="413">
        <f t="shared" si="48"/>
        <v>318.75</v>
      </c>
      <c r="BF57" s="414">
        <f t="shared" si="30"/>
        <v>5.25</v>
      </c>
      <c r="BG57" s="550">
        <v>1</v>
      </c>
      <c r="BH57" s="550" t="s">
        <v>91</v>
      </c>
      <c r="BI57" s="412">
        <f t="shared" si="31"/>
        <v>0.23529411764705882</v>
      </c>
      <c r="BJ57" s="409">
        <f t="shared" si="32"/>
        <v>100</v>
      </c>
      <c r="BK57" s="414">
        <f t="shared" si="33"/>
        <v>3.25</v>
      </c>
      <c r="BL57" s="566">
        <v>0.24</v>
      </c>
      <c r="BM57" s="409">
        <f t="shared" si="34"/>
        <v>102</v>
      </c>
      <c r="BN57" s="550">
        <v>6</v>
      </c>
      <c r="BO57" s="412">
        <f t="shared" si="49"/>
        <v>1</v>
      </c>
      <c r="BP57" s="414">
        <f t="shared" si="50"/>
        <v>0</v>
      </c>
      <c r="BQ57" s="557">
        <v>1</v>
      </c>
      <c r="BR57" s="589" t="s">
        <v>799</v>
      </c>
      <c r="BS57" s="594">
        <v>42053</v>
      </c>
      <c r="BT57" s="415">
        <f t="shared" si="15"/>
        <v>42418</v>
      </c>
      <c r="BU57" s="515">
        <v>83</v>
      </c>
      <c r="BV57" s="515">
        <v>3</v>
      </c>
      <c r="BW57" s="416">
        <f t="shared" si="16"/>
        <v>0</v>
      </c>
      <c r="BX57" s="417">
        <f t="shared" si="51"/>
        <v>1</v>
      </c>
      <c r="BY57" s="409">
        <f t="shared" si="52"/>
        <v>425</v>
      </c>
      <c r="BZ57" s="446">
        <f t="shared" si="19"/>
        <v>0</v>
      </c>
      <c r="CA57" s="542"/>
      <c r="CB57" s="557">
        <v>0.8</v>
      </c>
      <c r="CC57" s="451">
        <f t="shared" si="35"/>
        <v>340</v>
      </c>
      <c r="CD57" s="542">
        <v>1</v>
      </c>
      <c r="CE57" s="418" t="str">
        <f t="shared" si="36"/>
        <v>Excellent coverage</v>
      </c>
      <c r="CF57" s="550">
        <v>0</v>
      </c>
      <c r="CG57" s="551" t="s">
        <v>301</v>
      </c>
      <c r="CH57" s="602"/>
    </row>
    <row r="58" spans="2:86" s="40" customFormat="1" ht="30.75" customHeight="1" x14ac:dyDescent="0.2">
      <c r="B58" s="512" t="s">
        <v>135</v>
      </c>
      <c r="C58" s="513" t="s">
        <v>503</v>
      </c>
      <c r="D58" s="514" t="s">
        <v>265</v>
      </c>
      <c r="E58" s="513" t="s">
        <v>152</v>
      </c>
      <c r="F58" s="514">
        <v>97.386718999999999</v>
      </c>
      <c r="G58" s="514">
        <v>25.415482000000001</v>
      </c>
      <c r="H58" s="514" t="s">
        <v>467</v>
      </c>
      <c r="I58" s="514" t="s">
        <v>218</v>
      </c>
      <c r="J58" s="515">
        <v>87</v>
      </c>
      <c r="K58" s="515">
        <v>258</v>
      </c>
      <c r="L58" s="515">
        <v>258</v>
      </c>
      <c r="M58" s="405" t="str">
        <f t="shared" si="37"/>
        <v>2. Medium</v>
      </c>
      <c r="N58" s="516" t="s">
        <v>239</v>
      </c>
      <c r="O58" s="530" t="s">
        <v>239</v>
      </c>
      <c r="P58" s="439" t="str">
        <f t="shared" si="20"/>
        <v>Covered</v>
      </c>
      <c r="Q58" s="531">
        <v>42185</v>
      </c>
      <c r="R58" s="532" t="s">
        <v>240</v>
      </c>
      <c r="S58" s="531">
        <v>42185</v>
      </c>
      <c r="T58" s="516" t="s">
        <v>260</v>
      </c>
      <c r="U58" s="436" t="str">
        <f t="shared" si="21"/>
        <v>Documented</v>
      </c>
      <c r="V58" s="542">
        <v>0</v>
      </c>
      <c r="W58" s="515">
        <v>0</v>
      </c>
      <c r="X58" s="543" t="s">
        <v>19</v>
      </c>
      <c r="Y58" s="542">
        <v>0</v>
      </c>
      <c r="Z58" s="550">
        <v>3</v>
      </c>
      <c r="AA58" s="551">
        <v>1000</v>
      </c>
      <c r="AB58" s="556">
        <v>0</v>
      </c>
      <c r="AC58" s="557">
        <v>1</v>
      </c>
      <c r="AD58" s="443">
        <f t="shared" si="1"/>
        <v>1</v>
      </c>
      <c r="AE58" s="407">
        <f t="shared" si="22"/>
        <v>258</v>
      </c>
      <c r="AF58" s="408">
        <f t="shared" si="38"/>
        <v>1</v>
      </c>
      <c r="AG58" s="409">
        <f t="shared" si="23"/>
        <v>258</v>
      </c>
      <c r="AH58" s="406">
        <f t="shared" si="39"/>
        <v>1</v>
      </c>
      <c r="AI58" s="409">
        <f t="shared" si="24"/>
        <v>258</v>
      </c>
      <c r="AJ58" s="410" t="str">
        <f t="shared" si="40"/>
        <v>80-100%</v>
      </c>
      <c r="AK58" s="406">
        <f t="shared" si="41"/>
        <v>0</v>
      </c>
      <c r="AL58" s="411">
        <f t="shared" si="42"/>
        <v>0</v>
      </c>
      <c r="AM58" s="409">
        <f t="shared" si="43"/>
        <v>0</v>
      </c>
      <c r="AN58" s="409">
        <f t="shared" si="44"/>
        <v>87</v>
      </c>
      <c r="AO58" s="409">
        <f t="shared" si="25"/>
        <v>0</v>
      </c>
      <c r="AP58" s="566">
        <v>1</v>
      </c>
      <c r="AQ58" s="567">
        <f t="shared" si="26"/>
        <v>258</v>
      </c>
      <c r="AR58" s="551"/>
      <c r="AS58" s="552">
        <v>0</v>
      </c>
      <c r="AT58" s="515">
        <v>0</v>
      </c>
      <c r="AU58" s="515">
        <v>10</v>
      </c>
      <c r="AV58" s="515" t="s">
        <v>299</v>
      </c>
      <c r="AW58" s="412">
        <f t="shared" si="45"/>
        <v>0.77519379844961245</v>
      </c>
      <c r="AX58" s="409">
        <f t="shared" si="27"/>
        <v>200</v>
      </c>
      <c r="AY58" s="412">
        <f t="shared" si="46"/>
        <v>0</v>
      </c>
      <c r="AZ58" s="409">
        <f t="shared" si="28"/>
        <v>0</v>
      </c>
      <c r="BA58" s="412">
        <f t="shared" si="47"/>
        <v>0.77519379844961245</v>
      </c>
      <c r="BB58" s="409">
        <f t="shared" si="29"/>
        <v>200</v>
      </c>
      <c r="BC58" s="550">
        <v>0</v>
      </c>
      <c r="BD58" s="571">
        <v>0.78</v>
      </c>
      <c r="BE58" s="413">
        <f t="shared" si="48"/>
        <v>201.24</v>
      </c>
      <c r="BF58" s="414">
        <f t="shared" si="30"/>
        <v>2.9000000000000004</v>
      </c>
      <c r="BG58" s="550">
        <v>2</v>
      </c>
      <c r="BH58" s="550" t="s">
        <v>300</v>
      </c>
      <c r="BI58" s="412">
        <f t="shared" si="31"/>
        <v>0.77519379844961245</v>
      </c>
      <c r="BJ58" s="409">
        <f t="shared" si="32"/>
        <v>200</v>
      </c>
      <c r="BK58" s="414">
        <f t="shared" si="33"/>
        <v>0.58000000000000007</v>
      </c>
      <c r="BL58" s="566">
        <v>0.78</v>
      </c>
      <c r="BM58" s="409">
        <f t="shared" si="34"/>
        <v>201.24</v>
      </c>
      <c r="BN58" s="550">
        <v>1</v>
      </c>
      <c r="BO58" s="412">
        <f t="shared" si="49"/>
        <v>0.38759689922480622</v>
      </c>
      <c r="BP58" s="414">
        <f t="shared" si="50"/>
        <v>1.58</v>
      </c>
      <c r="BQ58" s="557">
        <v>0.39</v>
      </c>
      <c r="BR58" s="589" t="s">
        <v>778</v>
      </c>
      <c r="BS58" s="594">
        <v>42053</v>
      </c>
      <c r="BT58" s="415">
        <f t="shared" si="15"/>
        <v>42418</v>
      </c>
      <c r="BU58" s="515">
        <v>87</v>
      </c>
      <c r="BV58" s="515">
        <v>3</v>
      </c>
      <c r="BW58" s="416">
        <f t="shared" si="16"/>
        <v>0</v>
      </c>
      <c r="BX58" s="417">
        <f t="shared" si="51"/>
        <v>1</v>
      </c>
      <c r="BY58" s="409">
        <f t="shared" si="52"/>
        <v>258</v>
      </c>
      <c r="BZ58" s="446">
        <f t="shared" si="19"/>
        <v>0</v>
      </c>
      <c r="CA58" s="542"/>
      <c r="CB58" s="557">
        <v>0.8</v>
      </c>
      <c r="CC58" s="451">
        <f t="shared" si="35"/>
        <v>206.4</v>
      </c>
      <c r="CD58" s="542">
        <v>1</v>
      </c>
      <c r="CE58" s="418" t="str">
        <f t="shared" si="36"/>
        <v>Excellent coverage</v>
      </c>
      <c r="CF58" s="550">
        <v>0</v>
      </c>
      <c r="CG58" s="551" t="s">
        <v>301</v>
      </c>
      <c r="CH58" s="602"/>
    </row>
    <row r="59" spans="2:86" s="40" customFormat="1" ht="30.75" customHeight="1" x14ac:dyDescent="0.2">
      <c r="B59" s="512" t="s">
        <v>135</v>
      </c>
      <c r="C59" s="513" t="s">
        <v>524</v>
      </c>
      <c r="D59" s="514" t="s">
        <v>265</v>
      </c>
      <c r="E59" s="513" t="s">
        <v>640</v>
      </c>
      <c r="F59" s="514">
        <v>97.387370000000004</v>
      </c>
      <c r="G59" s="514">
        <v>25.42595</v>
      </c>
      <c r="H59" s="514" t="s">
        <v>467</v>
      </c>
      <c r="I59" s="514" t="s">
        <v>218</v>
      </c>
      <c r="J59" s="515">
        <v>34</v>
      </c>
      <c r="K59" s="515">
        <v>176</v>
      </c>
      <c r="L59" s="515">
        <v>176</v>
      </c>
      <c r="M59" s="405" t="str">
        <f t="shared" si="37"/>
        <v>1. Small</v>
      </c>
      <c r="N59" s="516" t="s">
        <v>284</v>
      </c>
      <c r="O59" s="530" t="s">
        <v>284</v>
      </c>
      <c r="P59" s="439" t="str">
        <f t="shared" si="20"/>
        <v>Covered</v>
      </c>
      <c r="Q59" s="531">
        <v>42155</v>
      </c>
      <c r="R59" s="532"/>
      <c r="S59" s="531"/>
      <c r="T59" s="516" t="s">
        <v>260</v>
      </c>
      <c r="U59" s="436" t="str">
        <f t="shared" si="21"/>
        <v>Documented</v>
      </c>
      <c r="V59" s="542">
        <v>0</v>
      </c>
      <c r="W59" s="515">
        <v>15840</v>
      </c>
      <c r="X59" s="543" t="s">
        <v>18</v>
      </c>
      <c r="Y59" s="542">
        <v>1</v>
      </c>
      <c r="Z59" s="550">
        <v>2</v>
      </c>
      <c r="AA59" s="551">
        <v>0</v>
      </c>
      <c r="AB59" s="556">
        <v>0</v>
      </c>
      <c r="AC59" s="557">
        <v>0</v>
      </c>
      <c r="AD59" s="443">
        <f t="shared" si="1"/>
        <v>1</v>
      </c>
      <c r="AE59" s="407">
        <f t="shared" si="22"/>
        <v>176</v>
      </c>
      <c r="AF59" s="408">
        <f t="shared" si="38"/>
        <v>1</v>
      </c>
      <c r="AG59" s="409">
        <f t="shared" si="23"/>
        <v>176</v>
      </c>
      <c r="AH59" s="406">
        <f t="shared" si="39"/>
        <v>1</v>
      </c>
      <c r="AI59" s="409">
        <f t="shared" si="24"/>
        <v>176</v>
      </c>
      <c r="AJ59" s="410" t="str">
        <f t="shared" si="40"/>
        <v>80-100%</v>
      </c>
      <c r="AK59" s="406">
        <f t="shared" si="41"/>
        <v>0</v>
      </c>
      <c r="AL59" s="411">
        <f t="shared" si="42"/>
        <v>0</v>
      </c>
      <c r="AM59" s="409">
        <f t="shared" si="43"/>
        <v>0</v>
      </c>
      <c r="AN59" s="409">
        <f t="shared" si="44"/>
        <v>0</v>
      </c>
      <c r="AO59" s="409">
        <f t="shared" si="25"/>
        <v>0</v>
      </c>
      <c r="AP59" s="566">
        <v>1</v>
      </c>
      <c r="AQ59" s="567">
        <f t="shared" si="26"/>
        <v>176</v>
      </c>
      <c r="AR59" s="551"/>
      <c r="AS59" s="552">
        <v>0</v>
      </c>
      <c r="AT59" s="515">
        <v>2</v>
      </c>
      <c r="AU59" s="515">
        <v>8</v>
      </c>
      <c r="AV59" s="515" t="s">
        <v>298</v>
      </c>
      <c r="AW59" s="412">
        <f t="shared" si="45"/>
        <v>1</v>
      </c>
      <c r="AX59" s="409">
        <f t="shared" si="27"/>
        <v>176</v>
      </c>
      <c r="AY59" s="412">
        <f t="shared" si="46"/>
        <v>9.0909090909090939E-2</v>
      </c>
      <c r="AZ59" s="409">
        <f t="shared" si="28"/>
        <v>16.000000000000007</v>
      </c>
      <c r="BA59" s="412">
        <f t="shared" si="47"/>
        <v>0.90909090909090906</v>
      </c>
      <c r="BB59" s="409">
        <f t="shared" si="29"/>
        <v>160</v>
      </c>
      <c r="BC59" s="550">
        <v>0</v>
      </c>
      <c r="BD59" s="571">
        <v>1</v>
      </c>
      <c r="BE59" s="413">
        <f t="shared" si="48"/>
        <v>176</v>
      </c>
      <c r="BF59" s="414">
        <f t="shared" si="30"/>
        <v>0.80000000000000071</v>
      </c>
      <c r="BG59" s="550">
        <v>2</v>
      </c>
      <c r="BH59" s="550" t="s">
        <v>91</v>
      </c>
      <c r="BI59" s="412">
        <f t="shared" si="31"/>
        <v>1</v>
      </c>
      <c r="BJ59" s="409">
        <f t="shared" si="32"/>
        <v>176</v>
      </c>
      <c r="BK59" s="414">
        <f t="shared" si="33"/>
        <v>0</v>
      </c>
      <c r="BL59" s="566">
        <v>1</v>
      </c>
      <c r="BM59" s="409">
        <f t="shared" si="34"/>
        <v>176</v>
      </c>
      <c r="BN59" s="550">
        <v>2</v>
      </c>
      <c r="BO59" s="412">
        <f t="shared" si="49"/>
        <v>1</v>
      </c>
      <c r="BP59" s="414">
        <f t="shared" si="50"/>
        <v>0</v>
      </c>
      <c r="BQ59" s="557">
        <v>1</v>
      </c>
      <c r="BR59" s="589"/>
      <c r="BS59" s="594">
        <v>42048</v>
      </c>
      <c r="BT59" s="415">
        <f t="shared" si="15"/>
        <v>42413</v>
      </c>
      <c r="BU59" s="515">
        <v>34</v>
      </c>
      <c r="BV59" s="515">
        <v>3</v>
      </c>
      <c r="BW59" s="416">
        <f t="shared" si="16"/>
        <v>0</v>
      </c>
      <c r="BX59" s="417">
        <f t="shared" si="51"/>
        <v>1</v>
      </c>
      <c r="BY59" s="409">
        <f t="shared" si="52"/>
        <v>176</v>
      </c>
      <c r="BZ59" s="446">
        <f t="shared" si="19"/>
        <v>0</v>
      </c>
      <c r="CA59" s="542"/>
      <c r="CB59" s="557">
        <v>1</v>
      </c>
      <c r="CC59" s="451">
        <f t="shared" si="35"/>
        <v>176</v>
      </c>
      <c r="CD59" s="542">
        <v>1</v>
      </c>
      <c r="CE59" s="418" t="str">
        <f t="shared" si="36"/>
        <v>Excellent coverage</v>
      </c>
      <c r="CF59" s="550">
        <v>0</v>
      </c>
      <c r="CG59" s="551" t="s">
        <v>65</v>
      </c>
      <c r="CH59" s="602"/>
    </row>
    <row r="60" spans="2:86" s="40" customFormat="1" ht="30.75" customHeight="1" x14ac:dyDescent="0.2">
      <c r="B60" s="512" t="s">
        <v>135</v>
      </c>
      <c r="C60" s="513" t="s">
        <v>524</v>
      </c>
      <c r="D60" s="514" t="s">
        <v>265</v>
      </c>
      <c r="E60" s="513" t="s">
        <v>153</v>
      </c>
      <c r="F60" s="514">
        <v>97.388400000000004</v>
      </c>
      <c r="G60" s="514">
        <v>25.40982</v>
      </c>
      <c r="H60" s="514" t="s">
        <v>467</v>
      </c>
      <c r="I60" s="514" t="s">
        <v>218</v>
      </c>
      <c r="J60" s="515">
        <v>35</v>
      </c>
      <c r="K60" s="515">
        <v>160</v>
      </c>
      <c r="L60" s="515">
        <v>160</v>
      </c>
      <c r="M60" s="405" t="str">
        <f t="shared" si="37"/>
        <v>1. Small</v>
      </c>
      <c r="N60" s="516" t="s">
        <v>284</v>
      </c>
      <c r="O60" s="530" t="s">
        <v>284</v>
      </c>
      <c r="P60" s="439" t="str">
        <f t="shared" si="20"/>
        <v>Covered</v>
      </c>
      <c r="Q60" s="531">
        <v>42155</v>
      </c>
      <c r="R60" s="532"/>
      <c r="S60" s="531"/>
      <c r="T60" s="516" t="s">
        <v>260</v>
      </c>
      <c r="U60" s="436" t="str">
        <f t="shared" si="21"/>
        <v>Documented</v>
      </c>
      <c r="V60" s="542">
        <v>0</v>
      </c>
      <c r="W60" s="515">
        <v>14400</v>
      </c>
      <c r="X60" s="543" t="s">
        <v>18</v>
      </c>
      <c r="Y60" s="542">
        <v>1</v>
      </c>
      <c r="Z60" s="550">
        <v>2</v>
      </c>
      <c r="AA60" s="551">
        <v>2000</v>
      </c>
      <c r="AB60" s="556">
        <v>0</v>
      </c>
      <c r="AC60" s="557">
        <v>0</v>
      </c>
      <c r="AD60" s="443">
        <f t="shared" si="1"/>
        <v>1</v>
      </c>
      <c r="AE60" s="407">
        <f t="shared" si="22"/>
        <v>160</v>
      </c>
      <c r="AF60" s="408">
        <f t="shared" si="38"/>
        <v>1</v>
      </c>
      <c r="AG60" s="409">
        <f t="shared" si="23"/>
        <v>160</v>
      </c>
      <c r="AH60" s="406">
        <f t="shared" si="39"/>
        <v>1</v>
      </c>
      <c r="AI60" s="409">
        <f t="shared" si="24"/>
        <v>160</v>
      </c>
      <c r="AJ60" s="410" t="str">
        <f t="shared" si="40"/>
        <v>80-100%</v>
      </c>
      <c r="AK60" s="406">
        <f t="shared" si="41"/>
        <v>0</v>
      </c>
      <c r="AL60" s="411">
        <f t="shared" si="42"/>
        <v>0</v>
      </c>
      <c r="AM60" s="409">
        <f t="shared" si="43"/>
        <v>0</v>
      </c>
      <c r="AN60" s="409">
        <f t="shared" si="44"/>
        <v>0</v>
      </c>
      <c r="AO60" s="409">
        <f t="shared" si="25"/>
        <v>0</v>
      </c>
      <c r="AP60" s="566">
        <v>1</v>
      </c>
      <c r="AQ60" s="567">
        <f t="shared" si="26"/>
        <v>160</v>
      </c>
      <c r="AR60" s="551"/>
      <c r="AS60" s="552">
        <v>16</v>
      </c>
      <c r="AT60" s="515">
        <v>3</v>
      </c>
      <c r="AU60" s="515">
        <v>6</v>
      </c>
      <c r="AV60" s="515" t="s">
        <v>298</v>
      </c>
      <c r="AW60" s="412">
        <f t="shared" si="45"/>
        <v>1</v>
      </c>
      <c r="AX60" s="409">
        <f t="shared" si="27"/>
        <v>160</v>
      </c>
      <c r="AY60" s="412">
        <f t="shared" si="46"/>
        <v>0.25</v>
      </c>
      <c r="AZ60" s="409">
        <f t="shared" si="28"/>
        <v>40</v>
      </c>
      <c r="BA60" s="412">
        <f t="shared" si="47"/>
        <v>0.75</v>
      </c>
      <c r="BB60" s="409">
        <f t="shared" si="29"/>
        <v>120</v>
      </c>
      <c r="BC60" s="550">
        <v>0</v>
      </c>
      <c r="BD60" s="571">
        <v>1</v>
      </c>
      <c r="BE60" s="413">
        <f t="shared" si="48"/>
        <v>160</v>
      </c>
      <c r="BF60" s="414">
        <f t="shared" si="30"/>
        <v>2</v>
      </c>
      <c r="BG60" s="550">
        <v>2</v>
      </c>
      <c r="BH60" s="550" t="s">
        <v>299</v>
      </c>
      <c r="BI60" s="412">
        <f t="shared" si="31"/>
        <v>1</v>
      </c>
      <c r="BJ60" s="409">
        <f t="shared" si="32"/>
        <v>160</v>
      </c>
      <c r="BK60" s="414">
        <f t="shared" si="33"/>
        <v>0</v>
      </c>
      <c r="BL60" s="566">
        <v>1</v>
      </c>
      <c r="BM60" s="409">
        <f t="shared" si="34"/>
        <v>160</v>
      </c>
      <c r="BN60" s="550">
        <v>6</v>
      </c>
      <c r="BO60" s="412">
        <f t="shared" si="49"/>
        <v>1</v>
      </c>
      <c r="BP60" s="414">
        <f t="shared" si="50"/>
        <v>0</v>
      </c>
      <c r="BQ60" s="557">
        <v>1</v>
      </c>
      <c r="BR60" s="589"/>
      <c r="BS60" s="594">
        <v>42048</v>
      </c>
      <c r="BT60" s="415">
        <f t="shared" si="15"/>
        <v>42413</v>
      </c>
      <c r="BU60" s="515">
        <v>35</v>
      </c>
      <c r="BV60" s="515">
        <v>3</v>
      </c>
      <c r="BW60" s="416">
        <f t="shared" si="16"/>
        <v>0</v>
      </c>
      <c r="BX60" s="417">
        <f t="shared" si="51"/>
        <v>1</v>
      </c>
      <c r="BY60" s="409">
        <f t="shared" si="52"/>
        <v>160</v>
      </c>
      <c r="BZ60" s="446">
        <f t="shared" si="19"/>
        <v>0</v>
      </c>
      <c r="CA60" s="542"/>
      <c r="CB60" s="557">
        <v>1</v>
      </c>
      <c r="CC60" s="451">
        <f t="shared" si="35"/>
        <v>160</v>
      </c>
      <c r="CD60" s="542">
        <v>1</v>
      </c>
      <c r="CE60" s="418" t="str">
        <f t="shared" si="36"/>
        <v>Excellent coverage</v>
      </c>
      <c r="CF60" s="550">
        <v>0</v>
      </c>
      <c r="CG60" s="551" t="s">
        <v>65</v>
      </c>
      <c r="CH60" s="602"/>
    </row>
    <row r="61" spans="2:86" s="40" customFormat="1" ht="30.75" customHeight="1" x14ac:dyDescent="0.2">
      <c r="B61" s="512" t="s">
        <v>135</v>
      </c>
      <c r="C61" s="513" t="s">
        <v>506</v>
      </c>
      <c r="D61" s="514" t="s">
        <v>265</v>
      </c>
      <c r="E61" s="513" t="s">
        <v>154</v>
      </c>
      <c r="F61" s="514">
        <v>97.379272</v>
      </c>
      <c r="G61" s="514">
        <v>25.401074999999999</v>
      </c>
      <c r="H61" s="514" t="s">
        <v>467</v>
      </c>
      <c r="I61" s="514" t="s">
        <v>218</v>
      </c>
      <c r="J61" s="515">
        <v>7</v>
      </c>
      <c r="K61" s="515">
        <v>30</v>
      </c>
      <c r="L61" s="515">
        <v>30</v>
      </c>
      <c r="M61" s="405" t="str">
        <f t="shared" si="37"/>
        <v>1. Small</v>
      </c>
      <c r="N61" s="516" t="s">
        <v>284</v>
      </c>
      <c r="O61" s="530" t="s">
        <v>284</v>
      </c>
      <c r="P61" s="439" t="str">
        <f t="shared" si="20"/>
        <v>Covered</v>
      </c>
      <c r="Q61" s="531">
        <v>42155</v>
      </c>
      <c r="R61" s="532"/>
      <c r="S61" s="531"/>
      <c r="T61" s="516" t="s">
        <v>260</v>
      </c>
      <c r="U61" s="436" t="str">
        <f t="shared" si="21"/>
        <v>Documented</v>
      </c>
      <c r="V61" s="542">
        <v>0</v>
      </c>
      <c r="W61" s="515">
        <v>0</v>
      </c>
      <c r="X61" s="543" t="s">
        <v>19</v>
      </c>
      <c r="Y61" s="542">
        <v>0</v>
      </c>
      <c r="Z61" s="550">
        <v>1</v>
      </c>
      <c r="AA61" s="551">
        <v>3600</v>
      </c>
      <c r="AB61" s="556">
        <v>0</v>
      </c>
      <c r="AC61" s="557">
        <v>0</v>
      </c>
      <c r="AD61" s="443">
        <f t="shared" si="1"/>
        <v>1</v>
      </c>
      <c r="AE61" s="407">
        <f t="shared" si="22"/>
        <v>30</v>
      </c>
      <c r="AF61" s="408">
        <f t="shared" si="38"/>
        <v>1</v>
      </c>
      <c r="AG61" s="409">
        <f t="shared" si="23"/>
        <v>30</v>
      </c>
      <c r="AH61" s="406">
        <f t="shared" si="39"/>
        <v>1</v>
      </c>
      <c r="AI61" s="409">
        <f t="shared" si="24"/>
        <v>30</v>
      </c>
      <c r="AJ61" s="410" t="str">
        <f t="shared" si="40"/>
        <v>80-100%</v>
      </c>
      <c r="AK61" s="406">
        <f t="shared" si="41"/>
        <v>0</v>
      </c>
      <c r="AL61" s="411">
        <f t="shared" si="42"/>
        <v>0</v>
      </c>
      <c r="AM61" s="409">
        <f t="shared" si="43"/>
        <v>0</v>
      </c>
      <c r="AN61" s="409">
        <f t="shared" si="44"/>
        <v>0</v>
      </c>
      <c r="AO61" s="409">
        <f t="shared" si="25"/>
        <v>0</v>
      </c>
      <c r="AP61" s="566">
        <v>1</v>
      </c>
      <c r="AQ61" s="567">
        <f t="shared" si="26"/>
        <v>30</v>
      </c>
      <c r="AR61" s="551"/>
      <c r="AS61" s="552">
        <v>0</v>
      </c>
      <c r="AT61" s="515">
        <v>0</v>
      </c>
      <c r="AU61" s="515">
        <v>2</v>
      </c>
      <c r="AV61" s="515" t="s">
        <v>298</v>
      </c>
      <c r="AW61" s="412">
        <f t="shared" si="45"/>
        <v>1</v>
      </c>
      <c r="AX61" s="409">
        <f t="shared" si="27"/>
        <v>30</v>
      </c>
      <c r="AY61" s="412">
        <f t="shared" si="46"/>
        <v>0</v>
      </c>
      <c r="AZ61" s="409">
        <f t="shared" si="28"/>
        <v>0</v>
      </c>
      <c r="BA61" s="412">
        <f t="shared" si="47"/>
        <v>1</v>
      </c>
      <c r="BB61" s="409">
        <f t="shared" si="29"/>
        <v>30</v>
      </c>
      <c r="BC61" s="550">
        <v>0</v>
      </c>
      <c r="BD61" s="571">
        <v>1</v>
      </c>
      <c r="BE61" s="413">
        <f t="shared" si="48"/>
        <v>30</v>
      </c>
      <c r="BF61" s="414">
        <f t="shared" si="30"/>
        <v>0</v>
      </c>
      <c r="BG61" s="550">
        <v>1</v>
      </c>
      <c r="BH61" s="550" t="s">
        <v>299</v>
      </c>
      <c r="BI61" s="412">
        <f t="shared" si="31"/>
        <v>1</v>
      </c>
      <c r="BJ61" s="409">
        <f t="shared" si="32"/>
        <v>30</v>
      </c>
      <c r="BK61" s="414">
        <f t="shared" si="33"/>
        <v>0</v>
      </c>
      <c r="BL61" s="566">
        <v>1</v>
      </c>
      <c r="BM61" s="409">
        <f t="shared" si="34"/>
        <v>30</v>
      </c>
      <c r="BN61" s="550">
        <v>3</v>
      </c>
      <c r="BO61" s="412">
        <f t="shared" si="49"/>
        <v>1</v>
      </c>
      <c r="BP61" s="414">
        <f t="shared" si="50"/>
        <v>0</v>
      </c>
      <c r="BQ61" s="557">
        <v>1</v>
      </c>
      <c r="BR61" s="589"/>
      <c r="BS61" s="594">
        <v>42048</v>
      </c>
      <c r="BT61" s="415">
        <f t="shared" si="15"/>
        <v>42413</v>
      </c>
      <c r="BU61" s="515">
        <v>7</v>
      </c>
      <c r="BV61" s="515">
        <v>3</v>
      </c>
      <c r="BW61" s="416">
        <f t="shared" si="16"/>
        <v>0</v>
      </c>
      <c r="BX61" s="417">
        <f t="shared" si="51"/>
        <v>1</v>
      </c>
      <c r="BY61" s="409">
        <f t="shared" si="52"/>
        <v>30</v>
      </c>
      <c r="BZ61" s="446">
        <f t="shared" si="19"/>
        <v>0</v>
      </c>
      <c r="CA61" s="542"/>
      <c r="CB61" s="557">
        <v>1</v>
      </c>
      <c r="CC61" s="451">
        <f t="shared" si="35"/>
        <v>30</v>
      </c>
      <c r="CD61" s="542">
        <v>2</v>
      </c>
      <c r="CE61" s="418" t="str">
        <f t="shared" si="36"/>
        <v>Excellent coverage</v>
      </c>
      <c r="CF61" s="550">
        <v>1</v>
      </c>
      <c r="CG61" s="551" t="s">
        <v>65</v>
      </c>
      <c r="CH61" s="602" t="s">
        <v>782</v>
      </c>
    </row>
    <row r="62" spans="2:86" s="40" customFormat="1" ht="30.75" customHeight="1" x14ac:dyDescent="0.2">
      <c r="B62" s="512" t="s">
        <v>135</v>
      </c>
      <c r="C62" s="513" t="s">
        <v>505</v>
      </c>
      <c r="D62" s="514" t="s">
        <v>265</v>
      </c>
      <c r="E62" s="513" t="s">
        <v>155</v>
      </c>
      <c r="F62" s="514">
        <v>97.377662999999998</v>
      </c>
      <c r="G62" s="514">
        <v>25.404752999999999</v>
      </c>
      <c r="H62" s="514" t="s">
        <v>467</v>
      </c>
      <c r="I62" s="514" t="s">
        <v>218</v>
      </c>
      <c r="J62" s="515">
        <v>31</v>
      </c>
      <c r="K62" s="515">
        <v>131</v>
      </c>
      <c r="L62" s="515">
        <v>131</v>
      </c>
      <c r="M62" s="405" t="str">
        <f t="shared" si="37"/>
        <v>1. Small</v>
      </c>
      <c r="N62" s="516" t="s">
        <v>239</v>
      </c>
      <c r="O62" s="530" t="s">
        <v>239</v>
      </c>
      <c r="P62" s="439" t="str">
        <f t="shared" si="20"/>
        <v>Covered</v>
      </c>
      <c r="Q62" s="531">
        <v>42185</v>
      </c>
      <c r="R62" s="532" t="s">
        <v>240</v>
      </c>
      <c r="S62" s="531">
        <v>42185</v>
      </c>
      <c r="T62" s="516" t="s">
        <v>260</v>
      </c>
      <c r="U62" s="436" t="str">
        <f t="shared" si="21"/>
        <v>Documented</v>
      </c>
      <c r="V62" s="542">
        <v>0</v>
      </c>
      <c r="W62" s="515">
        <v>0</v>
      </c>
      <c r="X62" s="543" t="s">
        <v>19</v>
      </c>
      <c r="Y62" s="542">
        <v>0</v>
      </c>
      <c r="Z62" s="550">
        <v>2</v>
      </c>
      <c r="AA62" s="551">
        <v>2000</v>
      </c>
      <c r="AB62" s="556">
        <v>0</v>
      </c>
      <c r="AC62" s="557">
        <v>1</v>
      </c>
      <c r="AD62" s="443">
        <f t="shared" si="1"/>
        <v>1</v>
      </c>
      <c r="AE62" s="407">
        <f t="shared" si="22"/>
        <v>131</v>
      </c>
      <c r="AF62" s="408">
        <f t="shared" si="38"/>
        <v>1</v>
      </c>
      <c r="AG62" s="409">
        <f t="shared" si="23"/>
        <v>131</v>
      </c>
      <c r="AH62" s="406">
        <f t="shared" si="39"/>
        <v>1</v>
      </c>
      <c r="AI62" s="409">
        <f t="shared" si="24"/>
        <v>131</v>
      </c>
      <c r="AJ62" s="410" t="str">
        <f t="shared" si="40"/>
        <v>80-100%</v>
      </c>
      <c r="AK62" s="406">
        <f t="shared" si="41"/>
        <v>0</v>
      </c>
      <c r="AL62" s="411">
        <f t="shared" si="42"/>
        <v>0</v>
      </c>
      <c r="AM62" s="409">
        <f t="shared" si="43"/>
        <v>0</v>
      </c>
      <c r="AN62" s="409">
        <f t="shared" si="44"/>
        <v>31</v>
      </c>
      <c r="AO62" s="409">
        <f t="shared" si="25"/>
        <v>0</v>
      </c>
      <c r="AP62" s="566">
        <v>1</v>
      </c>
      <c r="AQ62" s="567">
        <f t="shared" si="26"/>
        <v>131</v>
      </c>
      <c r="AR62" s="551"/>
      <c r="AS62" s="552">
        <v>0</v>
      </c>
      <c r="AT62" s="515">
        <v>0</v>
      </c>
      <c r="AU62" s="515">
        <v>7</v>
      </c>
      <c r="AV62" s="515" t="s">
        <v>299</v>
      </c>
      <c r="AW62" s="412">
        <f t="shared" si="45"/>
        <v>1</v>
      </c>
      <c r="AX62" s="409">
        <f t="shared" si="27"/>
        <v>131</v>
      </c>
      <c r="AY62" s="412">
        <f t="shared" si="46"/>
        <v>0</v>
      </c>
      <c r="AZ62" s="409">
        <f t="shared" si="28"/>
        <v>0</v>
      </c>
      <c r="BA62" s="412">
        <f t="shared" si="47"/>
        <v>1</v>
      </c>
      <c r="BB62" s="409">
        <f t="shared" si="29"/>
        <v>131</v>
      </c>
      <c r="BC62" s="550">
        <v>0</v>
      </c>
      <c r="BD62" s="571">
        <v>1</v>
      </c>
      <c r="BE62" s="413">
        <f t="shared" si="48"/>
        <v>131</v>
      </c>
      <c r="BF62" s="414">
        <f t="shared" si="30"/>
        <v>0</v>
      </c>
      <c r="BG62" s="550">
        <v>2</v>
      </c>
      <c r="BH62" s="550" t="s">
        <v>91</v>
      </c>
      <c r="BI62" s="412">
        <f t="shared" si="31"/>
        <v>1</v>
      </c>
      <c r="BJ62" s="409">
        <f t="shared" si="32"/>
        <v>131</v>
      </c>
      <c r="BK62" s="414">
        <f t="shared" si="33"/>
        <v>0</v>
      </c>
      <c r="BL62" s="566">
        <v>1</v>
      </c>
      <c r="BM62" s="409">
        <f t="shared" si="34"/>
        <v>131</v>
      </c>
      <c r="BN62" s="550">
        <v>4</v>
      </c>
      <c r="BO62" s="412">
        <f t="shared" si="49"/>
        <v>1</v>
      </c>
      <c r="BP62" s="414">
        <f t="shared" si="50"/>
        <v>0</v>
      </c>
      <c r="BQ62" s="557">
        <v>1</v>
      </c>
      <c r="BR62" s="589"/>
      <c r="BS62" s="594">
        <v>42053</v>
      </c>
      <c r="BT62" s="415">
        <f t="shared" si="15"/>
        <v>42418</v>
      </c>
      <c r="BU62" s="515">
        <v>31</v>
      </c>
      <c r="BV62" s="515">
        <v>3</v>
      </c>
      <c r="BW62" s="416">
        <f t="shared" si="16"/>
        <v>0</v>
      </c>
      <c r="BX62" s="417">
        <f t="shared" si="51"/>
        <v>1</v>
      </c>
      <c r="BY62" s="409">
        <f t="shared" si="52"/>
        <v>131</v>
      </c>
      <c r="BZ62" s="446">
        <f t="shared" si="19"/>
        <v>0</v>
      </c>
      <c r="CA62" s="542"/>
      <c r="CB62" s="557">
        <v>0.8</v>
      </c>
      <c r="CC62" s="451">
        <f t="shared" si="35"/>
        <v>104.80000000000001</v>
      </c>
      <c r="CD62" s="542">
        <v>1</v>
      </c>
      <c r="CE62" s="418" t="str">
        <f t="shared" si="36"/>
        <v>Excellent coverage</v>
      </c>
      <c r="CF62" s="550">
        <v>1</v>
      </c>
      <c r="CG62" s="551" t="s">
        <v>301</v>
      </c>
      <c r="CH62" s="602" t="s">
        <v>781</v>
      </c>
    </row>
    <row r="63" spans="2:86" s="40" customFormat="1" ht="30.75" customHeight="1" x14ac:dyDescent="0.2">
      <c r="B63" s="512" t="s">
        <v>135</v>
      </c>
      <c r="C63" s="513" t="s">
        <v>507</v>
      </c>
      <c r="D63" s="514" t="s">
        <v>265</v>
      </c>
      <c r="E63" s="513" t="s">
        <v>156</v>
      </c>
      <c r="F63" s="514">
        <v>97.382192000000003</v>
      </c>
      <c r="G63" s="514">
        <v>25.404015000000001</v>
      </c>
      <c r="H63" s="514" t="s">
        <v>467</v>
      </c>
      <c r="I63" s="514" t="s">
        <v>218</v>
      </c>
      <c r="J63" s="515">
        <v>33</v>
      </c>
      <c r="K63" s="515">
        <v>120</v>
      </c>
      <c r="L63" s="515">
        <v>120</v>
      </c>
      <c r="M63" s="405" t="str">
        <f t="shared" si="37"/>
        <v>1. Small</v>
      </c>
      <c r="N63" s="516" t="s">
        <v>239</v>
      </c>
      <c r="O63" s="530" t="s">
        <v>239</v>
      </c>
      <c r="P63" s="439" t="str">
        <f t="shared" si="20"/>
        <v>Covered</v>
      </c>
      <c r="Q63" s="531">
        <v>42185</v>
      </c>
      <c r="R63" s="532" t="s">
        <v>240</v>
      </c>
      <c r="S63" s="531">
        <v>42185</v>
      </c>
      <c r="T63" s="516" t="s">
        <v>260</v>
      </c>
      <c r="U63" s="436" t="str">
        <f t="shared" si="21"/>
        <v>Documented</v>
      </c>
      <c r="V63" s="542">
        <v>0</v>
      </c>
      <c r="W63" s="515">
        <v>0</v>
      </c>
      <c r="X63" s="543" t="s">
        <v>19</v>
      </c>
      <c r="Y63" s="542">
        <v>0</v>
      </c>
      <c r="Z63" s="550">
        <v>2</v>
      </c>
      <c r="AA63" s="551">
        <v>0</v>
      </c>
      <c r="AB63" s="556">
        <v>0</v>
      </c>
      <c r="AC63" s="557">
        <v>1</v>
      </c>
      <c r="AD63" s="443">
        <f t="shared" si="1"/>
        <v>1</v>
      </c>
      <c r="AE63" s="407">
        <f t="shared" si="22"/>
        <v>120</v>
      </c>
      <c r="AF63" s="408">
        <f t="shared" si="38"/>
        <v>1</v>
      </c>
      <c r="AG63" s="409">
        <f t="shared" si="23"/>
        <v>120</v>
      </c>
      <c r="AH63" s="406">
        <f t="shared" si="39"/>
        <v>1</v>
      </c>
      <c r="AI63" s="409">
        <f t="shared" si="24"/>
        <v>120</v>
      </c>
      <c r="AJ63" s="410" t="str">
        <f t="shared" si="40"/>
        <v>80-100%</v>
      </c>
      <c r="AK63" s="406">
        <f t="shared" si="41"/>
        <v>0</v>
      </c>
      <c r="AL63" s="411">
        <f t="shared" si="42"/>
        <v>0</v>
      </c>
      <c r="AM63" s="409">
        <f t="shared" si="43"/>
        <v>0</v>
      </c>
      <c r="AN63" s="409">
        <f t="shared" si="44"/>
        <v>33</v>
      </c>
      <c r="AO63" s="409">
        <f t="shared" si="25"/>
        <v>0</v>
      </c>
      <c r="AP63" s="566">
        <v>1</v>
      </c>
      <c r="AQ63" s="567">
        <f t="shared" si="26"/>
        <v>120</v>
      </c>
      <c r="AR63" s="551"/>
      <c r="AS63" s="552">
        <v>0</v>
      </c>
      <c r="AT63" s="515">
        <v>0</v>
      </c>
      <c r="AU63" s="515">
        <v>8</v>
      </c>
      <c r="AV63" s="515" t="s">
        <v>298</v>
      </c>
      <c r="AW63" s="412">
        <f t="shared" si="45"/>
        <v>1</v>
      </c>
      <c r="AX63" s="409">
        <f t="shared" si="27"/>
        <v>120</v>
      </c>
      <c r="AY63" s="412">
        <f t="shared" si="46"/>
        <v>0</v>
      </c>
      <c r="AZ63" s="409">
        <f t="shared" si="28"/>
        <v>0</v>
      </c>
      <c r="BA63" s="412">
        <f t="shared" si="47"/>
        <v>1</v>
      </c>
      <c r="BB63" s="409">
        <f t="shared" si="29"/>
        <v>120</v>
      </c>
      <c r="BC63" s="550">
        <v>0</v>
      </c>
      <c r="BD63" s="571">
        <v>1</v>
      </c>
      <c r="BE63" s="413">
        <f t="shared" si="48"/>
        <v>120</v>
      </c>
      <c r="BF63" s="414">
        <f t="shared" si="30"/>
        <v>0</v>
      </c>
      <c r="BG63" s="550">
        <v>1</v>
      </c>
      <c r="BH63" s="550" t="s">
        <v>91</v>
      </c>
      <c r="BI63" s="412">
        <f t="shared" si="31"/>
        <v>0.83333333333333337</v>
      </c>
      <c r="BJ63" s="409">
        <f t="shared" si="32"/>
        <v>100</v>
      </c>
      <c r="BK63" s="414">
        <f t="shared" si="33"/>
        <v>0.19999999999999996</v>
      </c>
      <c r="BL63" s="566">
        <v>0.83</v>
      </c>
      <c r="BM63" s="409">
        <f t="shared" si="34"/>
        <v>99.6</v>
      </c>
      <c r="BN63" s="550">
        <v>5</v>
      </c>
      <c r="BO63" s="412">
        <f t="shared" si="49"/>
        <v>1</v>
      </c>
      <c r="BP63" s="414">
        <f t="shared" si="50"/>
        <v>0</v>
      </c>
      <c r="BQ63" s="557">
        <v>1</v>
      </c>
      <c r="BR63" s="589" t="s">
        <v>827</v>
      </c>
      <c r="BS63" s="594">
        <v>42053</v>
      </c>
      <c r="BT63" s="415">
        <f t="shared" si="15"/>
        <v>42418</v>
      </c>
      <c r="BU63" s="515">
        <v>33</v>
      </c>
      <c r="BV63" s="515">
        <v>3</v>
      </c>
      <c r="BW63" s="416">
        <f t="shared" si="16"/>
        <v>0</v>
      </c>
      <c r="BX63" s="417">
        <f t="shared" si="51"/>
        <v>1</v>
      </c>
      <c r="BY63" s="409">
        <f t="shared" si="52"/>
        <v>120</v>
      </c>
      <c r="BZ63" s="446">
        <f t="shared" si="19"/>
        <v>0</v>
      </c>
      <c r="CA63" s="542"/>
      <c r="CB63" s="557">
        <v>0.8</v>
      </c>
      <c r="CC63" s="451">
        <f t="shared" si="35"/>
        <v>96</v>
      </c>
      <c r="CD63" s="542">
        <v>1</v>
      </c>
      <c r="CE63" s="418" t="str">
        <f t="shared" si="36"/>
        <v>Excellent coverage</v>
      </c>
      <c r="CF63" s="550">
        <v>0</v>
      </c>
      <c r="CG63" s="551" t="s">
        <v>301</v>
      </c>
      <c r="CH63" s="602"/>
    </row>
    <row r="64" spans="2:86" s="40" customFormat="1" ht="30.75" customHeight="1" x14ac:dyDescent="0.2">
      <c r="B64" s="512" t="s">
        <v>135</v>
      </c>
      <c r="C64" s="513" t="s">
        <v>523</v>
      </c>
      <c r="D64" s="514" t="s">
        <v>265</v>
      </c>
      <c r="E64" s="513" t="s">
        <v>157</v>
      </c>
      <c r="F64" s="514">
        <v>97.403407999999999</v>
      </c>
      <c r="G64" s="514">
        <v>25.377545999999999</v>
      </c>
      <c r="H64" s="514" t="s">
        <v>467</v>
      </c>
      <c r="I64" s="514" t="s">
        <v>218</v>
      </c>
      <c r="J64" s="515">
        <v>6</v>
      </c>
      <c r="K64" s="515">
        <v>37</v>
      </c>
      <c r="L64" s="515">
        <v>37</v>
      </c>
      <c r="M64" s="405" t="str">
        <f t="shared" si="37"/>
        <v>1. Small</v>
      </c>
      <c r="N64" s="516" t="s">
        <v>284</v>
      </c>
      <c r="O64" s="530" t="s">
        <v>284</v>
      </c>
      <c r="P64" s="439" t="str">
        <f t="shared" si="20"/>
        <v>Covered</v>
      </c>
      <c r="Q64" s="531">
        <v>42155</v>
      </c>
      <c r="R64" s="532"/>
      <c r="S64" s="531"/>
      <c r="T64" s="516" t="s">
        <v>260</v>
      </c>
      <c r="U64" s="436" t="str">
        <f t="shared" si="21"/>
        <v>Documented</v>
      </c>
      <c r="V64" s="542">
        <v>0</v>
      </c>
      <c r="W64" s="515">
        <v>0</v>
      </c>
      <c r="X64" s="543" t="s">
        <v>19</v>
      </c>
      <c r="Y64" s="542">
        <v>0</v>
      </c>
      <c r="Z64" s="550">
        <v>0</v>
      </c>
      <c r="AA64" s="551">
        <v>7200</v>
      </c>
      <c r="AB64" s="556">
        <v>0</v>
      </c>
      <c r="AC64" s="557">
        <v>0</v>
      </c>
      <c r="AD64" s="443">
        <f t="shared" si="1"/>
        <v>1</v>
      </c>
      <c r="AE64" s="407">
        <f t="shared" si="22"/>
        <v>37</v>
      </c>
      <c r="AF64" s="408">
        <f t="shared" si="38"/>
        <v>1</v>
      </c>
      <c r="AG64" s="409">
        <f t="shared" si="23"/>
        <v>37</v>
      </c>
      <c r="AH64" s="406">
        <f t="shared" si="39"/>
        <v>1</v>
      </c>
      <c r="AI64" s="409">
        <f t="shared" si="24"/>
        <v>37</v>
      </c>
      <c r="AJ64" s="410" t="str">
        <f t="shared" si="40"/>
        <v>80-100%</v>
      </c>
      <c r="AK64" s="406">
        <f t="shared" si="41"/>
        <v>0</v>
      </c>
      <c r="AL64" s="411">
        <f t="shared" si="42"/>
        <v>0</v>
      </c>
      <c r="AM64" s="409">
        <f t="shared" si="43"/>
        <v>9.2499999999999999E-2</v>
      </c>
      <c r="AN64" s="409">
        <f t="shared" si="44"/>
        <v>0</v>
      </c>
      <c r="AO64" s="409">
        <f t="shared" si="25"/>
        <v>0</v>
      </c>
      <c r="AP64" s="566">
        <v>1</v>
      </c>
      <c r="AQ64" s="567">
        <f t="shared" si="26"/>
        <v>37</v>
      </c>
      <c r="AR64" s="551"/>
      <c r="AS64" s="552">
        <v>0</v>
      </c>
      <c r="AT64" s="515">
        <v>0</v>
      </c>
      <c r="AU64" s="515">
        <v>6</v>
      </c>
      <c r="AV64" s="515" t="s">
        <v>298</v>
      </c>
      <c r="AW64" s="412">
        <f t="shared" si="45"/>
        <v>1</v>
      </c>
      <c r="AX64" s="409">
        <f t="shared" si="27"/>
        <v>37</v>
      </c>
      <c r="AY64" s="412">
        <f t="shared" si="46"/>
        <v>0</v>
      </c>
      <c r="AZ64" s="409">
        <f t="shared" si="28"/>
        <v>0</v>
      </c>
      <c r="BA64" s="412">
        <f t="shared" si="47"/>
        <v>1</v>
      </c>
      <c r="BB64" s="409">
        <f t="shared" si="29"/>
        <v>37</v>
      </c>
      <c r="BC64" s="550">
        <v>0</v>
      </c>
      <c r="BD64" s="571">
        <v>1</v>
      </c>
      <c r="BE64" s="413">
        <f t="shared" si="48"/>
        <v>37</v>
      </c>
      <c r="BF64" s="414">
        <f t="shared" si="30"/>
        <v>0</v>
      </c>
      <c r="BG64" s="550">
        <v>1</v>
      </c>
      <c r="BH64" s="550" t="s">
        <v>298</v>
      </c>
      <c r="BI64" s="412">
        <f t="shared" si="31"/>
        <v>1</v>
      </c>
      <c r="BJ64" s="409">
        <f t="shared" si="32"/>
        <v>37</v>
      </c>
      <c r="BK64" s="414">
        <f t="shared" si="33"/>
        <v>0</v>
      </c>
      <c r="BL64" s="566">
        <v>1</v>
      </c>
      <c r="BM64" s="409">
        <f t="shared" si="34"/>
        <v>37</v>
      </c>
      <c r="BN64" s="550">
        <v>2</v>
      </c>
      <c r="BO64" s="412">
        <f t="shared" si="49"/>
        <v>1</v>
      </c>
      <c r="BP64" s="414">
        <f t="shared" si="50"/>
        <v>0</v>
      </c>
      <c r="BQ64" s="557">
        <v>1</v>
      </c>
      <c r="BR64" s="589"/>
      <c r="BS64" s="594">
        <v>42048</v>
      </c>
      <c r="BT64" s="415">
        <f t="shared" si="15"/>
        <v>42413</v>
      </c>
      <c r="BU64" s="515">
        <v>6</v>
      </c>
      <c r="BV64" s="515">
        <v>3</v>
      </c>
      <c r="BW64" s="416">
        <f t="shared" si="16"/>
        <v>0</v>
      </c>
      <c r="BX64" s="417">
        <f t="shared" si="51"/>
        <v>1</v>
      </c>
      <c r="BY64" s="409">
        <f t="shared" si="52"/>
        <v>37</v>
      </c>
      <c r="BZ64" s="446">
        <f t="shared" si="19"/>
        <v>0</v>
      </c>
      <c r="CA64" s="542"/>
      <c r="CB64" s="557">
        <v>1</v>
      </c>
      <c r="CC64" s="451">
        <f t="shared" si="35"/>
        <v>37</v>
      </c>
      <c r="CD64" s="542">
        <v>2</v>
      </c>
      <c r="CE64" s="418" t="str">
        <f t="shared" si="36"/>
        <v>Excellent coverage</v>
      </c>
      <c r="CF64" s="550">
        <v>0</v>
      </c>
      <c r="CG64" s="551" t="s">
        <v>65</v>
      </c>
      <c r="CH64" s="602"/>
    </row>
    <row r="65" spans="2:86" s="40" customFormat="1" ht="30.75" customHeight="1" x14ac:dyDescent="0.2">
      <c r="B65" s="512" t="s">
        <v>224</v>
      </c>
      <c r="C65" s="513" t="s">
        <v>602</v>
      </c>
      <c r="D65" s="514" t="s">
        <v>322</v>
      </c>
      <c r="E65" s="513" t="s">
        <v>477</v>
      </c>
      <c r="F65" s="514">
        <v>97.418279999999996</v>
      </c>
      <c r="G65" s="514">
        <v>27.310880000000001</v>
      </c>
      <c r="H65" s="514" t="s">
        <v>478</v>
      </c>
      <c r="I65" s="514" t="s">
        <v>218</v>
      </c>
      <c r="J65" s="515">
        <v>14</v>
      </c>
      <c r="K65" s="515">
        <v>64</v>
      </c>
      <c r="L65" s="515">
        <v>64</v>
      </c>
      <c r="M65" s="405" t="str">
        <f t="shared" si="37"/>
        <v>1. Small</v>
      </c>
      <c r="N65" s="516"/>
      <c r="O65" s="530" t="s">
        <v>308</v>
      </c>
      <c r="P65" s="439" t="str">
        <f t="shared" si="20"/>
        <v>Not covered</v>
      </c>
      <c r="Q65" s="531"/>
      <c r="R65" s="532"/>
      <c r="S65" s="531"/>
      <c r="T65" s="516" t="s">
        <v>840</v>
      </c>
      <c r="U65" s="436" t="str">
        <f t="shared" si="21"/>
        <v>Documented</v>
      </c>
      <c r="V65" s="542">
        <v>0</v>
      </c>
      <c r="W65" s="515">
        <v>0</v>
      </c>
      <c r="X65" s="543" t="s">
        <v>19</v>
      </c>
      <c r="Y65" s="542">
        <v>1</v>
      </c>
      <c r="Z65" s="550">
        <v>0</v>
      </c>
      <c r="AA65" s="551">
        <v>0</v>
      </c>
      <c r="AB65" s="556">
        <v>0</v>
      </c>
      <c r="AC65" s="557">
        <v>0</v>
      </c>
      <c r="AD65" s="443">
        <f t="shared" si="1"/>
        <v>1</v>
      </c>
      <c r="AE65" s="407">
        <f t="shared" si="22"/>
        <v>64</v>
      </c>
      <c r="AF65" s="408">
        <f t="shared" si="38"/>
        <v>1</v>
      </c>
      <c r="AG65" s="409">
        <f t="shared" si="23"/>
        <v>64</v>
      </c>
      <c r="AH65" s="406">
        <f t="shared" si="39"/>
        <v>1</v>
      </c>
      <c r="AI65" s="409">
        <f t="shared" si="24"/>
        <v>64</v>
      </c>
      <c r="AJ65" s="410" t="str">
        <f t="shared" si="40"/>
        <v>80-100%</v>
      </c>
      <c r="AK65" s="406">
        <f t="shared" si="41"/>
        <v>0</v>
      </c>
      <c r="AL65" s="411">
        <f t="shared" si="42"/>
        <v>0</v>
      </c>
      <c r="AM65" s="409">
        <f t="shared" si="43"/>
        <v>0</v>
      </c>
      <c r="AN65" s="409">
        <f t="shared" si="44"/>
        <v>0</v>
      </c>
      <c r="AO65" s="409">
        <f t="shared" si="25"/>
        <v>0</v>
      </c>
      <c r="AP65" s="566">
        <v>1</v>
      </c>
      <c r="AQ65" s="567">
        <f t="shared" si="26"/>
        <v>64</v>
      </c>
      <c r="AR65" s="551"/>
      <c r="AS65" s="552">
        <v>14</v>
      </c>
      <c r="AT65" s="515">
        <v>14</v>
      </c>
      <c r="AU65" s="515">
        <v>0</v>
      </c>
      <c r="AV65" s="515" t="s">
        <v>91</v>
      </c>
      <c r="AW65" s="412">
        <f t="shared" si="45"/>
        <v>1</v>
      </c>
      <c r="AX65" s="409">
        <f t="shared" si="27"/>
        <v>64</v>
      </c>
      <c r="AY65" s="412">
        <f t="shared" si="46"/>
        <v>1</v>
      </c>
      <c r="AZ65" s="409">
        <f t="shared" si="28"/>
        <v>64</v>
      </c>
      <c r="BA65" s="412">
        <f t="shared" si="47"/>
        <v>0</v>
      </c>
      <c r="BB65" s="409">
        <f t="shared" si="29"/>
        <v>0</v>
      </c>
      <c r="BC65" s="550">
        <v>0</v>
      </c>
      <c r="BD65" s="571">
        <v>1</v>
      </c>
      <c r="BE65" s="413">
        <f t="shared" si="48"/>
        <v>64</v>
      </c>
      <c r="BF65" s="414">
        <f t="shared" si="30"/>
        <v>3.2</v>
      </c>
      <c r="BG65" s="550">
        <v>0</v>
      </c>
      <c r="BH65" s="550" t="s">
        <v>91</v>
      </c>
      <c r="BI65" s="412">
        <f t="shared" si="31"/>
        <v>0</v>
      </c>
      <c r="BJ65" s="409">
        <f t="shared" si="32"/>
        <v>0</v>
      </c>
      <c r="BK65" s="414">
        <f t="shared" si="33"/>
        <v>0.64</v>
      </c>
      <c r="BL65" s="566">
        <v>0</v>
      </c>
      <c r="BM65" s="409">
        <f t="shared" si="34"/>
        <v>0</v>
      </c>
      <c r="BN65" s="550">
        <v>0</v>
      </c>
      <c r="BO65" s="412">
        <f t="shared" si="49"/>
        <v>0</v>
      </c>
      <c r="BP65" s="414">
        <f t="shared" si="50"/>
        <v>0.64</v>
      </c>
      <c r="BQ65" s="557">
        <v>0</v>
      </c>
      <c r="BR65" s="589"/>
      <c r="BS65" s="594"/>
      <c r="BT65" s="415" t="str">
        <f t="shared" si="15"/>
        <v>To be realised</v>
      </c>
      <c r="BU65" s="515">
        <v>0</v>
      </c>
      <c r="BV65" s="515">
        <v>0</v>
      </c>
      <c r="BW65" s="416">
        <f t="shared" si="16"/>
        <v>14</v>
      </c>
      <c r="BX65" s="417">
        <f t="shared" si="51"/>
        <v>0</v>
      </c>
      <c r="BY65" s="409">
        <f t="shared" si="52"/>
        <v>0</v>
      </c>
      <c r="BZ65" s="446" t="str">
        <f t="shared" si="19"/>
        <v>Column BN to be completed</v>
      </c>
      <c r="CA65" s="542"/>
      <c r="CB65" s="557">
        <v>0</v>
      </c>
      <c r="CC65" s="451">
        <f t="shared" si="35"/>
        <v>0</v>
      </c>
      <c r="CD65" s="542">
        <v>0</v>
      </c>
      <c r="CE65" s="418" t="str">
        <f t="shared" si="36"/>
        <v>No coverage</v>
      </c>
      <c r="CF65" s="550">
        <v>0</v>
      </c>
      <c r="CG65" s="551" t="s">
        <v>491</v>
      </c>
      <c r="CH65" s="602"/>
    </row>
    <row r="66" spans="2:86" s="40" customFormat="1" ht="30.75" customHeight="1" x14ac:dyDescent="0.2">
      <c r="B66" s="512" t="s">
        <v>224</v>
      </c>
      <c r="C66" s="513"/>
      <c r="D66" s="514" t="s">
        <v>322</v>
      </c>
      <c r="E66" s="513" t="s">
        <v>764</v>
      </c>
      <c r="F66" s="514" t="s">
        <v>491</v>
      </c>
      <c r="G66" s="514" t="s">
        <v>491</v>
      </c>
      <c r="H66" s="514" t="s">
        <v>467</v>
      </c>
      <c r="I66" s="514" t="s">
        <v>218</v>
      </c>
      <c r="J66" s="515">
        <v>27</v>
      </c>
      <c r="K66" s="515">
        <v>82</v>
      </c>
      <c r="L66" s="515">
        <v>82</v>
      </c>
      <c r="M66" s="405" t="str">
        <f t="shared" si="37"/>
        <v>1. Small</v>
      </c>
      <c r="N66" s="516"/>
      <c r="O66" s="530" t="s">
        <v>239</v>
      </c>
      <c r="P66" s="439" t="str">
        <f t="shared" si="20"/>
        <v>Covered</v>
      </c>
      <c r="Q66" s="531" t="s">
        <v>656</v>
      </c>
      <c r="R66" s="532"/>
      <c r="S66" s="531"/>
      <c r="T66" s="516" t="s">
        <v>260</v>
      </c>
      <c r="U66" s="436" t="str">
        <f t="shared" si="21"/>
        <v>Documented</v>
      </c>
      <c r="V66" s="542">
        <v>0</v>
      </c>
      <c r="W66" s="515">
        <v>0</v>
      </c>
      <c r="X66" s="543" t="s">
        <v>19</v>
      </c>
      <c r="Y66" s="542">
        <v>1</v>
      </c>
      <c r="Z66" s="550">
        <v>0</v>
      </c>
      <c r="AA66" s="551">
        <v>0</v>
      </c>
      <c r="AB66" s="556">
        <v>0</v>
      </c>
      <c r="AC66" s="557">
        <v>0</v>
      </c>
      <c r="AD66" s="443">
        <f t="shared" si="1"/>
        <v>1</v>
      </c>
      <c r="AE66" s="407">
        <f t="shared" si="22"/>
        <v>82</v>
      </c>
      <c r="AF66" s="408">
        <f t="shared" si="38"/>
        <v>1</v>
      </c>
      <c r="AG66" s="409">
        <f t="shared" si="23"/>
        <v>82</v>
      </c>
      <c r="AH66" s="406">
        <f t="shared" si="39"/>
        <v>1</v>
      </c>
      <c r="AI66" s="409">
        <f t="shared" si="24"/>
        <v>82</v>
      </c>
      <c r="AJ66" s="410" t="str">
        <f t="shared" si="40"/>
        <v>80-100%</v>
      </c>
      <c r="AK66" s="406">
        <f t="shared" si="41"/>
        <v>0</v>
      </c>
      <c r="AL66" s="411">
        <f t="shared" si="42"/>
        <v>0</v>
      </c>
      <c r="AM66" s="409">
        <f t="shared" si="43"/>
        <v>0</v>
      </c>
      <c r="AN66" s="409">
        <f t="shared" si="44"/>
        <v>0</v>
      </c>
      <c r="AO66" s="409">
        <f t="shared" si="25"/>
        <v>0</v>
      </c>
      <c r="AP66" s="566">
        <v>1</v>
      </c>
      <c r="AQ66" s="567">
        <f t="shared" si="26"/>
        <v>82</v>
      </c>
      <c r="AR66" s="551"/>
      <c r="AS66" s="552">
        <v>6</v>
      </c>
      <c r="AT66" s="515">
        <v>6</v>
      </c>
      <c r="AU66" s="515">
        <v>0</v>
      </c>
      <c r="AV66" s="515" t="s">
        <v>91</v>
      </c>
      <c r="AW66" s="412">
        <f t="shared" si="45"/>
        <v>1</v>
      </c>
      <c r="AX66" s="409">
        <f t="shared" si="27"/>
        <v>82</v>
      </c>
      <c r="AY66" s="412">
        <f t="shared" si="46"/>
        <v>1</v>
      </c>
      <c r="AZ66" s="409">
        <f t="shared" si="28"/>
        <v>82</v>
      </c>
      <c r="BA66" s="412">
        <f t="shared" si="47"/>
        <v>0</v>
      </c>
      <c r="BB66" s="409">
        <f t="shared" si="29"/>
        <v>0</v>
      </c>
      <c r="BC66" s="550">
        <v>0</v>
      </c>
      <c r="BD66" s="571">
        <v>1</v>
      </c>
      <c r="BE66" s="413">
        <f t="shared" si="48"/>
        <v>82</v>
      </c>
      <c r="BF66" s="414">
        <f t="shared" si="30"/>
        <v>4.0999999999999996</v>
      </c>
      <c r="BG66" s="550">
        <v>0</v>
      </c>
      <c r="BH66" s="550" t="s">
        <v>91</v>
      </c>
      <c r="BI66" s="412">
        <f t="shared" si="31"/>
        <v>0</v>
      </c>
      <c r="BJ66" s="409">
        <f t="shared" si="32"/>
        <v>0</v>
      </c>
      <c r="BK66" s="414">
        <f t="shared" si="33"/>
        <v>0.82</v>
      </c>
      <c r="BL66" s="566">
        <v>0</v>
      </c>
      <c r="BM66" s="409">
        <f t="shared" si="34"/>
        <v>0</v>
      </c>
      <c r="BN66" s="550">
        <v>0</v>
      </c>
      <c r="BO66" s="412">
        <f t="shared" si="49"/>
        <v>0</v>
      </c>
      <c r="BP66" s="414">
        <f t="shared" si="50"/>
        <v>0.82</v>
      </c>
      <c r="BQ66" s="557">
        <v>0</v>
      </c>
      <c r="BR66" s="589" t="s">
        <v>800</v>
      </c>
      <c r="BS66" s="594">
        <v>42129</v>
      </c>
      <c r="BT66" s="415">
        <f t="shared" si="15"/>
        <v>42494</v>
      </c>
      <c r="BU66" s="515">
        <v>27</v>
      </c>
      <c r="BV66" s="515">
        <v>0</v>
      </c>
      <c r="BW66" s="416">
        <f t="shared" si="16"/>
        <v>0</v>
      </c>
      <c r="BX66" s="417">
        <f t="shared" si="51"/>
        <v>1</v>
      </c>
      <c r="BY66" s="409">
        <f t="shared" si="52"/>
        <v>82</v>
      </c>
      <c r="BZ66" s="446">
        <f t="shared" si="19"/>
        <v>0</v>
      </c>
      <c r="CA66" s="542"/>
      <c r="CB66" s="557">
        <v>0</v>
      </c>
      <c r="CC66" s="451">
        <f t="shared" si="35"/>
        <v>0</v>
      </c>
      <c r="CD66" s="542">
        <v>0</v>
      </c>
      <c r="CE66" s="418" t="str">
        <f t="shared" si="36"/>
        <v>No coverage</v>
      </c>
      <c r="CF66" s="550">
        <v>0</v>
      </c>
      <c r="CG66" s="551" t="s">
        <v>66</v>
      </c>
      <c r="CH66" s="602"/>
    </row>
    <row r="67" spans="2:86" s="40" customFormat="1" ht="30.75" customHeight="1" x14ac:dyDescent="0.2">
      <c r="B67" s="512" t="s">
        <v>224</v>
      </c>
      <c r="C67" s="513" t="s">
        <v>603</v>
      </c>
      <c r="D67" s="514" t="s">
        <v>322</v>
      </c>
      <c r="E67" s="513" t="s">
        <v>324</v>
      </c>
      <c r="F67" s="514">
        <v>97.584950000000006</v>
      </c>
      <c r="G67" s="514">
        <v>27.26989</v>
      </c>
      <c r="H67" s="514" t="s">
        <v>467</v>
      </c>
      <c r="I67" s="514" t="s">
        <v>218</v>
      </c>
      <c r="J67" s="515">
        <v>13</v>
      </c>
      <c r="K67" s="515">
        <v>87</v>
      </c>
      <c r="L67" s="515">
        <v>87</v>
      </c>
      <c r="M67" s="405" t="str">
        <f t="shared" si="37"/>
        <v>1. Small</v>
      </c>
      <c r="N67" s="516" t="s">
        <v>239</v>
      </c>
      <c r="O67" s="530" t="s">
        <v>239</v>
      </c>
      <c r="P67" s="439" t="str">
        <f t="shared" si="20"/>
        <v>Covered</v>
      </c>
      <c r="Q67" s="531" t="s">
        <v>656</v>
      </c>
      <c r="R67" s="532"/>
      <c r="S67" s="531"/>
      <c r="T67" s="516" t="s">
        <v>260</v>
      </c>
      <c r="U67" s="436" t="str">
        <f t="shared" si="21"/>
        <v>Documented</v>
      </c>
      <c r="V67" s="542">
        <v>0</v>
      </c>
      <c r="W67" s="515">
        <v>0</v>
      </c>
      <c r="X67" s="543" t="s">
        <v>19</v>
      </c>
      <c r="Y67" s="542">
        <v>0</v>
      </c>
      <c r="Z67" s="550">
        <v>0</v>
      </c>
      <c r="AA67" s="551">
        <v>225</v>
      </c>
      <c r="AB67" s="556">
        <v>0</v>
      </c>
      <c r="AC67" s="557">
        <v>0</v>
      </c>
      <c r="AD67" s="443">
        <f t="shared" si="1"/>
        <v>0.17241379310344829</v>
      </c>
      <c r="AE67" s="407">
        <f t="shared" si="22"/>
        <v>15.000000000000002</v>
      </c>
      <c r="AF67" s="408">
        <f t="shared" si="38"/>
        <v>0.17241379310344829</v>
      </c>
      <c r="AG67" s="409">
        <f t="shared" si="23"/>
        <v>15.000000000000002</v>
      </c>
      <c r="AH67" s="406">
        <f t="shared" si="39"/>
        <v>0.17241379310344829</v>
      </c>
      <c r="AI67" s="409">
        <f t="shared" si="24"/>
        <v>15.000000000000002</v>
      </c>
      <c r="AJ67" s="410" t="str">
        <f t="shared" si="40"/>
        <v>15-30%</v>
      </c>
      <c r="AK67" s="406">
        <f t="shared" si="41"/>
        <v>0</v>
      </c>
      <c r="AL67" s="411">
        <f t="shared" si="42"/>
        <v>0</v>
      </c>
      <c r="AM67" s="409">
        <f t="shared" si="43"/>
        <v>0.2175</v>
      </c>
      <c r="AN67" s="409">
        <f t="shared" si="44"/>
        <v>0</v>
      </c>
      <c r="AO67" s="409">
        <f t="shared" si="25"/>
        <v>0</v>
      </c>
      <c r="AP67" s="566">
        <v>0.17</v>
      </c>
      <c r="AQ67" s="567">
        <f t="shared" si="26"/>
        <v>14.790000000000001</v>
      </c>
      <c r="AR67" s="551" t="s">
        <v>769</v>
      </c>
      <c r="AS67" s="552">
        <v>2</v>
      </c>
      <c r="AT67" s="515">
        <v>2</v>
      </c>
      <c r="AU67" s="515">
        <v>0</v>
      </c>
      <c r="AV67" s="515" t="s">
        <v>91</v>
      </c>
      <c r="AW67" s="412">
        <f t="shared" si="45"/>
        <v>0.45977011494252873</v>
      </c>
      <c r="AX67" s="409">
        <f t="shared" si="27"/>
        <v>40</v>
      </c>
      <c r="AY67" s="412">
        <f t="shared" si="46"/>
        <v>0.45977011494252873</v>
      </c>
      <c r="AZ67" s="409">
        <f t="shared" si="28"/>
        <v>40</v>
      </c>
      <c r="BA67" s="412">
        <f t="shared" si="47"/>
        <v>0</v>
      </c>
      <c r="BB67" s="409">
        <f t="shared" si="29"/>
        <v>0</v>
      </c>
      <c r="BC67" s="550">
        <v>0</v>
      </c>
      <c r="BD67" s="571">
        <v>0.46</v>
      </c>
      <c r="BE67" s="413">
        <f t="shared" si="48"/>
        <v>40.020000000000003</v>
      </c>
      <c r="BF67" s="414">
        <f t="shared" si="30"/>
        <v>4.3499999999999996</v>
      </c>
      <c r="BG67" s="550">
        <v>0</v>
      </c>
      <c r="BH67" s="550" t="s">
        <v>91</v>
      </c>
      <c r="BI67" s="412">
        <f t="shared" si="31"/>
        <v>0</v>
      </c>
      <c r="BJ67" s="409">
        <f t="shared" si="32"/>
        <v>0</v>
      </c>
      <c r="BK67" s="414">
        <f t="shared" si="33"/>
        <v>0.87</v>
      </c>
      <c r="BL67" s="566">
        <v>0</v>
      </c>
      <c r="BM67" s="409">
        <f t="shared" si="34"/>
        <v>0</v>
      </c>
      <c r="BN67" s="550">
        <v>0</v>
      </c>
      <c r="BO67" s="412">
        <f t="shared" si="49"/>
        <v>0</v>
      </c>
      <c r="BP67" s="414">
        <f t="shared" si="50"/>
        <v>0.87</v>
      </c>
      <c r="BQ67" s="557">
        <v>0</v>
      </c>
      <c r="BR67" s="589" t="s">
        <v>801</v>
      </c>
      <c r="BS67" s="594">
        <v>42129</v>
      </c>
      <c r="BT67" s="415">
        <f t="shared" si="15"/>
        <v>42494</v>
      </c>
      <c r="BU67" s="515">
        <v>13</v>
      </c>
      <c r="BV67" s="515">
        <v>0</v>
      </c>
      <c r="BW67" s="416">
        <f t="shared" si="16"/>
        <v>0</v>
      </c>
      <c r="BX67" s="417">
        <f t="shared" si="51"/>
        <v>1</v>
      </c>
      <c r="BY67" s="409">
        <f t="shared" si="52"/>
        <v>87</v>
      </c>
      <c r="BZ67" s="446">
        <f t="shared" si="19"/>
        <v>0</v>
      </c>
      <c r="CA67" s="542"/>
      <c r="CB67" s="557">
        <v>0</v>
      </c>
      <c r="CC67" s="451">
        <f t="shared" si="35"/>
        <v>0</v>
      </c>
      <c r="CD67" s="542">
        <v>0</v>
      </c>
      <c r="CE67" s="418" t="str">
        <f t="shared" si="36"/>
        <v>No coverage</v>
      </c>
      <c r="CF67" s="550">
        <v>0</v>
      </c>
      <c r="CG67" s="551" t="s">
        <v>66</v>
      </c>
      <c r="CH67" s="602"/>
    </row>
    <row r="68" spans="2:86" s="40" customFormat="1" ht="30.75" customHeight="1" x14ac:dyDescent="0.2">
      <c r="B68" s="512" t="s">
        <v>158</v>
      </c>
      <c r="C68" s="513" t="s">
        <v>607</v>
      </c>
      <c r="D68" s="514" t="s">
        <v>268</v>
      </c>
      <c r="E68" s="513" t="s">
        <v>227</v>
      </c>
      <c r="F68" s="514">
        <v>97.915833000000006</v>
      </c>
      <c r="G68" s="514">
        <v>25.220278</v>
      </c>
      <c r="H68" s="514" t="s">
        <v>467</v>
      </c>
      <c r="I68" s="514" t="s">
        <v>226</v>
      </c>
      <c r="J68" s="515">
        <v>133</v>
      </c>
      <c r="K68" s="515">
        <v>645</v>
      </c>
      <c r="L68" s="515">
        <v>645</v>
      </c>
      <c r="M68" s="405" t="str">
        <f t="shared" ref="M68:M98" si="53">IF(J68&gt;50,IF(J68&gt;250,IF(J68&gt;500,IF(J68&gt;1000,"5. Massive","4. Big"),"3. Large"),"2. Medium"),"1. Small")</f>
        <v>2. Medium</v>
      </c>
      <c r="N68" s="516" t="s">
        <v>285</v>
      </c>
      <c r="O68" s="530" t="s">
        <v>235</v>
      </c>
      <c r="P68" s="439" t="str">
        <f t="shared" ref="P68:P131" si="54">IF(O68="None","Not covered","Covered")</f>
        <v>Covered</v>
      </c>
      <c r="Q68" s="531">
        <v>42369</v>
      </c>
      <c r="R68" s="532"/>
      <c r="S68" s="531"/>
      <c r="T68" s="516" t="s">
        <v>260</v>
      </c>
      <c r="U68" s="436" t="str">
        <f t="shared" ref="U68:U131" si="55">IF(T68="Not documented","Not documented","Documented")</f>
        <v>Documented</v>
      </c>
      <c r="V68" s="542">
        <v>0</v>
      </c>
      <c r="W68" s="515">
        <v>0</v>
      </c>
      <c r="X68" s="543" t="s">
        <v>19</v>
      </c>
      <c r="Y68" s="542">
        <v>0</v>
      </c>
      <c r="Z68" s="550">
        <v>0</v>
      </c>
      <c r="AA68" s="551">
        <v>15000</v>
      </c>
      <c r="AB68" s="556">
        <v>0</v>
      </c>
      <c r="AC68" s="557">
        <v>1</v>
      </c>
      <c r="AD68" s="443">
        <f t="shared" ref="AD68:AD130" si="56">IF((((V68/15)+((W68/30)/15)+Y68*400+Z68*500+(AA68/15))/L68)&gt;1,1,(((V68/15)+((W68/30)/15)+Y68*400+Z68*500+(AA68/15))/L68))</f>
        <v>1</v>
      </c>
      <c r="AE68" s="407">
        <f t="shared" ref="AE68:AE131" si="57">AD68*L68</f>
        <v>645</v>
      </c>
      <c r="AF68" s="408">
        <f t="shared" ref="AF68:AF98" si="58">IF(((Y68*400+Z68*500+(AA68/15))/L68)&gt;1,1,(Y68*400+Z68*500+(AA68/15))/L68)</f>
        <v>1</v>
      </c>
      <c r="AG68" s="409">
        <f t="shared" ref="AG68:AG131" si="59">AF68*L68</f>
        <v>645</v>
      </c>
      <c r="AH68" s="406">
        <f t="shared" ref="AH68:AH98" si="60">IF(AC68=0,AD68,IF(AC68&lt;AD68,AD68,AC68))</f>
        <v>1</v>
      </c>
      <c r="AI68" s="409">
        <f t="shared" ref="AI68:AI131" si="61">AH68*L68</f>
        <v>645</v>
      </c>
      <c r="AJ68" s="410" t="str">
        <f t="shared" ref="AJ68:AJ98" si="62">IF(AD68&gt;0.15,IF(AD68&gt;0.3,IF(AD68&gt;0.45,IF(AD68&gt;0.6,IF(AD68&gt;0.8,"80-100%","60-80%"),"45-60%"),"30-45%"),"15-30%"),"0-10%")</f>
        <v>80-100%</v>
      </c>
      <c r="AK68" s="406">
        <f t="shared" ref="AK68:AK98" si="63">IF((AD68-AF68)&lt; 0, 0, AD68-AF68)</f>
        <v>0</v>
      </c>
      <c r="AL68" s="411">
        <f t="shared" ref="AL68:AL98" si="64">AK68*L68</f>
        <v>0</v>
      </c>
      <c r="AM68" s="409">
        <f t="shared" ref="AM68:AM98" si="65">IF(L68/400-(Y68+Z68)&lt;0,0,L68/400-(Y68+Z68))</f>
        <v>1.6125</v>
      </c>
      <c r="AN68" s="409">
        <f t="shared" ref="AN68:AN98" si="66">AC68*J68</f>
        <v>133</v>
      </c>
      <c r="AO68" s="409">
        <f t="shared" ref="AO68:AO131" si="67">AB68*L68</f>
        <v>0</v>
      </c>
      <c r="AP68" s="566">
        <v>1</v>
      </c>
      <c r="AQ68" s="567">
        <f t="shared" si="26"/>
        <v>645</v>
      </c>
      <c r="AR68" s="551" t="s">
        <v>820</v>
      </c>
      <c r="AS68" s="552">
        <v>115</v>
      </c>
      <c r="AT68" s="515">
        <v>95</v>
      </c>
      <c r="AU68" s="515">
        <v>8</v>
      </c>
      <c r="AV68" s="515" t="s">
        <v>298</v>
      </c>
      <c r="AW68" s="412">
        <f t="shared" ref="AW68:AW98" si="68">IF((((AT68+AU68)*20)/L68)&gt;1,1,(((AT68+AU68)*20)/L68))</f>
        <v>1</v>
      </c>
      <c r="AX68" s="409">
        <f t="shared" ref="AX68:AX131" si="69">AW68*L68</f>
        <v>645</v>
      </c>
      <c r="AY68" s="412">
        <f t="shared" ref="AY68:AY98" si="70">AW68-BA68</f>
        <v>0.75193798449612403</v>
      </c>
      <c r="AZ68" s="409">
        <f t="shared" ref="AZ68:AZ131" si="71">AY68*L68</f>
        <v>485</v>
      </c>
      <c r="BA68" s="412">
        <f t="shared" ref="BA68:BA98" si="72">IF(((AU68*20)/L68)&gt;1,1,((AU68*20)/L68))</f>
        <v>0.24806201550387597</v>
      </c>
      <c r="BB68" s="409">
        <f t="shared" ref="BB68:BB131" si="73">BA68*L68</f>
        <v>160</v>
      </c>
      <c r="BC68" s="550">
        <v>0</v>
      </c>
      <c r="BD68" s="571">
        <v>1</v>
      </c>
      <c r="BE68" s="413">
        <f t="shared" ref="BE68:BE98" si="74">BD68*L68</f>
        <v>645</v>
      </c>
      <c r="BF68" s="414">
        <f t="shared" ref="BF68:BF131" si="75">IF((L68/20-AU68+BC68)&lt;0,0,(L68/20-AU68+BC68))</f>
        <v>24.25</v>
      </c>
      <c r="BG68" s="550">
        <v>1</v>
      </c>
      <c r="BH68" s="550" t="s">
        <v>299</v>
      </c>
      <c r="BI68" s="412">
        <f t="shared" ref="BI68:BI131" si="76">IF((BG68*100/L68)&gt;1,1,(BG68*100/L68))</f>
        <v>0.15503875968992248</v>
      </c>
      <c r="BJ68" s="409">
        <f t="shared" ref="BJ68:BJ131" si="77">BI68*L68</f>
        <v>100</v>
      </c>
      <c r="BK68" s="414">
        <f t="shared" ref="BK68:BK131" si="78">IF(K68/100-BG68&lt;0,0,K68/100-BG68)</f>
        <v>5.45</v>
      </c>
      <c r="BL68" s="571">
        <v>0.16</v>
      </c>
      <c r="BM68" s="409">
        <f t="shared" ref="BM68:BM131" si="79">BL68*L68</f>
        <v>103.2</v>
      </c>
      <c r="BN68" s="515">
        <v>4</v>
      </c>
      <c r="BO68" s="412">
        <f t="shared" ref="BO68:BO98" si="80">IF((BN68*100/L68)&gt;1,1,(BN68*100/L68))</f>
        <v>0.62015503875968991</v>
      </c>
      <c r="BP68" s="414">
        <f t="shared" ref="BP68:BP98" si="81">IF(K68/100-BN68&lt;0,0,K68/100-BN68)</f>
        <v>2.4500000000000002</v>
      </c>
      <c r="BQ68" s="557">
        <v>0.62</v>
      </c>
      <c r="BR68" s="589" t="s">
        <v>802</v>
      </c>
      <c r="BS68" s="594">
        <v>42122</v>
      </c>
      <c r="BT68" s="415">
        <f t="shared" ref="BT68:BT87" si="82">IF(BS68="","To be realised",IF(BS68="n/a","n/a",IF(BS68+365&lt;$E$2,"To be realised",BS68+365)))</f>
        <v>42487</v>
      </c>
      <c r="BU68" s="515">
        <v>133</v>
      </c>
      <c r="BV68" s="515">
        <v>3</v>
      </c>
      <c r="BW68" s="416">
        <f t="shared" ref="BW68:BW87" si="83">IF(BT68="n/a",0,IF(BT68="To be realised",J68,IF((J68-BU68)&lt;0,0,(J68-BU68))))</f>
        <v>0</v>
      </c>
      <c r="BX68" s="417">
        <f t="shared" ref="BX68:BX98" si="84">IF(BW68=0,1,(J68-BW68)/J68)</f>
        <v>1</v>
      </c>
      <c r="BY68" s="409">
        <f t="shared" ref="BY68:BY98" si="85">BX68*L68</f>
        <v>645</v>
      </c>
      <c r="BZ68" s="446">
        <f t="shared" ref="BZ68:BZ87" si="86">IF(BS68="","Column BN to be completed", IF(BS68="n/a",0,IF(($E$2-BS68-30)/30-BV68&lt;0,0,ROUND((($E$2-BS68-30)/30-BV68),0))))</f>
        <v>0</v>
      </c>
      <c r="CA68" s="542"/>
      <c r="CB68" s="557">
        <v>0</v>
      </c>
      <c r="CC68" s="451">
        <f t="shared" ref="CC68:CC131" si="87">CB68*L68</f>
        <v>0</v>
      </c>
      <c r="CD68" s="542">
        <v>0</v>
      </c>
      <c r="CE68" s="418" t="str">
        <f t="shared" ref="CE68:CE131" si="88">IF(CD68=0,"No coverage",IF(L68/CD68&gt;1000,"Low coverage",IF(L68/CD68&gt;750,"Average coverage",IF(L68/CD68&gt;500,"Good coverage","Excellent coverage"))))</f>
        <v>No coverage</v>
      </c>
      <c r="CF68" s="550">
        <v>0</v>
      </c>
      <c r="CG68" s="551" t="s">
        <v>301</v>
      </c>
      <c r="CH68" s="602"/>
    </row>
    <row r="69" spans="2:86" s="40" customFormat="1" ht="30.75" customHeight="1" x14ac:dyDescent="0.2">
      <c r="B69" s="512" t="s">
        <v>158</v>
      </c>
      <c r="C69" s="513" t="s">
        <v>608</v>
      </c>
      <c r="D69" s="514" t="s">
        <v>265</v>
      </c>
      <c r="E69" s="513" t="s">
        <v>159</v>
      </c>
      <c r="F69" s="514">
        <v>97.408302000000006</v>
      </c>
      <c r="G69" s="514">
        <v>25.324567999999999</v>
      </c>
      <c r="H69" s="514" t="s">
        <v>467</v>
      </c>
      <c r="I69" s="514" t="s">
        <v>218</v>
      </c>
      <c r="J69" s="515">
        <v>110</v>
      </c>
      <c r="K69" s="515">
        <v>505</v>
      </c>
      <c r="L69" s="515">
        <v>505</v>
      </c>
      <c r="M69" s="405" t="str">
        <f t="shared" si="53"/>
        <v>2. Medium</v>
      </c>
      <c r="N69" s="516" t="s">
        <v>284</v>
      </c>
      <c r="O69" s="530" t="s">
        <v>284</v>
      </c>
      <c r="P69" s="439" t="str">
        <f t="shared" si="54"/>
        <v>Covered</v>
      </c>
      <c r="Q69" s="531">
        <v>42155</v>
      </c>
      <c r="R69" s="532"/>
      <c r="S69" s="531"/>
      <c r="T69" s="516" t="s">
        <v>260</v>
      </c>
      <c r="U69" s="436" t="str">
        <f t="shared" si="55"/>
        <v>Documented</v>
      </c>
      <c r="V69" s="542">
        <v>0</v>
      </c>
      <c r="W69" s="515">
        <v>0</v>
      </c>
      <c r="X69" s="543" t="s">
        <v>19</v>
      </c>
      <c r="Y69" s="542">
        <v>3</v>
      </c>
      <c r="Z69" s="550">
        <v>1</v>
      </c>
      <c r="AA69" s="551">
        <v>3600</v>
      </c>
      <c r="AB69" s="556">
        <v>0</v>
      </c>
      <c r="AC69" s="557">
        <v>0</v>
      </c>
      <c r="AD69" s="443">
        <f t="shared" si="56"/>
        <v>1</v>
      </c>
      <c r="AE69" s="407">
        <f t="shared" si="57"/>
        <v>505</v>
      </c>
      <c r="AF69" s="408">
        <f t="shared" si="58"/>
        <v>1</v>
      </c>
      <c r="AG69" s="409">
        <f t="shared" si="59"/>
        <v>505</v>
      </c>
      <c r="AH69" s="406">
        <f t="shared" si="60"/>
        <v>1</v>
      </c>
      <c r="AI69" s="409">
        <f t="shared" si="61"/>
        <v>505</v>
      </c>
      <c r="AJ69" s="410" t="str">
        <f t="shared" si="62"/>
        <v>80-100%</v>
      </c>
      <c r="AK69" s="406">
        <f t="shared" si="63"/>
        <v>0</v>
      </c>
      <c r="AL69" s="411">
        <f t="shared" si="64"/>
        <v>0</v>
      </c>
      <c r="AM69" s="409">
        <f t="shared" si="65"/>
        <v>0</v>
      </c>
      <c r="AN69" s="409">
        <f t="shared" si="66"/>
        <v>0</v>
      </c>
      <c r="AO69" s="409">
        <f t="shared" si="67"/>
        <v>0</v>
      </c>
      <c r="AP69" s="566">
        <v>1</v>
      </c>
      <c r="AQ69" s="567">
        <f t="shared" si="26"/>
        <v>505</v>
      </c>
      <c r="AR69" s="551"/>
      <c r="AS69" s="552">
        <v>2</v>
      </c>
      <c r="AT69" s="515">
        <v>2</v>
      </c>
      <c r="AU69" s="515">
        <v>26</v>
      </c>
      <c r="AV69" s="515" t="s">
        <v>298</v>
      </c>
      <c r="AW69" s="412">
        <f t="shared" si="68"/>
        <v>1</v>
      </c>
      <c r="AX69" s="409">
        <f t="shared" si="69"/>
        <v>505</v>
      </c>
      <c r="AY69" s="412">
        <f t="shared" si="70"/>
        <v>0</v>
      </c>
      <c r="AZ69" s="409">
        <f t="shared" si="71"/>
        <v>0</v>
      </c>
      <c r="BA69" s="412">
        <f t="shared" si="72"/>
        <v>1</v>
      </c>
      <c r="BB69" s="409">
        <f t="shared" si="73"/>
        <v>505</v>
      </c>
      <c r="BC69" s="550">
        <v>0</v>
      </c>
      <c r="BD69" s="571">
        <v>1</v>
      </c>
      <c r="BE69" s="413">
        <f t="shared" si="74"/>
        <v>505</v>
      </c>
      <c r="BF69" s="414">
        <f t="shared" si="75"/>
        <v>0</v>
      </c>
      <c r="BG69" s="550">
        <v>4</v>
      </c>
      <c r="BH69" s="550" t="s">
        <v>299</v>
      </c>
      <c r="BI69" s="412">
        <f t="shared" si="76"/>
        <v>0.79207920792079212</v>
      </c>
      <c r="BJ69" s="409">
        <f t="shared" si="77"/>
        <v>400</v>
      </c>
      <c r="BK69" s="414">
        <f t="shared" si="78"/>
        <v>1.0499999999999998</v>
      </c>
      <c r="BL69" s="571">
        <v>0.79</v>
      </c>
      <c r="BM69" s="409">
        <f t="shared" si="79"/>
        <v>398.95000000000005</v>
      </c>
      <c r="BN69" s="515">
        <v>15</v>
      </c>
      <c r="BO69" s="412">
        <f t="shared" si="80"/>
        <v>1</v>
      </c>
      <c r="BP69" s="414">
        <f t="shared" si="81"/>
        <v>0</v>
      </c>
      <c r="BQ69" s="557">
        <v>1</v>
      </c>
      <c r="BR69" s="589"/>
      <c r="BS69" s="594">
        <v>42048</v>
      </c>
      <c r="BT69" s="415">
        <f t="shared" si="82"/>
        <v>42413</v>
      </c>
      <c r="BU69" s="515">
        <v>110</v>
      </c>
      <c r="BV69" s="515">
        <v>3</v>
      </c>
      <c r="BW69" s="416">
        <f t="shared" si="83"/>
        <v>0</v>
      </c>
      <c r="BX69" s="417">
        <f t="shared" si="84"/>
        <v>1</v>
      </c>
      <c r="BY69" s="409">
        <f t="shared" si="85"/>
        <v>505</v>
      </c>
      <c r="BZ69" s="446">
        <f t="shared" si="86"/>
        <v>0</v>
      </c>
      <c r="CA69" s="542"/>
      <c r="CB69" s="557">
        <v>1</v>
      </c>
      <c r="CC69" s="451">
        <f t="shared" si="87"/>
        <v>505</v>
      </c>
      <c r="CD69" s="542">
        <v>2</v>
      </c>
      <c r="CE69" s="418" t="str">
        <f t="shared" si="88"/>
        <v>Excellent coverage</v>
      </c>
      <c r="CF69" s="550">
        <v>0</v>
      </c>
      <c r="CG69" s="551" t="s">
        <v>65</v>
      </c>
      <c r="CH69" s="602"/>
    </row>
    <row r="70" spans="2:86" s="40" customFormat="1" ht="30.75" customHeight="1" x14ac:dyDescent="0.2">
      <c r="B70" s="512" t="s">
        <v>158</v>
      </c>
      <c r="C70" s="513" t="s">
        <v>609</v>
      </c>
      <c r="D70" s="514" t="s">
        <v>268</v>
      </c>
      <c r="E70" s="513" t="s">
        <v>160</v>
      </c>
      <c r="F70" s="514">
        <v>97.807182999999995</v>
      </c>
      <c r="G70" s="514">
        <v>25.200333000000001</v>
      </c>
      <c r="H70" s="514" t="s">
        <v>467</v>
      </c>
      <c r="I70" s="514" t="s">
        <v>226</v>
      </c>
      <c r="J70" s="515">
        <v>170</v>
      </c>
      <c r="K70" s="515">
        <v>1156</v>
      </c>
      <c r="L70" s="515">
        <v>1156</v>
      </c>
      <c r="M70" s="405" t="str">
        <f t="shared" si="53"/>
        <v>2. Medium</v>
      </c>
      <c r="N70" s="516" t="s">
        <v>239</v>
      </c>
      <c r="O70" s="530" t="s">
        <v>239</v>
      </c>
      <c r="P70" s="439" t="str">
        <f t="shared" si="54"/>
        <v>Covered</v>
      </c>
      <c r="Q70" s="531">
        <v>42185</v>
      </c>
      <c r="R70" s="532" t="s">
        <v>240</v>
      </c>
      <c r="S70" s="531">
        <v>42185</v>
      </c>
      <c r="T70" s="516" t="s">
        <v>260</v>
      </c>
      <c r="U70" s="436" t="str">
        <f t="shared" si="55"/>
        <v>Documented</v>
      </c>
      <c r="V70" s="542">
        <v>0</v>
      </c>
      <c r="W70" s="515">
        <v>0</v>
      </c>
      <c r="X70" s="543" t="s">
        <v>19</v>
      </c>
      <c r="Y70" s="542">
        <v>0</v>
      </c>
      <c r="Z70" s="550">
        <v>0</v>
      </c>
      <c r="AA70" s="551">
        <v>30000</v>
      </c>
      <c r="AB70" s="556">
        <v>0</v>
      </c>
      <c r="AC70" s="557">
        <v>0</v>
      </c>
      <c r="AD70" s="443">
        <f t="shared" si="56"/>
        <v>1</v>
      </c>
      <c r="AE70" s="407">
        <f t="shared" si="57"/>
        <v>1156</v>
      </c>
      <c r="AF70" s="408">
        <f t="shared" si="58"/>
        <v>1</v>
      </c>
      <c r="AG70" s="409">
        <f t="shared" si="59"/>
        <v>1156</v>
      </c>
      <c r="AH70" s="406">
        <f t="shared" si="60"/>
        <v>1</v>
      </c>
      <c r="AI70" s="409">
        <f t="shared" si="61"/>
        <v>1156</v>
      </c>
      <c r="AJ70" s="410" t="str">
        <f t="shared" si="62"/>
        <v>80-100%</v>
      </c>
      <c r="AK70" s="406">
        <f t="shared" si="63"/>
        <v>0</v>
      </c>
      <c r="AL70" s="411">
        <f t="shared" si="64"/>
        <v>0</v>
      </c>
      <c r="AM70" s="409">
        <f t="shared" si="65"/>
        <v>2.89</v>
      </c>
      <c r="AN70" s="409">
        <f t="shared" si="66"/>
        <v>0</v>
      </c>
      <c r="AO70" s="409">
        <f t="shared" si="67"/>
        <v>0</v>
      </c>
      <c r="AP70" s="566">
        <v>1</v>
      </c>
      <c r="AQ70" s="567">
        <f t="shared" ref="AQ70:AQ133" si="89">AP70*L70</f>
        <v>1156</v>
      </c>
      <c r="AR70" s="551"/>
      <c r="AS70" s="552">
        <v>0</v>
      </c>
      <c r="AT70" s="515">
        <v>70</v>
      </c>
      <c r="AU70" s="515">
        <v>0</v>
      </c>
      <c r="AV70" s="515" t="s">
        <v>298</v>
      </c>
      <c r="AW70" s="412">
        <f t="shared" si="68"/>
        <v>1</v>
      </c>
      <c r="AX70" s="409">
        <f t="shared" si="69"/>
        <v>1156</v>
      </c>
      <c r="AY70" s="412">
        <f t="shared" si="70"/>
        <v>1</v>
      </c>
      <c r="AZ70" s="409">
        <f t="shared" si="71"/>
        <v>1156</v>
      </c>
      <c r="BA70" s="412">
        <f t="shared" si="72"/>
        <v>0</v>
      </c>
      <c r="BB70" s="409">
        <f t="shared" si="73"/>
        <v>0</v>
      </c>
      <c r="BC70" s="550">
        <v>0</v>
      </c>
      <c r="BD70" s="571">
        <v>1</v>
      </c>
      <c r="BE70" s="413">
        <f t="shared" si="74"/>
        <v>1156</v>
      </c>
      <c r="BF70" s="414">
        <f t="shared" si="75"/>
        <v>57.8</v>
      </c>
      <c r="BG70" s="550">
        <v>3</v>
      </c>
      <c r="BH70" s="550" t="s">
        <v>299</v>
      </c>
      <c r="BI70" s="412">
        <f t="shared" si="76"/>
        <v>0.25951557093425603</v>
      </c>
      <c r="BJ70" s="409">
        <f t="shared" si="77"/>
        <v>300</v>
      </c>
      <c r="BK70" s="414">
        <f t="shared" si="78"/>
        <v>8.56</v>
      </c>
      <c r="BL70" s="571">
        <v>0.26</v>
      </c>
      <c r="BM70" s="409">
        <f t="shared" si="79"/>
        <v>300.56</v>
      </c>
      <c r="BN70" s="515">
        <v>24</v>
      </c>
      <c r="BO70" s="412">
        <f t="shared" si="80"/>
        <v>1</v>
      </c>
      <c r="BP70" s="414">
        <f t="shared" si="81"/>
        <v>0</v>
      </c>
      <c r="BQ70" s="557">
        <v>1</v>
      </c>
      <c r="BR70" s="589" t="s">
        <v>853</v>
      </c>
      <c r="BS70" s="594">
        <v>42053</v>
      </c>
      <c r="BT70" s="415">
        <f t="shared" si="82"/>
        <v>42418</v>
      </c>
      <c r="BU70" s="515">
        <v>170</v>
      </c>
      <c r="BV70" s="515">
        <v>3</v>
      </c>
      <c r="BW70" s="416">
        <f t="shared" si="83"/>
        <v>0</v>
      </c>
      <c r="BX70" s="417">
        <f t="shared" si="84"/>
        <v>1</v>
      </c>
      <c r="BY70" s="409">
        <f t="shared" si="85"/>
        <v>1156</v>
      </c>
      <c r="BZ70" s="446">
        <f t="shared" si="86"/>
        <v>0</v>
      </c>
      <c r="CA70" s="542"/>
      <c r="CB70" s="557">
        <v>0.8</v>
      </c>
      <c r="CC70" s="451">
        <f t="shared" si="87"/>
        <v>924.80000000000007</v>
      </c>
      <c r="CD70" s="542">
        <v>3</v>
      </c>
      <c r="CE70" s="418" t="str">
        <f t="shared" si="88"/>
        <v>Excellent coverage</v>
      </c>
      <c r="CF70" s="550">
        <v>0</v>
      </c>
      <c r="CG70" s="551" t="s">
        <v>301</v>
      </c>
      <c r="CH70" s="602"/>
    </row>
    <row r="71" spans="2:86" s="40" customFormat="1" ht="30.75" customHeight="1" x14ac:dyDescent="0.2">
      <c r="B71" s="512" t="s">
        <v>158</v>
      </c>
      <c r="C71" s="513" t="s">
        <v>612</v>
      </c>
      <c r="D71" s="514" t="s">
        <v>265</v>
      </c>
      <c r="E71" s="513" t="s">
        <v>162</v>
      </c>
      <c r="F71" s="514">
        <v>97.451965000000001</v>
      </c>
      <c r="G71" s="514">
        <v>25.356632000000001</v>
      </c>
      <c r="H71" s="514" t="s">
        <v>467</v>
      </c>
      <c r="I71" s="514" t="s">
        <v>218</v>
      </c>
      <c r="J71" s="515">
        <v>21</v>
      </c>
      <c r="K71" s="515">
        <v>109</v>
      </c>
      <c r="L71" s="515">
        <v>109</v>
      </c>
      <c r="M71" s="405" t="str">
        <f t="shared" si="53"/>
        <v>1. Small</v>
      </c>
      <c r="N71" s="516" t="s">
        <v>284</v>
      </c>
      <c r="O71" s="530" t="s">
        <v>239</v>
      </c>
      <c r="P71" s="439" t="str">
        <f t="shared" si="54"/>
        <v>Covered</v>
      </c>
      <c r="Q71" s="531">
        <v>42185</v>
      </c>
      <c r="R71" s="532" t="s">
        <v>240</v>
      </c>
      <c r="S71" s="531">
        <v>42185</v>
      </c>
      <c r="T71" s="516" t="s">
        <v>260</v>
      </c>
      <c r="U71" s="436" t="str">
        <f t="shared" si="55"/>
        <v>Documented</v>
      </c>
      <c r="V71" s="542">
        <v>0</v>
      </c>
      <c r="W71" s="515">
        <v>0</v>
      </c>
      <c r="X71" s="543" t="s">
        <v>19</v>
      </c>
      <c r="Y71" s="542">
        <v>1</v>
      </c>
      <c r="Z71" s="550">
        <v>0</v>
      </c>
      <c r="AA71" s="551">
        <v>2000</v>
      </c>
      <c r="AB71" s="556">
        <v>0</v>
      </c>
      <c r="AC71" s="557">
        <v>1</v>
      </c>
      <c r="AD71" s="443">
        <f t="shared" si="56"/>
        <v>1</v>
      </c>
      <c r="AE71" s="407">
        <f t="shared" si="57"/>
        <v>109</v>
      </c>
      <c r="AF71" s="408">
        <f t="shared" si="58"/>
        <v>1</v>
      </c>
      <c r="AG71" s="409">
        <f t="shared" si="59"/>
        <v>109</v>
      </c>
      <c r="AH71" s="406">
        <f t="shared" si="60"/>
        <v>1</v>
      </c>
      <c r="AI71" s="409">
        <f t="shared" si="61"/>
        <v>109</v>
      </c>
      <c r="AJ71" s="410" t="str">
        <f t="shared" si="62"/>
        <v>80-100%</v>
      </c>
      <c r="AK71" s="406">
        <f t="shared" si="63"/>
        <v>0</v>
      </c>
      <c r="AL71" s="411">
        <f t="shared" si="64"/>
        <v>0</v>
      </c>
      <c r="AM71" s="409">
        <f t="shared" si="65"/>
        <v>0</v>
      </c>
      <c r="AN71" s="409">
        <f t="shared" si="66"/>
        <v>21</v>
      </c>
      <c r="AO71" s="409">
        <f t="shared" si="67"/>
        <v>0</v>
      </c>
      <c r="AP71" s="566">
        <v>1</v>
      </c>
      <c r="AQ71" s="567">
        <f t="shared" si="89"/>
        <v>109</v>
      </c>
      <c r="AR71" s="551"/>
      <c r="AS71" s="552">
        <v>0</v>
      </c>
      <c r="AT71" s="515">
        <v>0</v>
      </c>
      <c r="AU71" s="515">
        <v>6</v>
      </c>
      <c r="AV71" s="515" t="s">
        <v>298</v>
      </c>
      <c r="AW71" s="412">
        <f t="shared" si="68"/>
        <v>1</v>
      </c>
      <c r="AX71" s="409">
        <f t="shared" si="69"/>
        <v>109</v>
      </c>
      <c r="AY71" s="412">
        <f t="shared" si="70"/>
        <v>0</v>
      </c>
      <c r="AZ71" s="409">
        <f t="shared" si="71"/>
        <v>0</v>
      </c>
      <c r="BA71" s="412">
        <f t="shared" si="72"/>
        <v>1</v>
      </c>
      <c r="BB71" s="409">
        <f t="shared" si="73"/>
        <v>109</v>
      </c>
      <c r="BC71" s="550">
        <v>0</v>
      </c>
      <c r="BD71" s="571">
        <v>1</v>
      </c>
      <c r="BE71" s="413">
        <f t="shared" si="74"/>
        <v>109</v>
      </c>
      <c r="BF71" s="414">
        <f t="shared" si="75"/>
        <v>0</v>
      </c>
      <c r="BG71" s="515">
        <v>1</v>
      </c>
      <c r="BH71" s="550" t="s">
        <v>91</v>
      </c>
      <c r="BI71" s="412">
        <f t="shared" si="76"/>
        <v>0.91743119266055051</v>
      </c>
      <c r="BJ71" s="409">
        <f t="shared" si="77"/>
        <v>100</v>
      </c>
      <c r="BK71" s="414">
        <f t="shared" si="78"/>
        <v>9.000000000000008E-2</v>
      </c>
      <c r="BL71" s="571">
        <v>0.92</v>
      </c>
      <c r="BM71" s="409">
        <f t="shared" si="79"/>
        <v>100.28</v>
      </c>
      <c r="BN71" s="515">
        <v>3</v>
      </c>
      <c r="BO71" s="412">
        <f t="shared" si="80"/>
        <v>1</v>
      </c>
      <c r="BP71" s="414">
        <f t="shared" si="81"/>
        <v>0</v>
      </c>
      <c r="BQ71" s="557">
        <v>1</v>
      </c>
      <c r="BR71" s="589"/>
      <c r="BS71" s="594">
        <v>42053</v>
      </c>
      <c r="BT71" s="415">
        <f t="shared" si="82"/>
        <v>42418</v>
      </c>
      <c r="BU71" s="515">
        <v>21</v>
      </c>
      <c r="BV71" s="515">
        <v>3</v>
      </c>
      <c r="BW71" s="416">
        <f t="shared" si="83"/>
        <v>0</v>
      </c>
      <c r="BX71" s="417">
        <f t="shared" si="84"/>
        <v>1</v>
      </c>
      <c r="BY71" s="409">
        <f t="shared" si="85"/>
        <v>109</v>
      </c>
      <c r="BZ71" s="446">
        <f t="shared" si="86"/>
        <v>0</v>
      </c>
      <c r="CA71" s="542"/>
      <c r="CB71" s="557">
        <v>0.8</v>
      </c>
      <c r="CC71" s="451">
        <f t="shared" si="87"/>
        <v>87.2</v>
      </c>
      <c r="CD71" s="542">
        <v>1</v>
      </c>
      <c r="CE71" s="418" t="str">
        <f t="shared" si="88"/>
        <v>Excellent coverage</v>
      </c>
      <c r="CF71" s="550">
        <v>1</v>
      </c>
      <c r="CG71" s="551" t="s">
        <v>301</v>
      </c>
      <c r="CH71" s="602" t="s">
        <v>781</v>
      </c>
    </row>
    <row r="72" spans="2:86" s="40" customFormat="1" ht="30.75" customHeight="1" x14ac:dyDescent="0.2">
      <c r="B72" s="512" t="s">
        <v>158</v>
      </c>
      <c r="C72" s="513" t="s">
        <v>613</v>
      </c>
      <c r="D72" s="514" t="s">
        <v>268</v>
      </c>
      <c r="E72" s="513" t="s">
        <v>163</v>
      </c>
      <c r="F72" s="514">
        <v>97.715230000000005</v>
      </c>
      <c r="G72" s="514">
        <v>24.980250000000002</v>
      </c>
      <c r="H72" s="514" t="s">
        <v>467</v>
      </c>
      <c r="I72" s="514" t="s">
        <v>226</v>
      </c>
      <c r="J72" s="515">
        <v>645</v>
      </c>
      <c r="K72" s="515">
        <v>2810</v>
      </c>
      <c r="L72" s="515">
        <v>2810</v>
      </c>
      <c r="M72" s="405" t="str">
        <f t="shared" si="53"/>
        <v>4. Big</v>
      </c>
      <c r="N72" s="516" t="s">
        <v>285</v>
      </c>
      <c r="O72" s="530" t="s">
        <v>239</v>
      </c>
      <c r="P72" s="439" t="str">
        <f t="shared" si="54"/>
        <v>Covered</v>
      </c>
      <c r="Q72" s="531">
        <v>42185</v>
      </c>
      <c r="R72" s="532" t="s">
        <v>240</v>
      </c>
      <c r="S72" s="531">
        <v>42185</v>
      </c>
      <c r="T72" s="516" t="s">
        <v>260</v>
      </c>
      <c r="U72" s="436" t="str">
        <f t="shared" si="55"/>
        <v>Documented</v>
      </c>
      <c r="V72" s="542">
        <v>0</v>
      </c>
      <c r="W72" s="515">
        <v>0</v>
      </c>
      <c r="X72" s="543" t="s">
        <v>19</v>
      </c>
      <c r="Y72" s="542">
        <v>0</v>
      </c>
      <c r="Z72" s="550">
        <v>0</v>
      </c>
      <c r="AA72" s="551">
        <v>45000</v>
      </c>
      <c r="AB72" s="556">
        <v>0</v>
      </c>
      <c r="AC72" s="557">
        <v>0</v>
      </c>
      <c r="AD72" s="443">
        <f t="shared" si="56"/>
        <v>1</v>
      </c>
      <c r="AE72" s="407">
        <f t="shared" si="57"/>
        <v>2810</v>
      </c>
      <c r="AF72" s="408">
        <f t="shared" si="58"/>
        <v>1</v>
      </c>
      <c r="AG72" s="409">
        <f t="shared" si="59"/>
        <v>2810</v>
      </c>
      <c r="AH72" s="406">
        <f t="shared" si="60"/>
        <v>1</v>
      </c>
      <c r="AI72" s="409">
        <f t="shared" si="61"/>
        <v>2810</v>
      </c>
      <c r="AJ72" s="410" t="str">
        <f t="shared" si="62"/>
        <v>80-100%</v>
      </c>
      <c r="AK72" s="406">
        <f t="shared" si="63"/>
        <v>0</v>
      </c>
      <c r="AL72" s="411">
        <f t="shared" si="64"/>
        <v>0</v>
      </c>
      <c r="AM72" s="409">
        <f t="shared" si="65"/>
        <v>7.0250000000000004</v>
      </c>
      <c r="AN72" s="409">
        <f t="shared" si="66"/>
        <v>0</v>
      </c>
      <c r="AO72" s="409">
        <f t="shared" si="67"/>
        <v>0</v>
      </c>
      <c r="AP72" s="566">
        <v>1</v>
      </c>
      <c r="AQ72" s="567">
        <f t="shared" si="89"/>
        <v>2810</v>
      </c>
      <c r="AR72" s="551"/>
      <c r="AS72" s="552">
        <v>190</v>
      </c>
      <c r="AT72" s="515">
        <v>229</v>
      </c>
      <c r="AU72" s="515">
        <v>0</v>
      </c>
      <c r="AV72" s="515" t="s">
        <v>298</v>
      </c>
      <c r="AW72" s="412">
        <f t="shared" si="68"/>
        <v>1</v>
      </c>
      <c r="AX72" s="409">
        <f t="shared" si="69"/>
        <v>2810</v>
      </c>
      <c r="AY72" s="412">
        <f t="shared" si="70"/>
        <v>1</v>
      </c>
      <c r="AZ72" s="409">
        <f t="shared" si="71"/>
        <v>2810</v>
      </c>
      <c r="BA72" s="412">
        <f t="shared" si="72"/>
        <v>0</v>
      </c>
      <c r="BB72" s="409">
        <f t="shared" si="73"/>
        <v>0</v>
      </c>
      <c r="BC72" s="550">
        <v>0</v>
      </c>
      <c r="BD72" s="571">
        <v>1</v>
      </c>
      <c r="BE72" s="413">
        <f t="shared" si="74"/>
        <v>2810</v>
      </c>
      <c r="BF72" s="414">
        <f t="shared" si="75"/>
        <v>140.5</v>
      </c>
      <c r="BG72" s="515">
        <v>26</v>
      </c>
      <c r="BH72" s="550" t="s">
        <v>299</v>
      </c>
      <c r="BI72" s="412">
        <f t="shared" si="76"/>
        <v>0.92526690391459077</v>
      </c>
      <c r="BJ72" s="409">
        <f t="shared" si="77"/>
        <v>2600</v>
      </c>
      <c r="BK72" s="414">
        <f t="shared" si="78"/>
        <v>2.1000000000000014</v>
      </c>
      <c r="BL72" s="571">
        <v>0.93</v>
      </c>
      <c r="BM72" s="409">
        <f t="shared" si="79"/>
        <v>2613.3000000000002</v>
      </c>
      <c r="BN72" s="515">
        <v>51</v>
      </c>
      <c r="BO72" s="412">
        <f t="shared" si="80"/>
        <v>1</v>
      </c>
      <c r="BP72" s="414">
        <f t="shared" si="81"/>
        <v>0</v>
      </c>
      <c r="BQ72" s="557">
        <v>1</v>
      </c>
      <c r="BR72" s="589" t="s">
        <v>853</v>
      </c>
      <c r="BS72" s="594">
        <v>42053</v>
      </c>
      <c r="BT72" s="415">
        <f t="shared" si="82"/>
        <v>42418</v>
      </c>
      <c r="BU72" s="515">
        <v>645</v>
      </c>
      <c r="BV72" s="515">
        <v>3</v>
      </c>
      <c r="BW72" s="416">
        <f t="shared" si="83"/>
        <v>0</v>
      </c>
      <c r="BX72" s="417">
        <f t="shared" si="84"/>
        <v>1</v>
      </c>
      <c r="BY72" s="409">
        <f t="shared" si="85"/>
        <v>2810</v>
      </c>
      <c r="BZ72" s="446">
        <f t="shared" si="86"/>
        <v>0</v>
      </c>
      <c r="CA72" s="542"/>
      <c r="CB72" s="557">
        <v>1</v>
      </c>
      <c r="CC72" s="451">
        <f t="shared" si="87"/>
        <v>2810</v>
      </c>
      <c r="CD72" s="542">
        <v>5</v>
      </c>
      <c r="CE72" s="418" t="str">
        <f t="shared" si="88"/>
        <v>Good coverage</v>
      </c>
      <c r="CF72" s="550">
        <v>0</v>
      </c>
      <c r="CG72" s="551" t="s">
        <v>301</v>
      </c>
      <c r="CH72" s="602"/>
    </row>
    <row r="73" spans="2:86" s="40" customFormat="1" ht="30.75" customHeight="1" x14ac:dyDescent="0.2">
      <c r="B73" s="512" t="s">
        <v>158</v>
      </c>
      <c r="C73" s="513" t="s">
        <v>614</v>
      </c>
      <c r="D73" s="514" t="s">
        <v>265</v>
      </c>
      <c r="E73" s="513" t="s">
        <v>164</v>
      </c>
      <c r="F73" s="514">
        <v>97.435233999999994</v>
      </c>
      <c r="G73" s="514">
        <v>25.425276</v>
      </c>
      <c r="H73" s="514" t="s">
        <v>467</v>
      </c>
      <c r="I73" s="514" t="s">
        <v>218</v>
      </c>
      <c r="J73" s="515">
        <v>126</v>
      </c>
      <c r="K73" s="515">
        <v>685</v>
      </c>
      <c r="L73" s="515">
        <v>492</v>
      </c>
      <c r="M73" s="405" t="str">
        <f t="shared" si="53"/>
        <v>2. Medium</v>
      </c>
      <c r="N73" s="516" t="s">
        <v>284</v>
      </c>
      <c r="O73" s="530" t="s">
        <v>284</v>
      </c>
      <c r="P73" s="439" t="str">
        <f t="shared" si="54"/>
        <v>Covered</v>
      </c>
      <c r="Q73" s="531">
        <v>42155</v>
      </c>
      <c r="R73" s="532"/>
      <c r="S73" s="531"/>
      <c r="T73" s="516" t="s">
        <v>260</v>
      </c>
      <c r="U73" s="436" t="str">
        <f t="shared" si="55"/>
        <v>Documented</v>
      </c>
      <c r="V73" s="542">
        <v>0</v>
      </c>
      <c r="W73" s="515">
        <v>0</v>
      </c>
      <c r="X73" s="543" t="s">
        <v>19</v>
      </c>
      <c r="Y73" s="542">
        <v>4</v>
      </c>
      <c r="Z73" s="550">
        <v>0</v>
      </c>
      <c r="AA73" s="551">
        <v>2500</v>
      </c>
      <c r="AB73" s="556">
        <v>0</v>
      </c>
      <c r="AC73" s="557">
        <v>0</v>
      </c>
      <c r="AD73" s="443">
        <f t="shared" si="56"/>
        <v>1</v>
      </c>
      <c r="AE73" s="407">
        <f t="shared" si="57"/>
        <v>492</v>
      </c>
      <c r="AF73" s="408">
        <f t="shared" si="58"/>
        <v>1</v>
      </c>
      <c r="AG73" s="409">
        <f t="shared" si="59"/>
        <v>492</v>
      </c>
      <c r="AH73" s="406">
        <f t="shared" si="60"/>
        <v>1</v>
      </c>
      <c r="AI73" s="409">
        <f t="shared" si="61"/>
        <v>492</v>
      </c>
      <c r="AJ73" s="410" t="str">
        <f t="shared" si="62"/>
        <v>80-100%</v>
      </c>
      <c r="AK73" s="406">
        <f t="shared" si="63"/>
        <v>0</v>
      </c>
      <c r="AL73" s="411">
        <f t="shared" si="64"/>
        <v>0</v>
      </c>
      <c r="AM73" s="409">
        <f t="shared" si="65"/>
        <v>0</v>
      </c>
      <c r="AN73" s="409">
        <f t="shared" si="66"/>
        <v>0</v>
      </c>
      <c r="AO73" s="409">
        <f t="shared" si="67"/>
        <v>0</v>
      </c>
      <c r="AP73" s="566">
        <v>1</v>
      </c>
      <c r="AQ73" s="567">
        <f t="shared" si="89"/>
        <v>492</v>
      </c>
      <c r="AR73" s="551"/>
      <c r="AS73" s="552">
        <v>0</v>
      </c>
      <c r="AT73" s="515">
        <v>4</v>
      </c>
      <c r="AU73" s="515">
        <v>20</v>
      </c>
      <c r="AV73" s="515" t="s">
        <v>298</v>
      </c>
      <c r="AW73" s="412">
        <f t="shared" si="68"/>
        <v>0.97560975609756095</v>
      </c>
      <c r="AX73" s="409">
        <f t="shared" si="69"/>
        <v>480</v>
      </c>
      <c r="AY73" s="412">
        <f t="shared" si="70"/>
        <v>0.16260162601626016</v>
      </c>
      <c r="AZ73" s="409">
        <f t="shared" si="71"/>
        <v>80</v>
      </c>
      <c r="BA73" s="412">
        <f t="shared" si="72"/>
        <v>0.81300813008130079</v>
      </c>
      <c r="BB73" s="409">
        <f t="shared" si="73"/>
        <v>400</v>
      </c>
      <c r="BC73" s="550">
        <v>0</v>
      </c>
      <c r="BD73" s="571">
        <v>0.98</v>
      </c>
      <c r="BE73" s="413">
        <f t="shared" si="74"/>
        <v>482.15999999999997</v>
      </c>
      <c r="BF73" s="414">
        <f t="shared" si="75"/>
        <v>4.6000000000000014</v>
      </c>
      <c r="BG73" s="515">
        <v>6</v>
      </c>
      <c r="BH73" s="550" t="s">
        <v>299</v>
      </c>
      <c r="BI73" s="412">
        <f t="shared" si="76"/>
        <v>1</v>
      </c>
      <c r="BJ73" s="409">
        <f t="shared" si="77"/>
        <v>492</v>
      </c>
      <c r="BK73" s="414">
        <f t="shared" si="78"/>
        <v>0.84999999999999964</v>
      </c>
      <c r="BL73" s="571">
        <v>1</v>
      </c>
      <c r="BM73" s="409">
        <f t="shared" si="79"/>
        <v>492</v>
      </c>
      <c r="BN73" s="515">
        <v>15</v>
      </c>
      <c r="BO73" s="412">
        <f t="shared" si="80"/>
        <v>1</v>
      </c>
      <c r="BP73" s="414">
        <f t="shared" si="81"/>
        <v>0</v>
      </c>
      <c r="BQ73" s="557">
        <v>1</v>
      </c>
      <c r="BR73" s="589"/>
      <c r="BS73" s="594">
        <v>42048</v>
      </c>
      <c r="BT73" s="415">
        <f t="shared" si="82"/>
        <v>42413</v>
      </c>
      <c r="BU73" s="515">
        <v>126</v>
      </c>
      <c r="BV73" s="515">
        <v>3</v>
      </c>
      <c r="BW73" s="416">
        <f t="shared" si="83"/>
        <v>0</v>
      </c>
      <c r="BX73" s="417">
        <f t="shared" si="84"/>
        <v>1</v>
      </c>
      <c r="BY73" s="409">
        <f t="shared" si="85"/>
        <v>492</v>
      </c>
      <c r="BZ73" s="446">
        <f t="shared" si="86"/>
        <v>0</v>
      </c>
      <c r="CA73" s="542"/>
      <c r="CB73" s="557">
        <v>1</v>
      </c>
      <c r="CC73" s="451">
        <f t="shared" si="87"/>
        <v>492</v>
      </c>
      <c r="CD73" s="542">
        <v>2</v>
      </c>
      <c r="CE73" s="418" t="str">
        <f t="shared" si="88"/>
        <v>Excellent coverage</v>
      </c>
      <c r="CF73" s="550">
        <v>6</v>
      </c>
      <c r="CG73" s="551" t="s">
        <v>65</v>
      </c>
      <c r="CH73" s="602" t="s">
        <v>782</v>
      </c>
    </row>
    <row r="74" spans="2:86" s="40" customFormat="1" ht="30.75" customHeight="1" x14ac:dyDescent="0.2">
      <c r="B74" s="512" t="s">
        <v>158</v>
      </c>
      <c r="C74" s="513" t="s">
        <v>615</v>
      </c>
      <c r="D74" s="514" t="s">
        <v>265</v>
      </c>
      <c r="E74" s="513" t="s">
        <v>165</v>
      </c>
      <c r="F74" s="514">
        <v>97.438450000000003</v>
      </c>
      <c r="G74" s="514">
        <v>25.415900000000001</v>
      </c>
      <c r="H74" s="514" t="s">
        <v>467</v>
      </c>
      <c r="I74" s="514" t="s">
        <v>218</v>
      </c>
      <c r="J74" s="515">
        <v>238</v>
      </c>
      <c r="K74" s="515">
        <v>1234</v>
      </c>
      <c r="L74" s="515">
        <v>1234</v>
      </c>
      <c r="M74" s="405" t="str">
        <f t="shared" si="53"/>
        <v>2. Medium</v>
      </c>
      <c r="N74" s="516" t="s">
        <v>235</v>
      </c>
      <c r="O74" s="530" t="s">
        <v>235</v>
      </c>
      <c r="P74" s="439" t="str">
        <f t="shared" si="54"/>
        <v>Covered</v>
      </c>
      <c r="Q74" s="531">
        <v>42369</v>
      </c>
      <c r="R74" s="532"/>
      <c r="S74" s="531"/>
      <c r="T74" s="516" t="s">
        <v>260</v>
      </c>
      <c r="U74" s="436" t="str">
        <f t="shared" si="55"/>
        <v>Documented</v>
      </c>
      <c r="V74" s="542">
        <v>0</v>
      </c>
      <c r="W74" s="515">
        <v>0</v>
      </c>
      <c r="X74" s="543" t="s">
        <v>19</v>
      </c>
      <c r="Y74" s="542">
        <v>10</v>
      </c>
      <c r="Z74" s="550">
        <v>1</v>
      </c>
      <c r="AA74" s="551">
        <v>15000</v>
      </c>
      <c r="AB74" s="556">
        <v>0</v>
      </c>
      <c r="AC74" s="557">
        <v>1</v>
      </c>
      <c r="AD74" s="443">
        <f t="shared" si="56"/>
        <v>1</v>
      </c>
      <c r="AE74" s="407">
        <f t="shared" si="57"/>
        <v>1234</v>
      </c>
      <c r="AF74" s="408">
        <f t="shared" si="58"/>
        <v>1</v>
      </c>
      <c r="AG74" s="409">
        <f t="shared" si="59"/>
        <v>1234</v>
      </c>
      <c r="AH74" s="406">
        <f t="shared" si="60"/>
        <v>1</v>
      </c>
      <c r="AI74" s="409">
        <f t="shared" si="61"/>
        <v>1234</v>
      </c>
      <c r="AJ74" s="410" t="str">
        <f t="shared" si="62"/>
        <v>80-100%</v>
      </c>
      <c r="AK74" s="406">
        <f t="shared" si="63"/>
        <v>0</v>
      </c>
      <c r="AL74" s="411">
        <f t="shared" si="64"/>
        <v>0</v>
      </c>
      <c r="AM74" s="409">
        <f t="shared" si="65"/>
        <v>0</v>
      </c>
      <c r="AN74" s="409">
        <f t="shared" si="66"/>
        <v>238</v>
      </c>
      <c r="AO74" s="409">
        <f t="shared" si="67"/>
        <v>0</v>
      </c>
      <c r="AP74" s="566">
        <v>1</v>
      </c>
      <c r="AQ74" s="567">
        <f t="shared" si="89"/>
        <v>1234</v>
      </c>
      <c r="AR74" s="551" t="s">
        <v>773</v>
      </c>
      <c r="AS74" s="552">
        <v>78</v>
      </c>
      <c r="AT74" s="515">
        <v>32</v>
      </c>
      <c r="AU74" s="515">
        <v>16</v>
      </c>
      <c r="AV74" s="515" t="s">
        <v>298</v>
      </c>
      <c r="AW74" s="412">
        <f t="shared" si="68"/>
        <v>0.77795786061588335</v>
      </c>
      <c r="AX74" s="409">
        <f t="shared" si="69"/>
        <v>960</v>
      </c>
      <c r="AY74" s="412">
        <f t="shared" si="70"/>
        <v>0.5186385737439223</v>
      </c>
      <c r="AZ74" s="409">
        <f t="shared" si="71"/>
        <v>640.00000000000011</v>
      </c>
      <c r="BA74" s="412">
        <f t="shared" si="72"/>
        <v>0.2593192868719611</v>
      </c>
      <c r="BB74" s="409">
        <f t="shared" si="73"/>
        <v>320</v>
      </c>
      <c r="BC74" s="550">
        <v>0</v>
      </c>
      <c r="BD74" s="571">
        <v>0.78</v>
      </c>
      <c r="BE74" s="413">
        <f t="shared" si="74"/>
        <v>962.52</v>
      </c>
      <c r="BF74" s="414">
        <f t="shared" si="75"/>
        <v>45.7</v>
      </c>
      <c r="BG74" s="515">
        <v>0</v>
      </c>
      <c r="BH74" s="550" t="s">
        <v>299</v>
      </c>
      <c r="BI74" s="412">
        <f t="shared" si="76"/>
        <v>0</v>
      </c>
      <c r="BJ74" s="409">
        <f t="shared" si="77"/>
        <v>0</v>
      </c>
      <c r="BK74" s="414">
        <f t="shared" si="78"/>
        <v>12.34</v>
      </c>
      <c r="BL74" s="571">
        <v>0</v>
      </c>
      <c r="BM74" s="409">
        <f t="shared" si="79"/>
        <v>0</v>
      </c>
      <c r="BN74" s="515">
        <v>0</v>
      </c>
      <c r="BO74" s="412">
        <f t="shared" si="80"/>
        <v>0</v>
      </c>
      <c r="BP74" s="414">
        <f t="shared" si="81"/>
        <v>12.34</v>
      </c>
      <c r="BQ74" s="557">
        <v>0</v>
      </c>
      <c r="BR74" s="589" t="s">
        <v>803</v>
      </c>
      <c r="BS74" s="594">
        <v>41781</v>
      </c>
      <c r="BT74" s="415" t="str">
        <f t="shared" si="82"/>
        <v>To be realised</v>
      </c>
      <c r="BU74" s="515">
        <v>238</v>
      </c>
      <c r="BV74" s="515">
        <v>2</v>
      </c>
      <c r="BW74" s="416">
        <f t="shared" si="83"/>
        <v>238</v>
      </c>
      <c r="BX74" s="417">
        <f t="shared" si="84"/>
        <v>0</v>
      </c>
      <c r="BY74" s="409">
        <f t="shared" si="85"/>
        <v>0</v>
      </c>
      <c r="BZ74" s="446">
        <f t="shared" si="86"/>
        <v>9</v>
      </c>
      <c r="CA74" s="542"/>
      <c r="CB74" s="557">
        <v>0</v>
      </c>
      <c r="CC74" s="451">
        <f t="shared" si="87"/>
        <v>0</v>
      </c>
      <c r="CD74" s="542">
        <v>0</v>
      </c>
      <c r="CE74" s="418" t="str">
        <f t="shared" si="88"/>
        <v>No coverage</v>
      </c>
      <c r="CF74" s="550">
        <v>0</v>
      </c>
      <c r="CG74" s="551" t="s">
        <v>301</v>
      </c>
      <c r="CH74" s="602"/>
    </row>
    <row r="75" spans="2:86" s="40" customFormat="1" ht="30.75" customHeight="1" x14ac:dyDescent="0.2">
      <c r="B75" s="512" t="s">
        <v>158</v>
      </c>
      <c r="C75" s="513" t="s">
        <v>616</v>
      </c>
      <c r="D75" s="514" t="s">
        <v>265</v>
      </c>
      <c r="E75" s="513" t="s">
        <v>166</v>
      </c>
      <c r="F75" s="514">
        <v>97.437434999999994</v>
      </c>
      <c r="G75" s="514">
        <v>25.411413</v>
      </c>
      <c r="H75" s="514" t="s">
        <v>467</v>
      </c>
      <c r="I75" s="514" t="s">
        <v>218</v>
      </c>
      <c r="J75" s="515">
        <v>415</v>
      </c>
      <c r="K75" s="515">
        <v>2077</v>
      </c>
      <c r="L75" s="515">
        <v>2077</v>
      </c>
      <c r="M75" s="405" t="str">
        <f t="shared" si="53"/>
        <v>3. Large</v>
      </c>
      <c r="N75" s="516" t="s">
        <v>239</v>
      </c>
      <c r="O75" s="530" t="s">
        <v>239</v>
      </c>
      <c r="P75" s="439" t="str">
        <f t="shared" si="54"/>
        <v>Covered</v>
      </c>
      <c r="Q75" s="531">
        <v>42185</v>
      </c>
      <c r="R75" s="532" t="s">
        <v>240</v>
      </c>
      <c r="S75" s="531">
        <v>42185</v>
      </c>
      <c r="T75" s="516" t="s">
        <v>260</v>
      </c>
      <c r="U75" s="436" t="str">
        <f t="shared" si="55"/>
        <v>Documented</v>
      </c>
      <c r="V75" s="542">
        <v>0</v>
      </c>
      <c r="W75" s="515">
        <v>0</v>
      </c>
      <c r="X75" s="543" t="s">
        <v>19</v>
      </c>
      <c r="Y75" s="542">
        <v>8</v>
      </c>
      <c r="Z75" s="550">
        <v>0</v>
      </c>
      <c r="AA75" s="551">
        <v>16800</v>
      </c>
      <c r="AB75" s="556">
        <v>0</v>
      </c>
      <c r="AC75" s="557">
        <v>1</v>
      </c>
      <c r="AD75" s="443">
        <f t="shared" si="56"/>
        <v>1</v>
      </c>
      <c r="AE75" s="407">
        <f t="shared" si="57"/>
        <v>2077</v>
      </c>
      <c r="AF75" s="408">
        <f t="shared" si="58"/>
        <v>1</v>
      </c>
      <c r="AG75" s="409">
        <f t="shared" si="59"/>
        <v>2077</v>
      </c>
      <c r="AH75" s="406">
        <f t="shared" si="60"/>
        <v>1</v>
      </c>
      <c r="AI75" s="409">
        <f t="shared" si="61"/>
        <v>2077</v>
      </c>
      <c r="AJ75" s="410" t="str">
        <f t="shared" si="62"/>
        <v>80-100%</v>
      </c>
      <c r="AK75" s="406">
        <f t="shared" si="63"/>
        <v>0</v>
      </c>
      <c r="AL75" s="411">
        <f t="shared" si="64"/>
        <v>0</v>
      </c>
      <c r="AM75" s="409">
        <f t="shared" si="65"/>
        <v>0</v>
      </c>
      <c r="AN75" s="409">
        <f t="shared" si="66"/>
        <v>415</v>
      </c>
      <c r="AO75" s="409">
        <f t="shared" si="67"/>
        <v>0</v>
      </c>
      <c r="AP75" s="566">
        <v>1</v>
      </c>
      <c r="AQ75" s="567">
        <f t="shared" si="89"/>
        <v>2077</v>
      </c>
      <c r="AR75" s="551"/>
      <c r="AS75" s="552">
        <v>0</v>
      </c>
      <c r="AT75" s="515">
        <v>0</v>
      </c>
      <c r="AU75" s="515">
        <v>132</v>
      </c>
      <c r="AV75" s="515" t="s">
        <v>298</v>
      </c>
      <c r="AW75" s="412">
        <f t="shared" si="68"/>
        <v>1</v>
      </c>
      <c r="AX75" s="409">
        <f t="shared" si="69"/>
        <v>2077</v>
      </c>
      <c r="AY75" s="412">
        <f t="shared" si="70"/>
        <v>0</v>
      </c>
      <c r="AZ75" s="409">
        <f t="shared" si="71"/>
        <v>0</v>
      </c>
      <c r="BA75" s="412">
        <f t="shared" si="72"/>
        <v>1</v>
      </c>
      <c r="BB75" s="409">
        <f t="shared" si="73"/>
        <v>2077</v>
      </c>
      <c r="BC75" s="550">
        <v>4</v>
      </c>
      <c r="BD75" s="571">
        <v>1</v>
      </c>
      <c r="BE75" s="413">
        <f t="shared" si="74"/>
        <v>2077</v>
      </c>
      <c r="BF75" s="414">
        <f t="shared" si="75"/>
        <v>0</v>
      </c>
      <c r="BG75" s="515">
        <v>6</v>
      </c>
      <c r="BH75" s="550" t="s">
        <v>299</v>
      </c>
      <c r="BI75" s="412">
        <f t="shared" si="76"/>
        <v>0.28887818969667789</v>
      </c>
      <c r="BJ75" s="409">
        <f t="shared" si="77"/>
        <v>600</v>
      </c>
      <c r="BK75" s="414">
        <f t="shared" si="78"/>
        <v>14.77</v>
      </c>
      <c r="BL75" s="571">
        <v>0.28999999999999998</v>
      </c>
      <c r="BM75" s="409">
        <f t="shared" si="79"/>
        <v>602.32999999999993</v>
      </c>
      <c r="BN75" s="515">
        <v>45</v>
      </c>
      <c r="BO75" s="412">
        <f t="shared" si="80"/>
        <v>1</v>
      </c>
      <c r="BP75" s="414">
        <f t="shared" si="81"/>
        <v>0</v>
      </c>
      <c r="BQ75" s="557">
        <v>1</v>
      </c>
      <c r="BR75" s="589" t="s">
        <v>828</v>
      </c>
      <c r="BS75" s="594">
        <v>42053</v>
      </c>
      <c r="BT75" s="415">
        <f t="shared" si="82"/>
        <v>42418</v>
      </c>
      <c r="BU75" s="515">
        <v>415</v>
      </c>
      <c r="BV75" s="515">
        <v>3</v>
      </c>
      <c r="BW75" s="416">
        <f t="shared" si="83"/>
        <v>0</v>
      </c>
      <c r="BX75" s="417">
        <f t="shared" si="84"/>
        <v>1</v>
      </c>
      <c r="BY75" s="409">
        <f t="shared" si="85"/>
        <v>2077</v>
      </c>
      <c r="BZ75" s="446">
        <f t="shared" si="86"/>
        <v>0</v>
      </c>
      <c r="CA75" s="542"/>
      <c r="CB75" s="557">
        <v>0.8</v>
      </c>
      <c r="CC75" s="451">
        <f t="shared" si="87"/>
        <v>1661.6000000000001</v>
      </c>
      <c r="CD75" s="542">
        <v>4</v>
      </c>
      <c r="CE75" s="418" t="str">
        <f t="shared" si="88"/>
        <v>Good coverage</v>
      </c>
      <c r="CF75" s="550">
        <v>0</v>
      </c>
      <c r="CG75" s="551" t="s">
        <v>301</v>
      </c>
      <c r="CH75" s="602" t="s">
        <v>783</v>
      </c>
    </row>
    <row r="76" spans="2:86" s="40" customFormat="1" ht="30.75" customHeight="1" x14ac:dyDescent="0.2">
      <c r="B76" s="512" t="s">
        <v>158</v>
      </c>
      <c r="C76" s="513" t="s">
        <v>617</v>
      </c>
      <c r="D76" s="514" t="s">
        <v>265</v>
      </c>
      <c r="E76" s="513" t="s">
        <v>167</v>
      </c>
      <c r="F76" s="514">
        <v>97.426297000000005</v>
      </c>
      <c r="G76" s="514">
        <v>25.409566000000002</v>
      </c>
      <c r="H76" s="514" t="s">
        <v>467</v>
      </c>
      <c r="I76" s="514" t="s">
        <v>218</v>
      </c>
      <c r="J76" s="515">
        <v>44</v>
      </c>
      <c r="K76" s="515">
        <v>187</v>
      </c>
      <c r="L76" s="515">
        <v>187</v>
      </c>
      <c r="M76" s="405" t="str">
        <f t="shared" si="53"/>
        <v>1. Small</v>
      </c>
      <c r="N76" s="516" t="s">
        <v>239</v>
      </c>
      <c r="O76" s="530" t="s">
        <v>239</v>
      </c>
      <c r="P76" s="439" t="str">
        <f t="shared" si="54"/>
        <v>Covered</v>
      </c>
      <c r="Q76" s="531">
        <v>42185</v>
      </c>
      <c r="R76" s="532" t="s">
        <v>240</v>
      </c>
      <c r="S76" s="531">
        <v>42185</v>
      </c>
      <c r="T76" s="516" t="s">
        <v>260</v>
      </c>
      <c r="U76" s="436" t="str">
        <f t="shared" si="55"/>
        <v>Documented</v>
      </c>
      <c r="V76" s="542">
        <v>0</v>
      </c>
      <c r="W76" s="515">
        <v>0</v>
      </c>
      <c r="X76" s="543" t="s">
        <v>19</v>
      </c>
      <c r="Y76" s="542">
        <v>2</v>
      </c>
      <c r="Z76" s="550">
        <v>0</v>
      </c>
      <c r="AA76" s="551">
        <v>3000</v>
      </c>
      <c r="AB76" s="556">
        <v>0</v>
      </c>
      <c r="AC76" s="557">
        <v>1</v>
      </c>
      <c r="AD76" s="443">
        <f t="shared" si="56"/>
        <v>1</v>
      </c>
      <c r="AE76" s="407">
        <f t="shared" si="57"/>
        <v>187</v>
      </c>
      <c r="AF76" s="408">
        <f t="shared" si="58"/>
        <v>1</v>
      </c>
      <c r="AG76" s="409">
        <f t="shared" si="59"/>
        <v>187</v>
      </c>
      <c r="AH76" s="406">
        <f t="shared" si="60"/>
        <v>1</v>
      </c>
      <c r="AI76" s="409">
        <f t="shared" si="61"/>
        <v>187</v>
      </c>
      <c r="AJ76" s="410" t="str">
        <f t="shared" si="62"/>
        <v>80-100%</v>
      </c>
      <c r="AK76" s="406">
        <f t="shared" si="63"/>
        <v>0</v>
      </c>
      <c r="AL76" s="411">
        <f t="shared" si="64"/>
        <v>0</v>
      </c>
      <c r="AM76" s="409">
        <f t="shared" si="65"/>
        <v>0</v>
      </c>
      <c r="AN76" s="409">
        <f t="shared" si="66"/>
        <v>44</v>
      </c>
      <c r="AO76" s="409">
        <f t="shared" si="67"/>
        <v>0</v>
      </c>
      <c r="AP76" s="566">
        <v>1</v>
      </c>
      <c r="AQ76" s="567">
        <f t="shared" si="89"/>
        <v>187</v>
      </c>
      <c r="AR76" s="551"/>
      <c r="AS76" s="552">
        <v>0</v>
      </c>
      <c r="AT76" s="515">
        <v>0</v>
      </c>
      <c r="AU76" s="515">
        <v>14</v>
      </c>
      <c r="AV76" s="515" t="s">
        <v>298</v>
      </c>
      <c r="AW76" s="412">
        <f t="shared" si="68"/>
        <v>1</v>
      </c>
      <c r="AX76" s="409">
        <f t="shared" si="69"/>
        <v>187</v>
      </c>
      <c r="AY76" s="412">
        <f t="shared" si="70"/>
        <v>0</v>
      </c>
      <c r="AZ76" s="409">
        <f t="shared" si="71"/>
        <v>0</v>
      </c>
      <c r="BA76" s="412">
        <f t="shared" si="72"/>
        <v>1</v>
      </c>
      <c r="BB76" s="409">
        <f t="shared" si="73"/>
        <v>187</v>
      </c>
      <c r="BC76" s="550">
        <v>0</v>
      </c>
      <c r="BD76" s="571">
        <v>1</v>
      </c>
      <c r="BE76" s="413">
        <f t="shared" si="74"/>
        <v>187</v>
      </c>
      <c r="BF76" s="414">
        <f t="shared" si="75"/>
        <v>0</v>
      </c>
      <c r="BG76" s="515">
        <v>2</v>
      </c>
      <c r="BH76" s="550" t="s">
        <v>300</v>
      </c>
      <c r="BI76" s="412">
        <f t="shared" si="76"/>
        <v>1</v>
      </c>
      <c r="BJ76" s="409">
        <f t="shared" si="77"/>
        <v>187</v>
      </c>
      <c r="BK76" s="414">
        <f t="shared" si="78"/>
        <v>0</v>
      </c>
      <c r="BL76" s="571">
        <v>1</v>
      </c>
      <c r="BM76" s="409">
        <f t="shared" si="79"/>
        <v>187</v>
      </c>
      <c r="BN76" s="515">
        <v>3</v>
      </c>
      <c r="BO76" s="412">
        <f t="shared" si="80"/>
        <v>1</v>
      </c>
      <c r="BP76" s="414">
        <f t="shared" si="81"/>
        <v>0</v>
      </c>
      <c r="BQ76" s="557">
        <v>1</v>
      </c>
      <c r="BR76" s="589"/>
      <c r="BS76" s="594">
        <v>42053</v>
      </c>
      <c r="BT76" s="415">
        <f t="shared" si="82"/>
        <v>42418</v>
      </c>
      <c r="BU76" s="515">
        <v>44</v>
      </c>
      <c r="BV76" s="515">
        <v>3</v>
      </c>
      <c r="BW76" s="416">
        <f t="shared" si="83"/>
        <v>0</v>
      </c>
      <c r="BX76" s="417">
        <f t="shared" si="84"/>
        <v>1</v>
      </c>
      <c r="BY76" s="409">
        <f t="shared" si="85"/>
        <v>187</v>
      </c>
      <c r="BZ76" s="446">
        <f t="shared" si="86"/>
        <v>0</v>
      </c>
      <c r="CA76" s="542"/>
      <c r="CB76" s="557">
        <v>0.8</v>
      </c>
      <c r="CC76" s="451">
        <f t="shared" si="87"/>
        <v>149.6</v>
      </c>
      <c r="CD76" s="542">
        <v>1</v>
      </c>
      <c r="CE76" s="418" t="str">
        <f t="shared" si="88"/>
        <v>Excellent coverage</v>
      </c>
      <c r="CF76" s="550">
        <v>0</v>
      </c>
      <c r="CG76" s="551" t="s">
        <v>301</v>
      </c>
      <c r="CH76" s="602"/>
    </row>
    <row r="77" spans="2:86" s="40" customFormat="1" ht="30.75" customHeight="1" x14ac:dyDescent="0.2">
      <c r="B77" s="512" t="s">
        <v>158</v>
      </c>
      <c r="C77" s="513" t="s">
        <v>619</v>
      </c>
      <c r="D77" s="514" t="s">
        <v>268</v>
      </c>
      <c r="E77" s="513" t="s">
        <v>204</v>
      </c>
      <c r="F77" s="514">
        <v>97.751389000000003</v>
      </c>
      <c r="G77" s="514">
        <v>24.831944</v>
      </c>
      <c r="H77" s="514" t="s">
        <v>467</v>
      </c>
      <c r="I77" s="514" t="s">
        <v>226</v>
      </c>
      <c r="J77" s="515">
        <v>191</v>
      </c>
      <c r="K77" s="515">
        <v>770</v>
      </c>
      <c r="L77" s="515">
        <v>770</v>
      </c>
      <c r="M77" s="405" t="str">
        <f t="shared" si="53"/>
        <v>2. Medium</v>
      </c>
      <c r="N77" s="516" t="s">
        <v>239</v>
      </c>
      <c r="O77" s="530" t="s">
        <v>239</v>
      </c>
      <c r="P77" s="439" t="str">
        <f t="shared" si="54"/>
        <v>Covered</v>
      </c>
      <c r="Q77" s="531">
        <v>42185</v>
      </c>
      <c r="R77" s="532" t="s">
        <v>240</v>
      </c>
      <c r="S77" s="531">
        <v>42185</v>
      </c>
      <c r="T77" s="516" t="s">
        <v>260</v>
      </c>
      <c r="U77" s="436" t="str">
        <f t="shared" si="55"/>
        <v>Documented</v>
      </c>
      <c r="V77" s="542">
        <v>0</v>
      </c>
      <c r="W77" s="515">
        <v>0</v>
      </c>
      <c r="X77" s="543" t="s">
        <v>19</v>
      </c>
      <c r="Y77" s="542">
        <v>0</v>
      </c>
      <c r="Z77" s="550">
        <v>0</v>
      </c>
      <c r="AA77" s="551">
        <v>12000</v>
      </c>
      <c r="AB77" s="556">
        <v>0</v>
      </c>
      <c r="AC77" s="557">
        <v>0</v>
      </c>
      <c r="AD77" s="443">
        <f t="shared" si="56"/>
        <v>1</v>
      </c>
      <c r="AE77" s="407">
        <f t="shared" si="57"/>
        <v>770</v>
      </c>
      <c r="AF77" s="408">
        <f t="shared" si="58"/>
        <v>1</v>
      </c>
      <c r="AG77" s="409">
        <f t="shared" si="59"/>
        <v>770</v>
      </c>
      <c r="AH77" s="406">
        <f t="shared" si="60"/>
        <v>1</v>
      </c>
      <c r="AI77" s="409">
        <f t="shared" si="61"/>
        <v>770</v>
      </c>
      <c r="AJ77" s="410" t="str">
        <f t="shared" si="62"/>
        <v>80-100%</v>
      </c>
      <c r="AK77" s="406">
        <f t="shared" si="63"/>
        <v>0</v>
      </c>
      <c r="AL77" s="411">
        <f t="shared" si="64"/>
        <v>0</v>
      </c>
      <c r="AM77" s="409">
        <f t="shared" si="65"/>
        <v>1.925</v>
      </c>
      <c r="AN77" s="409">
        <f t="shared" si="66"/>
        <v>0</v>
      </c>
      <c r="AO77" s="409">
        <f t="shared" si="67"/>
        <v>0</v>
      </c>
      <c r="AP77" s="566">
        <v>1</v>
      </c>
      <c r="AQ77" s="567">
        <f t="shared" si="89"/>
        <v>770</v>
      </c>
      <c r="AR77" s="551"/>
      <c r="AS77" s="552">
        <v>11</v>
      </c>
      <c r="AT77" s="515">
        <v>50</v>
      </c>
      <c r="AU77" s="515">
        <v>0</v>
      </c>
      <c r="AV77" s="515" t="s">
        <v>298</v>
      </c>
      <c r="AW77" s="412">
        <f t="shared" si="68"/>
        <v>1</v>
      </c>
      <c r="AX77" s="409">
        <f t="shared" si="69"/>
        <v>770</v>
      </c>
      <c r="AY77" s="412">
        <f t="shared" si="70"/>
        <v>1</v>
      </c>
      <c r="AZ77" s="409">
        <f t="shared" si="71"/>
        <v>770</v>
      </c>
      <c r="BA77" s="412">
        <f t="shared" si="72"/>
        <v>0</v>
      </c>
      <c r="BB77" s="409">
        <f t="shared" si="73"/>
        <v>0</v>
      </c>
      <c r="BC77" s="550">
        <v>0</v>
      </c>
      <c r="BD77" s="571">
        <v>1</v>
      </c>
      <c r="BE77" s="413">
        <f t="shared" si="74"/>
        <v>770</v>
      </c>
      <c r="BF77" s="414">
        <f t="shared" si="75"/>
        <v>38.5</v>
      </c>
      <c r="BG77" s="515">
        <v>6</v>
      </c>
      <c r="BH77" s="550" t="s">
        <v>299</v>
      </c>
      <c r="BI77" s="412">
        <f t="shared" si="76"/>
        <v>0.77922077922077926</v>
      </c>
      <c r="BJ77" s="409">
        <f t="shared" si="77"/>
        <v>600</v>
      </c>
      <c r="BK77" s="414">
        <f t="shared" si="78"/>
        <v>1.7000000000000002</v>
      </c>
      <c r="BL77" s="571">
        <v>0.78</v>
      </c>
      <c r="BM77" s="409">
        <f t="shared" si="79"/>
        <v>600.6</v>
      </c>
      <c r="BN77" s="515">
        <v>12</v>
      </c>
      <c r="BO77" s="412">
        <f t="shared" si="80"/>
        <v>1</v>
      </c>
      <c r="BP77" s="414">
        <f t="shared" si="81"/>
        <v>0</v>
      </c>
      <c r="BQ77" s="557">
        <v>1</v>
      </c>
      <c r="BR77" s="589" t="s">
        <v>853</v>
      </c>
      <c r="BS77" s="594">
        <v>42053</v>
      </c>
      <c r="BT77" s="415">
        <f t="shared" si="82"/>
        <v>42418</v>
      </c>
      <c r="BU77" s="515">
        <v>191</v>
      </c>
      <c r="BV77" s="515">
        <v>3</v>
      </c>
      <c r="BW77" s="416">
        <f t="shared" si="83"/>
        <v>0</v>
      </c>
      <c r="BX77" s="417">
        <f t="shared" si="84"/>
        <v>1</v>
      </c>
      <c r="BY77" s="409">
        <f t="shared" si="85"/>
        <v>770</v>
      </c>
      <c r="BZ77" s="446">
        <f t="shared" si="86"/>
        <v>0</v>
      </c>
      <c r="CA77" s="542"/>
      <c r="CB77" s="557">
        <v>0.8</v>
      </c>
      <c r="CC77" s="451">
        <f t="shared" si="87"/>
        <v>616</v>
      </c>
      <c r="CD77" s="542">
        <v>3</v>
      </c>
      <c r="CE77" s="418" t="str">
        <f t="shared" si="88"/>
        <v>Excellent coverage</v>
      </c>
      <c r="CF77" s="550">
        <v>0</v>
      </c>
      <c r="CG77" s="551" t="s">
        <v>301</v>
      </c>
      <c r="CH77" s="602"/>
    </row>
    <row r="78" spans="2:86" s="40" customFormat="1" ht="30.75" customHeight="1" x14ac:dyDescent="0.2">
      <c r="B78" s="512" t="s">
        <v>158</v>
      </c>
      <c r="C78" s="513" t="s">
        <v>620</v>
      </c>
      <c r="D78" s="514" t="s">
        <v>268</v>
      </c>
      <c r="E78" s="513" t="s">
        <v>169</v>
      </c>
      <c r="F78" s="514">
        <v>97.990555999999998</v>
      </c>
      <c r="G78" s="514">
        <v>25.265277999999999</v>
      </c>
      <c r="H78" s="514" t="s">
        <v>467</v>
      </c>
      <c r="I78" s="514" t="s">
        <v>226</v>
      </c>
      <c r="J78" s="515">
        <v>109</v>
      </c>
      <c r="K78" s="515">
        <v>640</v>
      </c>
      <c r="L78" s="515">
        <v>640</v>
      </c>
      <c r="M78" s="405" t="str">
        <f t="shared" si="53"/>
        <v>2. Medium</v>
      </c>
      <c r="N78" s="516" t="s">
        <v>285</v>
      </c>
      <c r="O78" s="530" t="s">
        <v>235</v>
      </c>
      <c r="P78" s="439" t="str">
        <f t="shared" si="54"/>
        <v>Covered</v>
      </c>
      <c r="Q78" s="531">
        <v>42369</v>
      </c>
      <c r="R78" s="532"/>
      <c r="S78" s="531"/>
      <c r="T78" s="516" t="s">
        <v>260</v>
      </c>
      <c r="U78" s="436" t="str">
        <f t="shared" si="55"/>
        <v>Documented</v>
      </c>
      <c r="V78" s="542">
        <v>0</v>
      </c>
      <c r="W78" s="515">
        <v>0</v>
      </c>
      <c r="X78" s="543" t="s">
        <v>19</v>
      </c>
      <c r="Y78" s="542">
        <v>0</v>
      </c>
      <c r="Z78" s="550">
        <v>0</v>
      </c>
      <c r="AA78" s="551">
        <v>13000</v>
      </c>
      <c r="AB78" s="556">
        <v>0</v>
      </c>
      <c r="AC78" s="557">
        <v>1</v>
      </c>
      <c r="AD78" s="443">
        <f t="shared" si="56"/>
        <v>1</v>
      </c>
      <c r="AE78" s="407">
        <f t="shared" si="57"/>
        <v>640</v>
      </c>
      <c r="AF78" s="408">
        <f t="shared" si="58"/>
        <v>1</v>
      </c>
      <c r="AG78" s="409">
        <f t="shared" si="59"/>
        <v>640</v>
      </c>
      <c r="AH78" s="406">
        <f t="shared" si="60"/>
        <v>1</v>
      </c>
      <c r="AI78" s="409">
        <f t="shared" si="61"/>
        <v>640</v>
      </c>
      <c r="AJ78" s="410" t="str">
        <f t="shared" si="62"/>
        <v>80-100%</v>
      </c>
      <c r="AK78" s="406">
        <f t="shared" si="63"/>
        <v>0</v>
      </c>
      <c r="AL78" s="411">
        <f t="shared" si="64"/>
        <v>0</v>
      </c>
      <c r="AM78" s="409">
        <f t="shared" si="65"/>
        <v>1.6</v>
      </c>
      <c r="AN78" s="409">
        <f t="shared" si="66"/>
        <v>109</v>
      </c>
      <c r="AO78" s="409">
        <f t="shared" si="67"/>
        <v>0</v>
      </c>
      <c r="AP78" s="566">
        <v>1</v>
      </c>
      <c r="AQ78" s="567">
        <f t="shared" si="89"/>
        <v>640</v>
      </c>
      <c r="AR78" s="551" t="s">
        <v>821</v>
      </c>
      <c r="AS78" s="552">
        <v>80</v>
      </c>
      <c r="AT78" s="515">
        <v>109</v>
      </c>
      <c r="AU78" s="515">
        <v>14</v>
      </c>
      <c r="AV78" s="515" t="s">
        <v>298</v>
      </c>
      <c r="AW78" s="412">
        <f t="shared" si="68"/>
        <v>1</v>
      </c>
      <c r="AX78" s="409">
        <f t="shared" si="69"/>
        <v>640</v>
      </c>
      <c r="AY78" s="412">
        <f t="shared" si="70"/>
        <v>0.5625</v>
      </c>
      <c r="AZ78" s="409">
        <f t="shared" si="71"/>
        <v>360</v>
      </c>
      <c r="BA78" s="412">
        <f t="shared" si="72"/>
        <v>0.4375</v>
      </c>
      <c r="BB78" s="409">
        <f t="shared" si="73"/>
        <v>280</v>
      </c>
      <c r="BC78" s="550">
        <v>0</v>
      </c>
      <c r="BD78" s="571">
        <v>1</v>
      </c>
      <c r="BE78" s="413">
        <f t="shared" si="74"/>
        <v>640</v>
      </c>
      <c r="BF78" s="414">
        <f t="shared" si="75"/>
        <v>18</v>
      </c>
      <c r="BG78" s="515">
        <v>2</v>
      </c>
      <c r="BH78" s="550" t="s">
        <v>299</v>
      </c>
      <c r="BI78" s="412">
        <f t="shared" si="76"/>
        <v>0.3125</v>
      </c>
      <c r="BJ78" s="409">
        <f t="shared" si="77"/>
        <v>200</v>
      </c>
      <c r="BK78" s="414">
        <f t="shared" si="78"/>
        <v>4.4000000000000004</v>
      </c>
      <c r="BL78" s="571">
        <v>0.31</v>
      </c>
      <c r="BM78" s="409">
        <f t="shared" si="79"/>
        <v>198.4</v>
      </c>
      <c r="BN78" s="515">
        <v>4</v>
      </c>
      <c r="BO78" s="412">
        <f t="shared" si="80"/>
        <v>0.625</v>
      </c>
      <c r="BP78" s="414">
        <f t="shared" si="81"/>
        <v>2.4000000000000004</v>
      </c>
      <c r="BQ78" s="557">
        <v>0.63</v>
      </c>
      <c r="BR78" s="589" t="s">
        <v>802</v>
      </c>
      <c r="BS78" s="594">
        <v>42123</v>
      </c>
      <c r="BT78" s="415">
        <f t="shared" si="82"/>
        <v>42488</v>
      </c>
      <c r="BU78" s="515">
        <v>109</v>
      </c>
      <c r="BV78" s="515">
        <v>3</v>
      </c>
      <c r="BW78" s="416">
        <f t="shared" si="83"/>
        <v>0</v>
      </c>
      <c r="BX78" s="417">
        <f t="shared" si="84"/>
        <v>1</v>
      </c>
      <c r="BY78" s="409">
        <f t="shared" si="85"/>
        <v>640</v>
      </c>
      <c r="BZ78" s="446">
        <f t="shared" si="86"/>
        <v>0</v>
      </c>
      <c r="CA78" s="542"/>
      <c r="CB78" s="557">
        <v>0</v>
      </c>
      <c r="CC78" s="451">
        <f t="shared" si="87"/>
        <v>0</v>
      </c>
      <c r="CD78" s="542">
        <v>0</v>
      </c>
      <c r="CE78" s="418" t="str">
        <f t="shared" si="88"/>
        <v>No coverage</v>
      </c>
      <c r="CF78" s="550">
        <v>0</v>
      </c>
      <c r="CG78" s="551" t="s">
        <v>301</v>
      </c>
      <c r="CH78" s="602"/>
    </row>
    <row r="79" spans="2:86" s="40" customFormat="1" ht="30.75" customHeight="1" x14ac:dyDescent="0.2">
      <c r="B79" s="512" t="s">
        <v>158</v>
      </c>
      <c r="C79" s="513" t="s">
        <v>621</v>
      </c>
      <c r="D79" s="514" t="s">
        <v>265</v>
      </c>
      <c r="E79" s="513" t="s">
        <v>170</v>
      </c>
      <c r="F79" s="514">
        <v>97.441483000000005</v>
      </c>
      <c r="G79" s="514">
        <v>25.354883999999998</v>
      </c>
      <c r="H79" s="514" t="s">
        <v>467</v>
      </c>
      <c r="I79" s="514" t="s">
        <v>218</v>
      </c>
      <c r="J79" s="515">
        <v>102</v>
      </c>
      <c r="K79" s="515">
        <v>340</v>
      </c>
      <c r="L79" s="515">
        <v>280</v>
      </c>
      <c r="M79" s="405" t="str">
        <f t="shared" si="53"/>
        <v>2. Medium</v>
      </c>
      <c r="N79" s="516" t="s">
        <v>284</v>
      </c>
      <c r="O79" s="530" t="s">
        <v>284</v>
      </c>
      <c r="P79" s="439" t="str">
        <f t="shared" si="54"/>
        <v>Covered</v>
      </c>
      <c r="Q79" s="531">
        <v>42155</v>
      </c>
      <c r="R79" s="532"/>
      <c r="S79" s="531"/>
      <c r="T79" s="516" t="s">
        <v>260</v>
      </c>
      <c r="U79" s="436" t="str">
        <f t="shared" si="55"/>
        <v>Documented</v>
      </c>
      <c r="V79" s="542">
        <v>0</v>
      </c>
      <c r="W79" s="515">
        <v>22140</v>
      </c>
      <c r="X79" s="543" t="s">
        <v>18</v>
      </c>
      <c r="Y79" s="542">
        <v>1</v>
      </c>
      <c r="Z79" s="550">
        <v>1</v>
      </c>
      <c r="AA79" s="551">
        <v>0</v>
      </c>
      <c r="AB79" s="556">
        <v>0</v>
      </c>
      <c r="AC79" s="557">
        <v>0</v>
      </c>
      <c r="AD79" s="443">
        <f t="shared" si="56"/>
        <v>1</v>
      </c>
      <c r="AE79" s="407">
        <f t="shared" si="57"/>
        <v>280</v>
      </c>
      <c r="AF79" s="408">
        <f t="shared" si="58"/>
        <v>1</v>
      </c>
      <c r="AG79" s="409">
        <f t="shared" si="59"/>
        <v>280</v>
      </c>
      <c r="AH79" s="406">
        <f t="shared" si="60"/>
        <v>1</v>
      </c>
      <c r="AI79" s="409">
        <f t="shared" si="61"/>
        <v>280</v>
      </c>
      <c r="AJ79" s="410" t="str">
        <f t="shared" si="62"/>
        <v>80-100%</v>
      </c>
      <c r="AK79" s="406">
        <f t="shared" si="63"/>
        <v>0</v>
      </c>
      <c r="AL79" s="411">
        <f t="shared" si="64"/>
        <v>0</v>
      </c>
      <c r="AM79" s="409">
        <f t="shared" si="65"/>
        <v>0</v>
      </c>
      <c r="AN79" s="409">
        <f t="shared" si="66"/>
        <v>0</v>
      </c>
      <c r="AO79" s="409">
        <f t="shared" si="67"/>
        <v>0</v>
      </c>
      <c r="AP79" s="566">
        <v>1</v>
      </c>
      <c r="AQ79" s="567">
        <f t="shared" si="89"/>
        <v>280</v>
      </c>
      <c r="AR79" s="551"/>
      <c r="AS79" s="552">
        <v>0</v>
      </c>
      <c r="AT79" s="515">
        <v>0</v>
      </c>
      <c r="AU79" s="515">
        <v>11</v>
      </c>
      <c r="AV79" s="515" t="s">
        <v>298</v>
      </c>
      <c r="AW79" s="412">
        <f t="shared" si="68"/>
        <v>0.7857142857142857</v>
      </c>
      <c r="AX79" s="409">
        <f t="shared" si="69"/>
        <v>220</v>
      </c>
      <c r="AY79" s="412">
        <f t="shared" si="70"/>
        <v>0</v>
      </c>
      <c r="AZ79" s="409">
        <f t="shared" si="71"/>
        <v>0</v>
      </c>
      <c r="BA79" s="412">
        <f t="shared" si="72"/>
        <v>0.7857142857142857</v>
      </c>
      <c r="BB79" s="409">
        <f t="shared" si="73"/>
        <v>220</v>
      </c>
      <c r="BC79" s="550">
        <v>0</v>
      </c>
      <c r="BD79" s="571">
        <v>0.79</v>
      </c>
      <c r="BE79" s="413">
        <f t="shared" si="74"/>
        <v>221.20000000000002</v>
      </c>
      <c r="BF79" s="414">
        <f t="shared" si="75"/>
        <v>3</v>
      </c>
      <c r="BG79" s="515">
        <v>4</v>
      </c>
      <c r="BH79" s="550" t="s">
        <v>299</v>
      </c>
      <c r="BI79" s="412">
        <f t="shared" si="76"/>
        <v>1</v>
      </c>
      <c r="BJ79" s="409">
        <f t="shared" si="77"/>
        <v>280</v>
      </c>
      <c r="BK79" s="414">
        <f t="shared" si="78"/>
        <v>0</v>
      </c>
      <c r="BL79" s="571">
        <v>1</v>
      </c>
      <c r="BM79" s="409">
        <f t="shared" si="79"/>
        <v>280</v>
      </c>
      <c r="BN79" s="515">
        <v>3</v>
      </c>
      <c r="BO79" s="412">
        <f t="shared" si="80"/>
        <v>1</v>
      </c>
      <c r="BP79" s="414">
        <f t="shared" si="81"/>
        <v>0.39999999999999991</v>
      </c>
      <c r="BQ79" s="557">
        <v>1</v>
      </c>
      <c r="BR79" s="589"/>
      <c r="BS79" s="594">
        <v>42048</v>
      </c>
      <c r="BT79" s="415">
        <f t="shared" si="82"/>
        <v>42413</v>
      </c>
      <c r="BU79" s="515">
        <v>102</v>
      </c>
      <c r="BV79" s="515">
        <v>3</v>
      </c>
      <c r="BW79" s="416">
        <f t="shared" si="83"/>
        <v>0</v>
      </c>
      <c r="BX79" s="417">
        <f t="shared" si="84"/>
        <v>1</v>
      </c>
      <c r="BY79" s="409">
        <f t="shared" si="85"/>
        <v>280</v>
      </c>
      <c r="BZ79" s="446">
        <f t="shared" si="86"/>
        <v>0</v>
      </c>
      <c r="CA79" s="542"/>
      <c r="CB79" s="557">
        <v>1</v>
      </c>
      <c r="CC79" s="451">
        <f t="shared" si="87"/>
        <v>280</v>
      </c>
      <c r="CD79" s="542">
        <v>2</v>
      </c>
      <c r="CE79" s="418" t="str">
        <f t="shared" si="88"/>
        <v>Excellent coverage</v>
      </c>
      <c r="CF79" s="550">
        <v>0</v>
      </c>
      <c r="CG79" s="551" t="s">
        <v>65</v>
      </c>
      <c r="CH79" s="602"/>
    </row>
    <row r="80" spans="2:86" s="40" customFormat="1" ht="30.75" customHeight="1" x14ac:dyDescent="0.2">
      <c r="B80" s="512" t="s">
        <v>158</v>
      </c>
      <c r="C80" s="513" t="s">
        <v>622</v>
      </c>
      <c r="D80" s="514" t="s">
        <v>265</v>
      </c>
      <c r="E80" s="513" t="s">
        <v>171</v>
      </c>
      <c r="F80" s="514">
        <v>97.438271</v>
      </c>
      <c r="G80" s="514">
        <v>25.351655000000001</v>
      </c>
      <c r="H80" s="514" t="s">
        <v>467</v>
      </c>
      <c r="I80" s="514" t="s">
        <v>218</v>
      </c>
      <c r="J80" s="515">
        <v>67</v>
      </c>
      <c r="K80" s="515">
        <v>315</v>
      </c>
      <c r="L80" s="515">
        <v>151</v>
      </c>
      <c r="M80" s="405" t="str">
        <f t="shared" si="53"/>
        <v>2. Medium</v>
      </c>
      <c r="N80" s="516" t="s">
        <v>239</v>
      </c>
      <c r="O80" s="530" t="s">
        <v>239</v>
      </c>
      <c r="P80" s="439" t="str">
        <f t="shared" si="54"/>
        <v>Covered</v>
      </c>
      <c r="Q80" s="531">
        <v>42185</v>
      </c>
      <c r="R80" s="532" t="s">
        <v>240</v>
      </c>
      <c r="S80" s="531">
        <v>42185</v>
      </c>
      <c r="T80" s="516" t="s">
        <v>260</v>
      </c>
      <c r="U80" s="436" t="str">
        <f t="shared" si="55"/>
        <v>Documented</v>
      </c>
      <c r="V80" s="542">
        <v>0</v>
      </c>
      <c r="W80" s="515">
        <v>0</v>
      </c>
      <c r="X80" s="543" t="s">
        <v>19</v>
      </c>
      <c r="Y80" s="542">
        <v>2</v>
      </c>
      <c r="Z80" s="550">
        <v>1</v>
      </c>
      <c r="AA80" s="551">
        <v>0</v>
      </c>
      <c r="AB80" s="556">
        <v>0</v>
      </c>
      <c r="AC80" s="557">
        <v>1</v>
      </c>
      <c r="AD80" s="443">
        <f t="shared" si="56"/>
        <v>1</v>
      </c>
      <c r="AE80" s="407">
        <f t="shared" si="57"/>
        <v>151</v>
      </c>
      <c r="AF80" s="408">
        <f t="shared" si="58"/>
        <v>1</v>
      </c>
      <c r="AG80" s="409">
        <f t="shared" si="59"/>
        <v>151</v>
      </c>
      <c r="AH80" s="406">
        <f t="shared" si="60"/>
        <v>1</v>
      </c>
      <c r="AI80" s="409">
        <f t="shared" si="61"/>
        <v>151</v>
      </c>
      <c r="AJ80" s="410" t="str">
        <f t="shared" si="62"/>
        <v>80-100%</v>
      </c>
      <c r="AK80" s="406">
        <f t="shared" si="63"/>
        <v>0</v>
      </c>
      <c r="AL80" s="411">
        <f t="shared" si="64"/>
        <v>0</v>
      </c>
      <c r="AM80" s="409">
        <f t="shared" si="65"/>
        <v>0</v>
      </c>
      <c r="AN80" s="409">
        <f t="shared" si="66"/>
        <v>67</v>
      </c>
      <c r="AO80" s="409">
        <f t="shared" si="67"/>
        <v>0</v>
      </c>
      <c r="AP80" s="566">
        <v>1</v>
      </c>
      <c r="AQ80" s="567">
        <f t="shared" si="89"/>
        <v>151</v>
      </c>
      <c r="AR80" s="551"/>
      <c r="AS80" s="552">
        <v>0</v>
      </c>
      <c r="AT80" s="515">
        <v>0</v>
      </c>
      <c r="AU80" s="515">
        <v>12</v>
      </c>
      <c r="AV80" s="515" t="s">
        <v>298</v>
      </c>
      <c r="AW80" s="412">
        <f t="shared" si="68"/>
        <v>1</v>
      </c>
      <c r="AX80" s="409">
        <f t="shared" si="69"/>
        <v>151</v>
      </c>
      <c r="AY80" s="412">
        <f t="shared" si="70"/>
        <v>0</v>
      </c>
      <c r="AZ80" s="409">
        <f t="shared" si="71"/>
        <v>0</v>
      </c>
      <c r="BA80" s="412">
        <f t="shared" si="72"/>
        <v>1</v>
      </c>
      <c r="BB80" s="409">
        <f t="shared" si="73"/>
        <v>151</v>
      </c>
      <c r="BC80" s="550">
        <v>0</v>
      </c>
      <c r="BD80" s="571">
        <v>1</v>
      </c>
      <c r="BE80" s="413">
        <f t="shared" si="74"/>
        <v>151</v>
      </c>
      <c r="BF80" s="414">
        <f t="shared" si="75"/>
        <v>0</v>
      </c>
      <c r="BG80" s="515">
        <v>2</v>
      </c>
      <c r="BH80" s="550" t="s">
        <v>299</v>
      </c>
      <c r="BI80" s="412">
        <f t="shared" si="76"/>
        <v>1</v>
      </c>
      <c r="BJ80" s="409">
        <f t="shared" si="77"/>
        <v>151</v>
      </c>
      <c r="BK80" s="414">
        <f t="shared" si="78"/>
        <v>1.1499999999999999</v>
      </c>
      <c r="BL80" s="571">
        <v>1</v>
      </c>
      <c r="BM80" s="409">
        <f t="shared" si="79"/>
        <v>151</v>
      </c>
      <c r="BN80" s="515">
        <v>3</v>
      </c>
      <c r="BO80" s="412">
        <f t="shared" si="80"/>
        <v>1</v>
      </c>
      <c r="BP80" s="414">
        <f t="shared" si="81"/>
        <v>0.14999999999999991</v>
      </c>
      <c r="BQ80" s="557">
        <v>1</v>
      </c>
      <c r="BR80" s="589" t="s">
        <v>829</v>
      </c>
      <c r="BS80" s="594">
        <v>42053</v>
      </c>
      <c r="BT80" s="415">
        <f t="shared" si="82"/>
        <v>42418</v>
      </c>
      <c r="BU80" s="515">
        <v>67</v>
      </c>
      <c r="BV80" s="515">
        <v>3</v>
      </c>
      <c r="BW80" s="416">
        <f t="shared" si="83"/>
        <v>0</v>
      </c>
      <c r="BX80" s="417">
        <f t="shared" si="84"/>
        <v>1</v>
      </c>
      <c r="BY80" s="409">
        <f t="shared" si="85"/>
        <v>151</v>
      </c>
      <c r="BZ80" s="446">
        <f t="shared" si="86"/>
        <v>0</v>
      </c>
      <c r="CA80" s="542"/>
      <c r="CB80" s="557">
        <v>0.8</v>
      </c>
      <c r="CC80" s="451">
        <f t="shared" si="87"/>
        <v>120.80000000000001</v>
      </c>
      <c r="CD80" s="542">
        <v>1</v>
      </c>
      <c r="CE80" s="418" t="str">
        <f t="shared" si="88"/>
        <v>Excellent coverage</v>
      </c>
      <c r="CF80" s="550">
        <v>0</v>
      </c>
      <c r="CG80" s="551" t="s">
        <v>301</v>
      </c>
      <c r="CH80" s="602"/>
    </row>
    <row r="81" spans="2:86" s="40" customFormat="1" ht="30.75" customHeight="1" x14ac:dyDescent="0.2">
      <c r="B81" s="512" t="s">
        <v>158</v>
      </c>
      <c r="C81" s="513" t="s">
        <v>623</v>
      </c>
      <c r="D81" s="514" t="s">
        <v>265</v>
      </c>
      <c r="E81" s="513" t="s">
        <v>172</v>
      </c>
      <c r="F81" s="514">
        <v>97.437568999999996</v>
      </c>
      <c r="G81" s="514">
        <v>25.346004000000001</v>
      </c>
      <c r="H81" s="514" t="s">
        <v>467</v>
      </c>
      <c r="I81" s="514" t="s">
        <v>218</v>
      </c>
      <c r="J81" s="515">
        <v>31</v>
      </c>
      <c r="K81" s="515">
        <v>169</v>
      </c>
      <c r="L81" s="515">
        <v>169</v>
      </c>
      <c r="M81" s="405" t="str">
        <f t="shared" si="53"/>
        <v>1. Small</v>
      </c>
      <c r="N81" s="516" t="s">
        <v>284</v>
      </c>
      <c r="O81" s="530" t="s">
        <v>284</v>
      </c>
      <c r="P81" s="439" t="str">
        <f t="shared" si="54"/>
        <v>Covered</v>
      </c>
      <c r="Q81" s="531">
        <v>42155</v>
      </c>
      <c r="R81" s="532"/>
      <c r="S81" s="531"/>
      <c r="T81" s="516" t="s">
        <v>260</v>
      </c>
      <c r="U81" s="436" t="str">
        <f t="shared" si="55"/>
        <v>Documented</v>
      </c>
      <c r="V81" s="542">
        <v>0</v>
      </c>
      <c r="W81" s="515">
        <v>15210</v>
      </c>
      <c r="X81" s="543" t="s">
        <v>18</v>
      </c>
      <c r="Y81" s="542">
        <v>2</v>
      </c>
      <c r="Z81" s="550">
        <v>0</v>
      </c>
      <c r="AA81" s="551">
        <v>3000</v>
      </c>
      <c r="AB81" s="556">
        <v>0</v>
      </c>
      <c r="AC81" s="557">
        <v>0</v>
      </c>
      <c r="AD81" s="443">
        <f t="shared" si="56"/>
        <v>1</v>
      </c>
      <c r="AE81" s="407">
        <f t="shared" si="57"/>
        <v>169</v>
      </c>
      <c r="AF81" s="408">
        <f t="shared" si="58"/>
        <v>1</v>
      </c>
      <c r="AG81" s="409">
        <f t="shared" si="59"/>
        <v>169</v>
      </c>
      <c r="AH81" s="406">
        <f t="shared" si="60"/>
        <v>1</v>
      </c>
      <c r="AI81" s="409">
        <f t="shared" si="61"/>
        <v>169</v>
      </c>
      <c r="AJ81" s="410" t="str">
        <f t="shared" si="62"/>
        <v>80-100%</v>
      </c>
      <c r="AK81" s="406">
        <f t="shared" si="63"/>
        <v>0</v>
      </c>
      <c r="AL81" s="411">
        <f t="shared" si="64"/>
        <v>0</v>
      </c>
      <c r="AM81" s="409">
        <f t="shared" si="65"/>
        <v>0</v>
      </c>
      <c r="AN81" s="409">
        <f t="shared" si="66"/>
        <v>0</v>
      </c>
      <c r="AO81" s="409">
        <f t="shared" si="67"/>
        <v>0</v>
      </c>
      <c r="AP81" s="566">
        <v>1</v>
      </c>
      <c r="AQ81" s="567">
        <f t="shared" si="89"/>
        <v>169</v>
      </c>
      <c r="AR81" s="551"/>
      <c r="AS81" s="552">
        <v>0</v>
      </c>
      <c r="AT81" s="515">
        <v>0</v>
      </c>
      <c r="AU81" s="515">
        <v>7</v>
      </c>
      <c r="AV81" s="515" t="s">
        <v>298</v>
      </c>
      <c r="AW81" s="412">
        <f t="shared" si="68"/>
        <v>0.82840236686390534</v>
      </c>
      <c r="AX81" s="409">
        <f t="shared" si="69"/>
        <v>140</v>
      </c>
      <c r="AY81" s="412">
        <f t="shared" si="70"/>
        <v>0</v>
      </c>
      <c r="AZ81" s="409">
        <f t="shared" si="71"/>
        <v>0</v>
      </c>
      <c r="BA81" s="412">
        <f t="shared" si="72"/>
        <v>0.82840236686390534</v>
      </c>
      <c r="BB81" s="409">
        <f t="shared" si="73"/>
        <v>140</v>
      </c>
      <c r="BC81" s="550">
        <v>0</v>
      </c>
      <c r="BD81" s="571">
        <v>0.83</v>
      </c>
      <c r="BE81" s="413">
        <f t="shared" si="74"/>
        <v>140.26999999999998</v>
      </c>
      <c r="BF81" s="414">
        <f t="shared" si="75"/>
        <v>1.4499999999999993</v>
      </c>
      <c r="BG81" s="515">
        <v>4</v>
      </c>
      <c r="BH81" s="550" t="s">
        <v>299</v>
      </c>
      <c r="BI81" s="412">
        <f t="shared" si="76"/>
        <v>1</v>
      </c>
      <c r="BJ81" s="409">
        <f t="shared" si="77"/>
        <v>169</v>
      </c>
      <c r="BK81" s="414">
        <f t="shared" si="78"/>
        <v>0</v>
      </c>
      <c r="BL81" s="571">
        <v>1</v>
      </c>
      <c r="BM81" s="409">
        <f t="shared" si="79"/>
        <v>169</v>
      </c>
      <c r="BN81" s="515">
        <v>3</v>
      </c>
      <c r="BO81" s="412">
        <f t="shared" si="80"/>
        <v>1</v>
      </c>
      <c r="BP81" s="414">
        <f t="shared" si="81"/>
        <v>0</v>
      </c>
      <c r="BQ81" s="557">
        <v>1</v>
      </c>
      <c r="BR81" s="589"/>
      <c r="BS81" s="594">
        <v>42048</v>
      </c>
      <c r="BT81" s="415">
        <f t="shared" si="82"/>
        <v>42413</v>
      </c>
      <c r="BU81" s="515">
        <v>31</v>
      </c>
      <c r="BV81" s="515">
        <v>3</v>
      </c>
      <c r="BW81" s="416">
        <f t="shared" si="83"/>
        <v>0</v>
      </c>
      <c r="BX81" s="417">
        <f t="shared" si="84"/>
        <v>1</v>
      </c>
      <c r="BY81" s="409">
        <f t="shared" si="85"/>
        <v>169</v>
      </c>
      <c r="BZ81" s="446">
        <f t="shared" si="86"/>
        <v>0</v>
      </c>
      <c r="CA81" s="542"/>
      <c r="CB81" s="557">
        <v>1</v>
      </c>
      <c r="CC81" s="451">
        <f t="shared" si="87"/>
        <v>169</v>
      </c>
      <c r="CD81" s="542">
        <v>2</v>
      </c>
      <c r="CE81" s="418" t="str">
        <f t="shared" si="88"/>
        <v>Excellent coverage</v>
      </c>
      <c r="CF81" s="550">
        <v>0</v>
      </c>
      <c r="CG81" s="551" t="s">
        <v>65</v>
      </c>
      <c r="CH81" s="602"/>
    </row>
    <row r="82" spans="2:86" s="40" customFormat="1" ht="30.75" customHeight="1" x14ac:dyDescent="0.2">
      <c r="B82" s="512" t="s">
        <v>158</v>
      </c>
      <c r="C82" s="513" t="s">
        <v>624</v>
      </c>
      <c r="D82" s="514" t="s">
        <v>265</v>
      </c>
      <c r="E82" s="513" t="s">
        <v>173</v>
      </c>
      <c r="F82" s="514">
        <v>97.432495000000003</v>
      </c>
      <c r="G82" s="514">
        <v>25.350809000000002</v>
      </c>
      <c r="H82" s="514" t="s">
        <v>467</v>
      </c>
      <c r="I82" s="514" t="s">
        <v>218</v>
      </c>
      <c r="J82" s="515">
        <v>91</v>
      </c>
      <c r="K82" s="515">
        <v>467</v>
      </c>
      <c r="L82" s="515">
        <v>467</v>
      </c>
      <c r="M82" s="405" t="str">
        <f t="shared" si="53"/>
        <v>2. Medium</v>
      </c>
      <c r="N82" s="516" t="s">
        <v>284</v>
      </c>
      <c r="O82" s="530" t="s">
        <v>284</v>
      </c>
      <c r="P82" s="439" t="str">
        <f t="shared" si="54"/>
        <v>Covered</v>
      </c>
      <c r="Q82" s="531">
        <v>42155</v>
      </c>
      <c r="R82" s="532"/>
      <c r="S82" s="531"/>
      <c r="T82" s="516" t="s">
        <v>260</v>
      </c>
      <c r="U82" s="436" t="str">
        <f t="shared" si="55"/>
        <v>Documented</v>
      </c>
      <c r="V82" s="542">
        <v>0</v>
      </c>
      <c r="W82" s="515">
        <v>42030</v>
      </c>
      <c r="X82" s="543" t="s">
        <v>18</v>
      </c>
      <c r="Y82" s="542">
        <v>4</v>
      </c>
      <c r="Z82" s="550">
        <v>0</v>
      </c>
      <c r="AA82" s="551">
        <v>3600</v>
      </c>
      <c r="AB82" s="556">
        <v>0</v>
      </c>
      <c r="AC82" s="557">
        <v>0</v>
      </c>
      <c r="AD82" s="443">
        <f t="shared" si="56"/>
        <v>1</v>
      </c>
      <c r="AE82" s="407">
        <f t="shared" si="57"/>
        <v>467</v>
      </c>
      <c r="AF82" s="408">
        <f t="shared" si="58"/>
        <v>1</v>
      </c>
      <c r="AG82" s="409">
        <f t="shared" si="59"/>
        <v>467</v>
      </c>
      <c r="AH82" s="406">
        <f t="shared" si="60"/>
        <v>1</v>
      </c>
      <c r="AI82" s="409">
        <f t="shared" si="61"/>
        <v>467</v>
      </c>
      <c r="AJ82" s="410" t="str">
        <f t="shared" si="62"/>
        <v>80-100%</v>
      </c>
      <c r="AK82" s="406">
        <f t="shared" si="63"/>
        <v>0</v>
      </c>
      <c r="AL82" s="411">
        <f t="shared" si="64"/>
        <v>0</v>
      </c>
      <c r="AM82" s="409">
        <f t="shared" si="65"/>
        <v>0</v>
      </c>
      <c r="AN82" s="409">
        <f t="shared" si="66"/>
        <v>0</v>
      </c>
      <c r="AO82" s="409">
        <f t="shared" si="67"/>
        <v>0</v>
      </c>
      <c r="AP82" s="566">
        <v>1</v>
      </c>
      <c r="AQ82" s="567">
        <f t="shared" si="89"/>
        <v>467</v>
      </c>
      <c r="AR82" s="551"/>
      <c r="AS82" s="552">
        <v>6</v>
      </c>
      <c r="AT82" s="515">
        <v>8</v>
      </c>
      <c r="AU82" s="515">
        <v>19</v>
      </c>
      <c r="AV82" s="515" t="s">
        <v>298</v>
      </c>
      <c r="AW82" s="412">
        <f t="shared" si="68"/>
        <v>1</v>
      </c>
      <c r="AX82" s="409">
        <f t="shared" si="69"/>
        <v>467</v>
      </c>
      <c r="AY82" s="412">
        <f t="shared" si="70"/>
        <v>0.1862955032119914</v>
      </c>
      <c r="AZ82" s="409">
        <f t="shared" si="71"/>
        <v>86.999999999999986</v>
      </c>
      <c r="BA82" s="412">
        <f t="shared" si="72"/>
        <v>0.8137044967880086</v>
      </c>
      <c r="BB82" s="409">
        <f t="shared" si="73"/>
        <v>380</v>
      </c>
      <c r="BC82" s="550">
        <v>0</v>
      </c>
      <c r="BD82" s="571">
        <v>1</v>
      </c>
      <c r="BE82" s="413">
        <f t="shared" si="74"/>
        <v>467</v>
      </c>
      <c r="BF82" s="414">
        <f t="shared" si="75"/>
        <v>4.3500000000000014</v>
      </c>
      <c r="BG82" s="515">
        <v>5</v>
      </c>
      <c r="BH82" s="550" t="s">
        <v>299</v>
      </c>
      <c r="BI82" s="412">
        <f t="shared" si="76"/>
        <v>1</v>
      </c>
      <c r="BJ82" s="409">
        <f t="shared" si="77"/>
        <v>467</v>
      </c>
      <c r="BK82" s="414">
        <f t="shared" si="78"/>
        <v>0</v>
      </c>
      <c r="BL82" s="571">
        <v>1</v>
      </c>
      <c r="BM82" s="409">
        <f t="shared" si="79"/>
        <v>467</v>
      </c>
      <c r="BN82" s="515">
        <v>6</v>
      </c>
      <c r="BO82" s="412">
        <f t="shared" si="80"/>
        <v>1</v>
      </c>
      <c r="BP82" s="414">
        <f t="shared" si="81"/>
        <v>0</v>
      </c>
      <c r="BQ82" s="557">
        <v>1</v>
      </c>
      <c r="BR82" s="589"/>
      <c r="BS82" s="594">
        <v>42048</v>
      </c>
      <c r="BT82" s="415">
        <f t="shared" si="82"/>
        <v>42413</v>
      </c>
      <c r="BU82" s="515">
        <v>91</v>
      </c>
      <c r="BV82" s="515">
        <v>3</v>
      </c>
      <c r="BW82" s="416">
        <f t="shared" si="83"/>
        <v>0</v>
      </c>
      <c r="BX82" s="417">
        <f t="shared" si="84"/>
        <v>1</v>
      </c>
      <c r="BY82" s="409">
        <f t="shared" si="85"/>
        <v>467</v>
      </c>
      <c r="BZ82" s="446">
        <f t="shared" si="86"/>
        <v>0</v>
      </c>
      <c r="CA82" s="542"/>
      <c r="CB82" s="557">
        <v>1</v>
      </c>
      <c r="CC82" s="451">
        <f t="shared" si="87"/>
        <v>467</v>
      </c>
      <c r="CD82" s="542">
        <v>2</v>
      </c>
      <c r="CE82" s="418" t="str">
        <f t="shared" si="88"/>
        <v>Excellent coverage</v>
      </c>
      <c r="CF82" s="550">
        <v>1</v>
      </c>
      <c r="CG82" s="551" t="s">
        <v>65</v>
      </c>
      <c r="CH82" s="602" t="s">
        <v>782</v>
      </c>
    </row>
    <row r="83" spans="2:86" s="40" customFormat="1" ht="30.75" customHeight="1" x14ac:dyDescent="0.2">
      <c r="B83" s="512" t="s">
        <v>158</v>
      </c>
      <c r="C83" s="513" t="s">
        <v>625</v>
      </c>
      <c r="D83" s="514" t="s">
        <v>268</v>
      </c>
      <c r="E83" s="513" t="s">
        <v>174</v>
      </c>
      <c r="F83" s="514">
        <v>98.025662999999994</v>
      </c>
      <c r="G83" s="514">
        <v>25.418084</v>
      </c>
      <c r="H83" s="514" t="s">
        <v>467</v>
      </c>
      <c r="I83" s="514" t="s">
        <v>226</v>
      </c>
      <c r="J83" s="515">
        <v>198</v>
      </c>
      <c r="K83" s="515">
        <v>872</v>
      </c>
      <c r="L83" s="515">
        <v>872</v>
      </c>
      <c r="M83" s="405" t="str">
        <f t="shared" si="53"/>
        <v>2. Medium</v>
      </c>
      <c r="N83" s="516" t="s">
        <v>239</v>
      </c>
      <c r="O83" s="530" t="s">
        <v>239</v>
      </c>
      <c r="P83" s="439" t="str">
        <f t="shared" si="54"/>
        <v>Covered</v>
      </c>
      <c r="Q83" s="531">
        <v>42185</v>
      </c>
      <c r="R83" s="532" t="s">
        <v>240</v>
      </c>
      <c r="S83" s="531">
        <v>42185</v>
      </c>
      <c r="T83" s="516" t="s">
        <v>260</v>
      </c>
      <c r="U83" s="436" t="str">
        <f t="shared" si="55"/>
        <v>Documented</v>
      </c>
      <c r="V83" s="542">
        <v>0</v>
      </c>
      <c r="W83" s="515">
        <v>0</v>
      </c>
      <c r="X83" s="543" t="s">
        <v>19</v>
      </c>
      <c r="Y83" s="542">
        <v>0</v>
      </c>
      <c r="Z83" s="550">
        <v>0</v>
      </c>
      <c r="AA83" s="551">
        <v>18000</v>
      </c>
      <c r="AB83" s="556">
        <v>0</v>
      </c>
      <c r="AC83" s="557">
        <v>0</v>
      </c>
      <c r="AD83" s="443">
        <f t="shared" si="56"/>
        <v>1</v>
      </c>
      <c r="AE83" s="407">
        <f t="shared" si="57"/>
        <v>872</v>
      </c>
      <c r="AF83" s="408">
        <f t="shared" si="58"/>
        <v>1</v>
      </c>
      <c r="AG83" s="409">
        <f t="shared" si="59"/>
        <v>872</v>
      </c>
      <c r="AH83" s="406">
        <f t="shared" si="60"/>
        <v>1</v>
      </c>
      <c r="AI83" s="409">
        <f t="shared" si="61"/>
        <v>872</v>
      </c>
      <c r="AJ83" s="410" t="str">
        <f t="shared" si="62"/>
        <v>80-100%</v>
      </c>
      <c r="AK83" s="406">
        <f t="shared" si="63"/>
        <v>0</v>
      </c>
      <c r="AL83" s="411">
        <f t="shared" si="64"/>
        <v>0</v>
      </c>
      <c r="AM83" s="409">
        <f t="shared" si="65"/>
        <v>2.1800000000000002</v>
      </c>
      <c r="AN83" s="409">
        <f t="shared" si="66"/>
        <v>0</v>
      </c>
      <c r="AO83" s="409">
        <f t="shared" si="67"/>
        <v>0</v>
      </c>
      <c r="AP83" s="566">
        <v>1</v>
      </c>
      <c r="AQ83" s="567">
        <f t="shared" si="89"/>
        <v>872</v>
      </c>
      <c r="AR83" s="551"/>
      <c r="AS83" s="552">
        <v>0</v>
      </c>
      <c r="AT83" s="515">
        <v>44</v>
      </c>
      <c r="AU83" s="515">
        <v>0</v>
      </c>
      <c r="AV83" s="515" t="s">
        <v>298</v>
      </c>
      <c r="AW83" s="412">
        <f t="shared" si="68"/>
        <v>1</v>
      </c>
      <c r="AX83" s="409">
        <f t="shared" si="69"/>
        <v>872</v>
      </c>
      <c r="AY83" s="412">
        <f t="shared" si="70"/>
        <v>1</v>
      </c>
      <c r="AZ83" s="409">
        <f t="shared" si="71"/>
        <v>872</v>
      </c>
      <c r="BA83" s="412">
        <f t="shared" si="72"/>
        <v>0</v>
      </c>
      <c r="BB83" s="409">
        <f t="shared" si="73"/>
        <v>0</v>
      </c>
      <c r="BC83" s="550">
        <v>0</v>
      </c>
      <c r="BD83" s="571">
        <v>1</v>
      </c>
      <c r="BE83" s="413">
        <f t="shared" si="74"/>
        <v>872</v>
      </c>
      <c r="BF83" s="414">
        <f t="shared" si="75"/>
        <v>43.6</v>
      </c>
      <c r="BG83" s="515">
        <v>6</v>
      </c>
      <c r="BH83" s="550" t="s">
        <v>299</v>
      </c>
      <c r="BI83" s="412">
        <f t="shared" si="76"/>
        <v>0.68807339449541283</v>
      </c>
      <c r="BJ83" s="409">
        <f t="shared" si="77"/>
        <v>600</v>
      </c>
      <c r="BK83" s="414">
        <f t="shared" si="78"/>
        <v>2.7200000000000006</v>
      </c>
      <c r="BL83" s="571">
        <v>0.69</v>
      </c>
      <c r="BM83" s="409">
        <f t="shared" si="79"/>
        <v>601.67999999999995</v>
      </c>
      <c r="BN83" s="515">
        <v>24</v>
      </c>
      <c r="BO83" s="412">
        <f t="shared" si="80"/>
        <v>1</v>
      </c>
      <c r="BP83" s="414">
        <f t="shared" si="81"/>
        <v>0</v>
      </c>
      <c r="BQ83" s="557">
        <v>1</v>
      </c>
      <c r="BR83" s="589" t="s">
        <v>853</v>
      </c>
      <c r="BS83" s="594">
        <v>42053</v>
      </c>
      <c r="BT83" s="415">
        <f t="shared" si="82"/>
        <v>42418</v>
      </c>
      <c r="BU83" s="515">
        <v>198</v>
      </c>
      <c r="BV83" s="515">
        <v>3</v>
      </c>
      <c r="BW83" s="416">
        <f t="shared" si="83"/>
        <v>0</v>
      </c>
      <c r="BX83" s="417">
        <f t="shared" si="84"/>
        <v>1</v>
      </c>
      <c r="BY83" s="409">
        <f t="shared" si="85"/>
        <v>872</v>
      </c>
      <c r="BZ83" s="446">
        <f t="shared" si="86"/>
        <v>0</v>
      </c>
      <c r="CA83" s="542"/>
      <c r="CB83" s="557">
        <v>0.8</v>
      </c>
      <c r="CC83" s="451">
        <f t="shared" si="87"/>
        <v>697.6</v>
      </c>
      <c r="CD83" s="542">
        <v>3</v>
      </c>
      <c r="CE83" s="418" t="str">
        <f t="shared" si="88"/>
        <v>Excellent coverage</v>
      </c>
      <c r="CF83" s="550">
        <v>0</v>
      </c>
      <c r="CG83" s="551" t="s">
        <v>301</v>
      </c>
      <c r="CH83" s="602"/>
    </row>
    <row r="84" spans="2:86" s="40" customFormat="1" ht="30.75" customHeight="1" x14ac:dyDescent="0.25">
      <c r="B84" s="512" t="s">
        <v>158</v>
      </c>
      <c r="C84" s="513" t="s">
        <v>626</v>
      </c>
      <c r="D84" s="514" t="s">
        <v>265</v>
      </c>
      <c r="E84" s="513" t="s">
        <v>175</v>
      </c>
      <c r="F84" s="514">
        <v>97.427959999999999</v>
      </c>
      <c r="G84" s="514">
        <v>25.33351</v>
      </c>
      <c r="H84" s="514" t="s">
        <v>467</v>
      </c>
      <c r="I84" s="514" t="s">
        <v>218</v>
      </c>
      <c r="J84" s="515">
        <v>67</v>
      </c>
      <c r="K84" s="515">
        <v>307</v>
      </c>
      <c r="L84" s="515">
        <v>307</v>
      </c>
      <c r="M84" s="405" t="str">
        <f t="shared" si="53"/>
        <v>2. Medium</v>
      </c>
      <c r="N84" s="516" t="s">
        <v>284</v>
      </c>
      <c r="O84" s="530" t="s">
        <v>284</v>
      </c>
      <c r="P84" s="439" t="str">
        <f t="shared" si="54"/>
        <v>Covered</v>
      </c>
      <c r="Q84" s="531">
        <v>42155</v>
      </c>
      <c r="R84" s="532"/>
      <c r="S84" s="531"/>
      <c r="T84" s="516" t="s">
        <v>260</v>
      </c>
      <c r="U84" s="436" t="str">
        <f t="shared" si="55"/>
        <v>Documented</v>
      </c>
      <c r="V84" s="542">
        <v>0</v>
      </c>
      <c r="W84" s="515">
        <v>27630</v>
      </c>
      <c r="X84" s="543" t="s">
        <v>18</v>
      </c>
      <c r="Y84" s="542">
        <v>3</v>
      </c>
      <c r="Z84" s="550">
        <v>0</v>
      </c>
      <c r="AA84" s="551">
        <v>0</v>
      </c>
      <c r="AB84" s="556">
        <v>0</v>
      </c>
      <c r="AC84" s="557">
        <v>0</v>
      </c>
      <c r="AD84" s="443">
        <f t="shared" si="56"/>
        <v>1</v>
      </c>
      <c r="AE84" s="407">
        <f t="shared" si="57"/>
        <v>307</v>
      </c>
      <c r="AF84" s="408">
        <f t="shared" si="58"/>
        <v>1</v>
      </c>
      <c r="AG84" s="409">
        <f t="shared" si="59"/>
        <v>307</v>
      </c>
      <c r="AH84" s="406">
        <f t="shared" si="60"/>
        <v>1</v>
      </c>
      <c r="AI84" s="409">
        <f t="shared" si="61"/>
        <v>307</v>
      </c>
      <c r="AJ84" s="410" t="str">
        <f t="shared" si="62"/>
        <v>80-100%</v>
      </c>
      <c r="AK84" s="406">
        <f t="shared" si="63"/>
        <v>0</v>
      </c>
      <c r="AL84" s="411">
        <f t="shared" si="64"/>
        <v>0</v>
      </c>
      <c r="AM84" s="409">
        <f t="shared" si="65"/>
        <v>0</v>
      </c>
      <c r="AN84" s="409">
        <f t="shared" si="66"/>
        <v>0</v>
      </c>
      <c r="AO84" s="409">
        <f t="shared" si="67"/>
        <v>0</v>
      </c>
      <c r="AP84" s="566">
        <v>1</v>
      </c>
      <c r="AQ84" s="567">
        <f t="shared" si="89"/>
        <v>307</v>
      </c>
      <c r="AR84" s="551"/>
      <c r="AS84" s="552">
        <v>0</v>
      </c>
      <c r="AT84" s="515">
        <v>0</v>
      </c>
      <c r="AU84" s="515">
        <v>13</v>
      </c>
      <c r="AV84" s="515" t="s">
        <v>298</v>
      </c>
      <c r="AW84" s="412">
        <f t="shared" si="68"/>
        <v>0.84690553745928343</v>
      </c>
      <c r="AX84" s="409">
        <f t="shared" si="69"/>
        <v>260</v>
      </c>
      <c r="AY84" s="412">
        <f t="shared" si="70"/>
        <v>0</v>
      </c>
      <c r="AZ84" s="409">
        <f t="shared" si="71"/>
        <v>0</v>
      </c>
      <c r="BA84" s="412">
        <f t="shared" si="72"/>
        <v>0.84690553745928343</v>
      </c>
      <c r="BB84" s="409">
        <f t="shared" si="73"/>
        <v>260</v>
      </c>
      <c r="BC84" s="550">
        <v>0</v>
      </c>
      <c r="BD84" s="571">
        <v>0.85</v>
      </c>
      <c r="BE84" s="413">
        <f t="shared" si="74"/>
        <v>260.95</v>
      </c>
      <c r="BF84" s="414">
        <f t="shared" si="75"/>
        <v>2.3499999999999996</v>
      </c>
      <c r="BG84" s="515">
        <v>4</v>
      </c>
      <c r="BH84" s="550" t="s">
        <v>299</v>
      </c>
      <c r="BI84" s="412">
        <f t="shared" si="76"/>
        <v>1</v>
      </c>
      <c r="BJ84" s="409">
        <f t="shared" si="77"/>
        <v>307</v>
      </c>
      <c r="BK84" s="414">
        <f t="shared" si="78"/>
        <v>0</v>
      </c>
      <c r="BL84" s="571">
        <v>1</v>
      </c>
      <c r="BM84" s="409">
        <f t="shared" si="79"/>
        <v>307</v>
      </c>
      <c r="BN84" s="515">
        <v>9</v>
      </c>
      <c r="BO84" s="412">
        <f t="shared" si="80"/>
        <v>1</v>
      </c>
      <c r="BP84" s="414">
        <f t="shared" si="81"/>
        <v>0</v>
      </c>
      <c r="BQ84" s="557">
        <v>1</v>
      </c>
      <c r="BR84" s="589"/>
      <c r="BS84" s="594">
        <v>42048</v>
      </c>
      <c r="BT84" s="415">
        <f t="shared" si="82"/>
        <v>42413</v>
      </c>
      <c r="BU84" s="515">
        <v>67</v>
      </c>
      <c r="BV84" s="515">
        <v>3</v>
      </c>
      <c r="BW84" s="416">
        <f t="shared" si="83"/>
        <v>0</v>
      </c>
      <c r="BX84" s="417">
        <f t="shared" si="84"/>
        <v>1</v>
      </c>
      <c r="BY84" s="409">
        <f t="shared" si="85"/>
        <v>307</v>
      </c>
      <c r="BZ84" s="446">
        <f t="shared" si="86"/>
        <v>0</v>
      </c>
      <c r="CA84" s="542"/>
      <c r="CB84" s="557">
        <v>1</v>
      </c>
      <c r="CC84" s="451">
        <f t="shared" si="87"/>
        <v>307</v>
      </c>
      <c r="CD84" s="542">
        <v>2</v>
      </c>
      <c r="CE84" s="418" t="str">
        <f t="shared" si="88"/>
        <v>Excellent coverage</v>
      </c>
      <c r="CF84" s="550">
        <v>0</v>
      </c>
      <c r="CG84" s="551" t="s">
        <v>65</v>
      </c>
      <c r="CH84" s="603"/>
    </row>
    <row r="85" spans="2:86" s="40" customFormat="1" ht="30.75" customHeight="1" x14ac:dyDescent="0.2">
      <c r="B85" s="512" t="s">
        <v>158</v>
      </c>
      <c r="C85" s="513" t="s">
        <v>627</v>
      </c>
      <c r="D85" s="514" t="s">
        <v>265</v>
      </c>
      <c r="E85" s="513" t="s">
        <v>176</v>
      </c>
      <c r="F85" s="514">
        <v>97.443702000000002</v>
      </c>
      <c r="G85" s="514">
        <v>25.351241999999999</v>
      </c>
      <c r="H85" s="514" t="s">
        <v>467</v>
      </c>
      <c r="I85" s="514" t="s">
        <v>218</v>
      </c>
      <c r="J85" s="515">
        <v>85</v>
      </c>
      <c r="K85" s="515">
        <v>357</v>
      </c>
      <c r="L85" s="515">
        <v>179</v>
      </c>
      <c r="M85" s="405" t="str">
        <f t="shared" si="53"/>
        <v>2. Medium</v>
      </c>
      <c r="N85" s="516" t="s">
        <v>284</v>
      </c>
      <c r="O85" s="530" t="s">
        <v>284</v>
      </c>
      <c r="P85" s="439" t="str">
        <f t="shared" si="54"/>
        <v>Covered</v>
      </c>
      <c r="Q85" s="531">
        <v>42155</v>
      </c>
      <c r="R85" s="532"/>
      <c r="S85" s="531"/>
      <c r="T85" s="516" t="s">
        <v>260</v>
      </c>
      <c r="U85" s="436" t="str">
        <f t="shared" si="55"/>
        <v>Documented</v>
      </c>
      <c r="V85" s="542">
        <v>0</v>
      </c>
      <c r="W85" s="515">
        <v>24120</v>
      </c>
      <c r="X85" s="543" t="s">
        <v>18</v>
      </c>
      <c r="Y85" s="542">
        <v>3</v>
      </c>
      <c r="Z85" s="550">
        <v>0</v>
      </c>
      <c r="AA85" s="551">
        <v>3000</v>
      </c>
      <c r="AB85" s="556">
        <v>0</v>
      </c>
      <c r="AC85" s="557">
        <v>0</v>
      </c>
      <c r="AD85" s="443">
        <f t="shared" si="56"/>
        <v>1</v>
      </c>
      <c r="AE85" s="407">
        <f t="shared" si="57"/>
        <v>179</v>
      </c>
      <c r="AF85" s="408">
        <f t="shared" si="58"/>
        <v>1</v>
      </c>
      <c r="AG85" s="409">
        <f t="shared" si="59"/>
        <v>179</v>
      </c>
      <c r="AH85" s="406">
        <f t="shared" si="60"/>
        <v>1</v>
      </c>
      <c r="AI85" s="409">
        <f t="shared" si="61"/>
        <v>179</v>
      </c>
      <c r="AJ85" s="410" t="str">
        <f t="shared" si="62"/>
        <v>80-100%</v>
      </c>
      <c r="AK85" s="406">
        <f t="shared" si="63"/>
        <v>0</v>
      </c>
      <c r="AL85" s="411">
        <f t="shared" si="64"/>
        <v>0</v>
      </c>
      <c r="AM85" s="409">
        <f t="shared" si="65"/>
        <v>0</v>
      </c>
      <c r="AN85" s="409">
        <f t="shared" si="66"/>
        <v>0</v>
      </c>
      <c r="AO85" s="409">
        <f t="shared" si="67"/>
        <v>0</v>
      </c>
      <c r="AP85" s="566">
        <v>1</v>
      </c>
      <c r="AQ85" s="567">
        <f t="shared" si="89"/>
        <v>179</v>
      </c>
      <c r="AR85" s="551"/>
      <c r="AS85" s="552">
        <v>2</v>
      </c>
      <c r="AT85" s="515">
        <v>0</v>
      </c>
      <c r="AU85" s="515">
        <v>6</v>
      </c>
      <c r="AV85" s="515" t="s">
        <v>298</v>
      </c>
      <c r="AW85" s="412">
        <f t="shared" si="68"/>
        <v>0.67039106145251393</v>
      </c>
      <c r="AX85" s="409">
        <f t="shared" si="69"/>
        <v>119.99999999999999</v>
      </c>
      <c r="AY85" s="412">
        <f t="shared" si="70"/>
        <v>0</v>
      </c>
      <c r="AZ85" s="409">
        <f t="shared" si="71"/>
        <v>0</v>
      </c>
      <c r="BA85" s="412">
        <f t="shared" si="72"/>
        <v>0.67039106145251393</v>
      </c>
      <c r="BB85" s="409">
        <f t="shared" si="73"/>
        <v>119.99999999999999</v>
      </c>
      <c r="BC85" s="550">
        <v>0</v>
      </c>
      <c r="BD85" s="571">
        <v>0.67</v>
      </c>
      <c r="BE85" s="413">
        <f t="shared" si="74"/>
        <v>119.93</v>
      </c>
      <c r="BF85" s="414">
        <f t="shared" si="75"/>
        <v>2.9499999999999993</v>
      </c>
      <c r="BG85" s="515">
        <v>3</v>
      </c>
      <c r="BH85" s="550" t="s">
        <v>299</v>
      </c>
      <c r="BI85" s="412">
        <f t="shared" si="76"/>
        <v>1</v>
      </c>
      <c r="BJ85" s="409">
        <f t="shared" si="77"/>
        <v>179</v>
      </c>
      <c r="BK85" s="414">
        <f t="shared" si="78"/>
        <v>0.56999999999999984</v>
      </c>
      <c r="BL85" s="571">
        <v>1</v>
      </c>
      <c r="BM85" s="409">
        <f t="shared" si="79"/>
        <v>179</v>
      </c>
      <c r="BN85" s="515">
        <v>6</v>
      </c>
      <c r="BO85" s="412">
        <f t="shared" si="80"/>
        <v>1</v>
      </c>
      <c r="BP85" s="414">
        <f t="shared" si="81"/>
        <v>0</v>
      </c>
      <c r="BQ85" s="557">
        <v>1</v>
      </c>
      <c r="BR85" s="589"/>
      <c r="BS85" s="594">
        <v>42048</v>
      </c>
      <c r="BT85" s="415">
        <f t="shared" si="82"/>
        <v>42413</v>
      </c>
      <c r="BU85" s="515">
        <v>91</v>
      </c>
      <c r="BV85" s="515">
        <v>3</v>
      </c>
      <c r="BW85" s="416">
        <f t="shared" si="83"/>
        <v>0</v>
      </c>
      <c r="BX85" s="417">
        <f t="shared" si="84"/>
        <v>1</v>
      </c>
      <c r="BY85" s="409">
        <f t="shared" si="85"/>
        <v>179</v>
      </c>
      <c r="BZ85" s="446">
        <f t="shared" si="86"/>
        <v>0</v>
      </c>
      <c r="CA85" s="542"/>
      <c r="CB85" s="557">
        <v>1</v>
      </c>
      <c r="CC85" s="451">
        <f t="shared" si="87"/>
        <v>179</v>
      </c>
      <c r="CD85" s="542">
        <v>2</v>
      </c>
      <c r="CE85" s="418" t="str">
        <f t="shared" si="88"/>
        <v>Excellent coverage</v>
      </c>
      <c r="CF85" s="550">
        <v>0</v>
      </c>
      <c r="CG85" s="551" t="s">
        <v>65</v>
      </c>
      <c r="CH85" s="602"/>
    </row>
    <row r="86" spans="2:86" s="40" customFormat="1" ht="30.75" customHeight="1" x14ac:dyDescent="0.2">
      <c r="B86" s="512" t="s">
        <v>158</v>
      </c>
      <c r="C86" s="513" t="s">
        <v>628</v>
      </c>
      <c r="D86" s="514" t="s">
        <v>265</v>
      </c>
      <c r="E86" s="513" t="s">
        <v>177</v>
      </c>
      <c r="F86" s="514">
        <v>97.438259000000002</v>
      </c>
      <c r="G86" s="514">
        <v>25.355841999999999</v>
      </c>
      <c r="H86" s="514" t="s">
        <v>467</v>
      </c>
      <c r="I86" s="514" t="s">
        <v>218</v>
      </c>
      <c r="J86" s="515">
        <v>33</v>
      </c>
      <c r="K86" s="515">
        <v>85</v>
      </c>
      <c r="L86" s="515">
        <v>85</v>
      </c>
      <c r="M86" s="405" t="str">
        <f t="shared" si="53"/>
        <v>1. Small</v>
      </c>
      <c r="N86" s="516" t="s">
        <v>239</v>
      </c>
      <c r="O86" s="530" t="s">
        <v>239</v>
      </c>
      <c r="P86" s="439" t="str">
        <f t="shared" si="54"/>
        <v>Covered</v>
      </c>
      <c r="Q86" s="531">
        <v>42185</v>
      </c>
      <c r="R86" s="532" t="s">
        <v>240</v>
      </c>
      <c r="S86" s="531">
        <v>42185</v>
      </c>
      <c r="T86" s="516" t="s">
        <v>260</v>
      </c>
      <c r="U86" s="436" t="str">
        <f t="shared" si="55"/>
        <v>Documented</v>
      </c>
      <c r="V86" s="542">
        <v>0</v>
      </c>
      <c r="W86" s="515">
        <v>0</v>
      </c>
      <c r="X86" s="543" t="s">
        <v>19</v>
      </c>
      <c r="Y86" s="542">
        <v>2</v>
      </c>
      <c r="Z86" s="550">
        <v>0</v>
      </c>
      <c r="AA86" s="551">
        <v>6000</v>
      </c>
      <c r="AB86" s="556">
        <v>0</v>
      </c>
      <c r="AC86" s="557">
        <v>1</v>
      </c>
      <c r="AD86" s="443">
        <f t="shared" si="56"/>
        <v>1</v>
      </c>
      <c r="AE86" s="407">
        <f t="shared" si="57"/>
        <v>85</v>
      </c>
      <c r="AF86" s="408">
        <f t="shared" si="58"/>
        <v>1</v>
      </c>
      <c r="AG86" s="409">
        <f t="shared" si="59"/>
        <v>85</v>
      </c>
      <c r="AH86" s="406">
        <f t="shared" si="60"/>
        <v>1</v>
      </c>
      <c r="AI86" s="409">
        <f t="shared" si="61"/>
        <v>85</v>
      </c>
      <c r="AJ86" s="410" t="str">
        <f t="shared" si="62"/>
        <v>80-100%</v>
      </c>
      <c r="AK86" s="406">
        <f t="shared" si="63"/>
        <v>0</v>
      </c>
      <c r="AL86" s="411">
        <f t="shared" si="64"/>
        <v>0</v>
      </c>
      <c r="AM86" s="409">
        <f t="shared" si="65"/>
        <v>0</v>
      </c>
      <c r="AN86" s="409">
        <f t="shared" si="66"/>
        <v>33</v>
      </c>
      <c r="AO86" s="409">
        <f t="shared" si="67"/>
        <v>0</v>
      </c>
      <c r="AP86" s="566">
        <v>1</v>
      </c>
      <c r="AQ86" s="567">
        <f t="shared" si="89"/>
        <v>85</v>
      </c>
      <c r="AR86" s="551"/>
      <c r="AS86" s="552">
        <v>0</v>
      </c>
      <c r="AT86" s="515">
        <v>0</v>
      </c>
      <c r="AU86" s="515">
        <v>16</v>
      </c>
      <c r="AV86" s="515" t="s">
        <v>299</v>
      </c>
      <c r="AW86" s="412">
        <f t="shared" si="68"/>
        <v>1</v>
      </c>
      <c r="AX86" s="409">
        <f t="shared" si="69"/>
        <v>85</v>
      </c>
      <c r="AY86" s="412">
        <f t="shared" si="70"/>
        <v>0</v>
      </c>
      <c r="AZ86" s="409">
        <f t="shared" si="71"/>
        <v>0</v>
      </c>
      <c r="BA86" s="412">
        <f t="shared" si="72"/>
        <v>1</v>
      </c>
      <c r="BB86" s="409">
        <f t="shared" si="73"/>
        <v>85</v>
      </c>
      <c r="BC86" s="550">
        <v>0</v>
      </c>
      <c r="BD86" s="571">
        <v>1</v>
      </c>
      <c r="BE86" s="413">
        <f t="shared" si="74"/>
        <v>85</v>
      </c>
      <c r="BF86" s="414">
        <f t="shared" si="75"/>
        <v>0</v>
      </c>
      <c r="BG86" s="515">
        <v>1</v>
      </c>
      <c r="BH86" s="550" t="s">
        <v>91</v>
      </c>
      <c r="BI86" s="412">
        <f t="shared" si="76"/>
        <v>1</v>
      </c>
      <c r="BJ86" s="409">
        <f t="shared" si="77"/>
        <v>85</v>
      </c>
      <c r="BK86" s="414">
        <f t="shared" si="78"/>
        <v>0</v>
      </c>
      <c r="BL86" s="571">
        <v>1</v>
      </c>
      <c r="BM86" s="409">
        <f t="shared" si="79"/>
        <v>85</v>
      </c>
      <c r="BN86" s="515">
        <v>3</v>
      </c>
      <c r="BO86" s="412">
        <f t="shared" si="80"/>
        <v>1</v>
      </c>
      <c r="BP86" s="414">
        <f t="shared" si="81"/>
        <v>0</v>
      </c>
      <c r="BQ86" s="557">
        <v>1</v>
      </c>
      <c r="BR86" s="589"/>
      <c r="BS86" s="594">
        <v>42053</v>
      </c>
      <c r="BT86" s="415">
        <f t="shared" si="82"/>
        <v>42418</v>
      </c>
      <c r="BU86" s="515">
        <v>33</v>
      </c>
      <c r="BV86" s="515">
        <v>3</v>
      </c>
      <c r="BW86" s="416">
        <f t="shared" si="83"/>
        <v>0</v>
      </c>
      <c r="BX86" s="417">
        <f t="shared" si="84"/>
        <v>1</v>
      </c>
      <c r="BY86" s="409">
        <f t="shared" si="85"/>
        <v>85</v>
      </c>
      <c r="BZ86" s="446">
        <f t="shared" si="86"/>
        <v>0</v>
      </c>
      <c r="CA86" s="542"/>
      <c r="CB86" s="557">
        <v>0.8</v>
      </c>
      <c r="CC86" s="451">
        <f t="shared" si="87"/>
        <v>68</v>
      </c>
      <c r="CD86" s="542">
        <v>1</v>
      </c>
      <c r="CE86" s="418" t="str">
        <f t="shared" si="88"/>
        <v>Excellent coverage</v>
      </c>
      <c r="CF86" s="550">
        <v>0</v>
      </c>
      <c r="CG86" s="551" t="s">
        <v>301</v>
      </c>
      <c r="CH86" s="602"/>
    </row>
    <row r="87" spans="2:86" s="40" customFormat="1" ht="30.75" customHeight="1" x14ac:dyDescent="0.2">
      <c r="B87" s="512" t="s">
        <v>158</v>
      </c>
      <c r="C87" s="513" t="s">
        <v>629</v>
      </c>
      <c r="D87" s="514" t="s">
        <v>268</v>
      </c>
      <c r="E87" s="513" t="s">
        <v>729</v>
      </c>
      <c r="F87" s="514" t="s">
        <v>491</v>
      </c>
      <c r="G87" s="514" t="s">
        <v>491</v>
      </c>
      <c r="H87" s="514" t="s">
        <v>467</v>
      </c>
      <c r="I87" s="514" t="s">
        <v>226</v>
      </c>
      <c r="J87" s="515">
        <v>48</v>
      </c>
      <c r="K87" s="515">
        <v>218</v>
      </c>
      <c r="L87" s="515">
        <v>218</v>
      </c>
      <c r="M87" s="405" t="str">
        <f t="shared" si="53"/>
        <v>1. Small</v>
      </c>
      <c r="N87" s="516" t="s">
        <v>285</v>
      </c>
      <c r="O87" s="530" t="s">
        <v>237</v>
      </c>
      <c r="P87" s="439" t="str">
        <f t="shared" si="54"/>
        <v>Covered</v>
      </c>
      <c r="Q87" s="531" t="s">
        <v>656</v>
      </c>
      <c r="R87" s="532"/>
      <c r="S87" s="531"/>
      <c r="T87" s="516" t="s">
        <v>260</v>
      </c>
      <c r="U87" s="436" t="str">
        <f t="shared" si="55"/>
        <v>Documented</v>
      </c>
      <c r="V87" s="542">
        <v>0</v>
      </c>
      <c r="W87" s="515">
        <v>0</v>
      </c>
      <c r="X87" s="543" t="s">
        <v>19</v>
      </c>
      <c r="Y87" s="542">
        <v>0</v>
      </c>
      <c r="Z87" s="550">
        <v>0</v>
      </c>
      <c r="AA87" s="551">
        <v>30240</v>
      </c>
      <c r="AB87" s="556">
        <v>0</v>
      </c>
      <c r="AC87" s="557">
        <v>1</v>
      </c>
      <c r="AD87" s="443">
        <f t="shared" si="56"/>
        <v>1</v>
      </c>
      <c r="AE87" s="407">
        <f t="shared" si="57"/>
        <v>218</v>
      </c>
      <c r="AF87" s="408">
        <f t="shared" si="58"/>
        <v>1</v>
      </c>
      <c r="AG87" s="409">
        <f t="shared" si="59"/>
        <v>218</v>
      </c>
      <c r="AH87" s="406">
        <f t="shared" si="60"/>
        <v>1</v>
      </c>
      <c r="AI87" s="409">
        <f t="shared" si="61"/>
        <v>218</v>
      </c>
      <c r="AJ87" s="410" t="str">
        <f t="shared" si="62"/>
        <v>80-100%</v>
      </c>
      <c r="AK87" s="406">
        <f t="shared" si="63"/>
        <v>0</v>
      </c>
      <c r="AL87" s="411">
        <f t="shared" si="64"/>
        <v>0</v>
      </c>
      <c r="AM87" s="409">
        <f t="shared" si="65"/>
        <v>0.54500000000000004</v>
      </c>
      <c r="AN87" s="409">
        <f t="shared" si="66"/>
        <v>48</v>
      </c>
      <c r="AO87" s="409">
        <f t="shared" si="67"/>
        <v>0</v>
      </c>
      <c r="AP87" s="566">
        <v>1</v>
      </c>
      <c r="AQ87" s="567">
        <f t="shared" si="89"/>
        <v>218</v>
      </c>
      <c r="AR87" s="551"/>
      <c r="AS87" s="552">
        <v>0</v>
      </c>
      <c r="AT87" s="515">
        <v>0</v>
      </c>
      <c r="AU87" s="515">
        <v>12</v>
      </c>
      <c r="AV87" s="515" t="s">
        <v>91</v>
      </c>
      <c r="AW87" s="412">
        <f t="shared" si="68"/>
        <v>1</v>
      </c>
      <c r="AX87" s="409">
        <f t="shared" si="69"/>
        <v>218</v>
      </c>
      <c r="AY87" s="412">
        <f t="shared" si="70"/>
        <v>0</v>
      </c>
      <c r="AZ87" s="409">
        <f t="shared" si="71"/>
        <v>0</v>
      </c>
      <c r="BA87" s="412">
        <f t="shared" si="72"/>
        <v>1</v>
      </c>
      <c r="BB87" s="409">
        <f t="shared" si="73"/>
        <v>218</v>
      </c>
      <c r="BC87" s="550">
        <v>0</v>
      </c>
      <c r="BD87" s="571">
        <v>1</v>
      </c>
      <c r="BE87" s="413">
        <f t="shared" si="74"/>
        <v>218</v>
      </c>
      <c r="BF87" s="414">
        <f t="shared" si="75"/>
        <v>0</v>
      </c>
      <c r="BG87" s="515">
        <v>4</v>
      </c>
      <c r="BH87" s="550" t="s">
        <v>91</v>
      </c>
      <c r="BI87" s="412">
        <f t="shared" si="76"/>
        <v>1</v>
      </c>
      <c r="BJ87" s="409">
        <f t="shared" si="77"/>
        <v>218</v>
      </c>
      <c r="BK87" s="414">
        <f t="shared" si="78"/>
        <v>0</v>
      </c>
      <c r="BL87" s="571">
        <v>1</v>
      </c>
      <c r="BM87" s="409">
        <f t="shared" si="79"/>
        <v>218</v>
      </c>
      <c r="BN87" s="515">
        <v>6</v>
      </c>
      <c r="BO87" s="412">
        <f t="shared" si="80"/>
        <v>1</v>
      </c>
      <c r="BP87" s="414">
        <f t="shared" si="81"/>
        <v>0</v>
      </c>
      <c r="BQ87" s="557">
        <v>1</v>
      </c>
      <c r="BR87" s="589"/>
      <c r="BS87" s="594">
        <v>41730</v>
      </c>
      <c r="BT87" s="415" t="str">
        <f t="shared" si="82"/>
        <v>To be realised</v>
      </c>
      <c r="BU87" s="515">
        <v>48</v>
      </c>
      <c r="BV87" s="515">
        <v>13</v>
      </c>
      <c r="BW87" s="416">
        <f t="shared" si="83"/>
        <v>48</v>
      </c>
      <c r="BX87" s="417">
        <f t="shared" si="84"/>
        <v>0</v>
      </c>
      <c r="BY87" s="409">
        <f t="shared" si="85"/>
        <v>0</v>
      </c>
      <c r="BZ87" s="446">
        <f t="shared" si="86"/>
        <v>0</v>
      </c>
      <c r="CA87" s="542" t="s">
        <v>833</v>
      </c>
      <c r="CB87" s="557">
        <v>0.5</v>
      </c>
      <c r="CC87" s="451">
        <f t="shared" si="87"/>
        <v>109</v>
      </c>
      <c r="CD87" s="542">
        <v>0</v>
      </c>
      <c r="CE87" s="418" t="str">
        <f t="shared" si="88"/>
        <v>No coverage</v>
      </c>
      <c r="CF87" s="550">
        <v>0</v>
      </c>
      <c r="CG87" s="551" t="s">
        <v>66</v>
      </c>
      <c r="CH87" s="602"/>
    </row>
    <row r="88" spans="2:86" s="40" customFormat="1" ht="30.75" customHeight="1" x14ac:dyDescent="0.2">
      <c r="B88" s="512" t="s">
        <v>158</v>
      </c>
      <c r="C88" s="513" t="s">
        <v>629</v>
      </c>
      <c r="D88" s="514" t="s">
        <v>268</v>
      </c>
      <c r="E88" s="513" t="s">
        <v>730</v>
      </c>
      <c r="F88" s="514">
        <v>97.567116999999996</v>
      </c>
      <c r="G88" s="514">
        <v>24.768383</v>
      </c>
      <c r="H88" s="514" t="s">
        <v>478</v>
      </c>
      <c r="I88" s="514" t="s">
        <v>226</v>
      </c>
      <c r="J88" s="515">
        <v>659</v>
      </c>
      <c r="K88" s="515">
        <v>3541</v>
      </c>
      <c r="L88" s="515">
        <v>3541</v>
      </c>
      <c r="M88" s="405" t="str">
        <f t="shared" si="53"/>
        <v>4. Big</v>
      </c>
      <c r="N88" s="516"/>
      <c r="O88" s="530" t="s">
        <v>237</v>
      </c>
      <c r="P88" s="439" t="str">
        <f t="shared" si="54"/>
        <v>Covered</v>
      </c>
      <c r="Q88" s="531" t="s">
        <v>656</v>
      </c>
      <c r="R88" s="532"/>
      <c r="S88" s="531"/>
      <c r="T88" s="516" t="s">
        <v>260</v>
      </c>
      <c r="U88" s="436" t="str">
        <f t="shared" si="55"/>
        <v>Documented</v>
      </c>
      <c r="V88" s="542">
        <v>0</v>
      </c>
      <c r="W88" s="515">
        <v>0</v>
      </c>
      <c r="X88" s="543" t="s">
        <v>19</v>
      </c>
      <c r="Y88" s="542">
        <v>3</v>
      </c>
      <c r="Z88" s="550">
        <v>0</v>
      </c>
      <c r="AA88" s="551">
        <v>70000</v>
      </c>
      <c r="AB88" s="556">
        <v>0</v>
      </c>
      <c r="AC88" s="557">
        <v>1</v>
      </c>
      <c r="AD88" s="443">
        <f t="shared" si="56"/>
        <v>1</v>
      </c>
      <c r="AE88" s="407">
        <f t="shared" si="57"/>
        <v>3541</v>
      </c>
      <c r="AF88" s="408">
        <f t="shared" si="58"/>
        <v>1</v>
      </c>
      <c r="AG88" s="409">
        <f t="shared" si="59"/>
        <v>3541</v>
      </c>
      <c r="AH88" s="406">
        <f t="shared" si="60"/>
        <v>1</v>
      </c>
      <c r="AI88" s="409">
        <f t="shared" si="61"/>
        <v>3541</v>
      </c>
      <c r="AJ88" s="410" t="str">
        <f t="shared" si="62"/>
        <v>80-100%</v>
      </c>
      <c r="AK88" s="406">
        <f t="shared" si="63"/>
        <v>0</v>
      </c>
      <c r="AL88" s="411">
        <f t="shared" si="64"/>
        <v>0</v>
      </c>
      <c r="AM88" s="409">
        <f t="shared" si="65"/>
        <v>5.8524999999999991</v>
      </c>
      <c r="AN88" s="409">
        <f t="shared" si="66"/>
        <v>659</v>
      </c>
      <c r="AO88" s="409">
        <f t="shared" si="67"/>
        <v>0</v>
      </c>
      <c r="AP88" s="566">
        <v>1</v>
      </c>
      <c r="AQ88" s="567">
        <f t="shared" si="89"/>
        <v>3541</v>
      </c>
      <c r="AR88" s="551"/>
      <c r="AS88" s="552">
        <v>0</v>
      </c>
      <c r="AT88" s="515">
        <v>0</v>
      </c>
      <c r="AU88" s="515">
        <v>659</v>
      </c>
      <c r="AV88" s="515" t="s">
        <v>91</v>
      </c>
      <c r="AW88" s="412">
        <f t="shared" si="68"/>
        <v>1</v>
      </c>
      <c r="AX88" s="409">
        <f t="shared" si="69"/>
        <v>3541</v>
      </c>
      <c r="AY88" s="412">
        <f t="shared" si="70"/>
        <v>0</v>
      </c>
      <c r="AZ88" s="409">
        <f t="shared" si="71"/>
        <v>0</v>
      </c>
      <c r="BA88" s="412">
        <f t="shared" si="72"/>
        <v>1</v>
      </c>
      <c r="BB88" s="409">
        <f t="shared" si="73"/>
        <v>3541</v>
      </c>
      <c r="BC88" s="550">
        <v>0</v>
      </c>
      <c r="BD88" s="571">
        <v>1</v>
      </c>
      <c r="BE88" s="413">
        <f t="shared" si="74"/>
        <v>3541</v>
      </c>
      <c r="BF88" s="414">
        <f t="shared" si="75"/>
        <v>0</v>
      </c>
      <c r="BG88" s="515">
        <v>0</v>
      </c>
      <c r="BH88" s="550" t="s">
        <v>91</v>
      </c>
      <c r="BI88" s="412">
        <f t="shared" si="76"/>
        <v>0</v>
      </c>
      <c r="BJ88" s="409">
        <f t="shared" si="77"/>
        <v>0</v>
      </c>
      <c r="BK88" s="414">
        <f t="shared" si="78"/>
        <v>35.409999999999997</v>
      </c>
      <c r="BL88" s="571">
        <v>0</v>
      </c>
      <c r="BM88" s="409">
        <f t="shared" si="79"/>
        <v>0</v>
      </c>
      <c r="BN88" s="515">
        <v>0</v>
      </c>
      <c r="BO88" s="412">
        <f t="shared" si="80"/>
        <v>0</v>
      </c>
      <c r="BP88" s="414">
        <f t="shared" si="81"/>
        <v>35.409999999999997</v>
      </c>
      <c r="BQ88" s="557">
        <v>0</v>
      </c>
      <c r="BR88" s="589" t="s">
        <v>830</v>
      </c>
      <c r="BS88" s="594">
        <v>41730</v>
      </c>
      <c r="BT88" s="415" t="str">
        <f>IF(BS88="","To be realised",IF(BS88="n/a","n/a",IF(BS88+365&lt;$E$2,"To be realised",BS88+365)))</f>
        <v>To be realised</v>
      </c>
      <c r="BU88" s="515">
        <v>659</v>
      </c>
      <c r="BV88" s="515">
        <v>13</v>
      </c>
      <c r="BW88" s="416">
        <f>IF(BT88="n/a",0,IF(BT88="To be realised",J88,IF((J88-BU88)&lt;0,0,(J88-BU88))))</f>
        <v>659</v>
      </c>
      <c r="BX88" s="417">
        <f t="shared" si="84"/>
        <v>0</v>
      </c>
      <c r="BY88" s="409">
        <f t="shared" si="85"/>
        <v>0</v>
      </c>
      <c r="BZ88" s="446">
        <f>IF(BS88="","Column BN to be completed", IF(BS88="n/a",0,IF(($E$2-BS88-30)/30-BV88&lt;0,0,ROUND((($E$2-BS88-30)/30-BV88),0))))</f>
        <v>0</v>
      </c>
      <c r="CA88" s="542" t="s">
        <v>833</v>
      </c>
      <c r="CB88" s="557">
        <v>0</v>
      </c>
      <c r="CC88" s="451">
        <f t="shared" si="87"/>
        <v>0</v>
      </c>
      <c r="CD88" s="542">
        <v>0</v>
      </c>
      <c r="CE88" s="418" t="str">
        <f t="shared" si="88"/>
        <v>No coverage</v>
      </c>
      <c r="CF88" s="550">
        <v>0</v>
      </c>
      <c r="CG88" s="551" t="s">
        <v>66</v>
      </c>
      <c r="CH88" s="602"/>
    </row>
    <row r="89" spans="2:86" s="40" customFormat="1" ht="30.75" customHeight="1" x14ac:dyDescent="0.2">
      <c r="B89" s="512" t="s">
        <v>158</v>
      </c>
      <c r="C89" s="513" t="s">
        <v>629</v>
      </c>
      <c r="D89" s="514" t="s">
        <v>268</v>
      </c>
      <c r="E89" s="513" t="s">
        <v>178</v>
      </c>
      <c r="F89" s="514">
        <v>97.567116999999996</v>
      </c>
      <c r="G89" s="514">
        <v>24.768383</v>
      </c>
      <c r="H89" s="514" t="s">
        <v>467</v>
      </c>
      <c r="I89" s="514" t="s">
        <v>226</v>
      </c>
      <c r="J89" s="515">
        <v>281</v>
      </c>
      <c r="K89" s="515">
        <v>1534</v>
      </c>
      <c r="L89" s="515">
        <v>1534</v>
      </c>
      <c r="M89" s="405" t="str">
        <f t="shared" si="53"/>
        <v>3. Large</v>
      </c>
      <c r="N89" s="516" t="s">
        <v>285</v>
      </c>
      <c r="O89" s="530" t="s">
        <v>237</v>
      </c>
      <c r="P89" s="439" t="str">
        <f t="shared" si="54"/>
        <v>Covered</v>
      </c>
      <c r="Q89" s="531" t="s">
        <v>656</v>
      </c>
      <c r="R89" s="532"/>
      <c r="S89" s="531"/>
      <c r="T89" s="516" t="s">
        <v>260</v>
      </c>
      <c r="U89" s="436" t="str">
        <f t="shared" si="55"/>
        <v>Documented</v>
      </c>
      <c r="V89" s="542">
        <v>0</v>
      </c>
      <c r="W89" s="515">
        <v>0</v>
      </c>
      <c r="X89" s="543" t="s">
        <v>19</v>
      </c>
      <c r="Y89" s="542">
        <v>0</v>
      </c>
      <c r="Z89" s="550">
        <v>0</v>
      </c>
      <c r="AA89" s="551">
        <v>53805</v>
      </c>
      <c r="AB89" s="556">
        <v>0</v>
      </c>
      <c r="AC89" s="557">
        <v>1</v>
      </c>
      <c r="AD89" s="443">
        <f t="shared" si="56"/>
        <v>1</v>
      </c>
      <c r="AE89" s="407">
        <f t="shared" si="57"/>
        <v>1534</v>
      </c>
      <c r="AF89" s="408">
        <f t="shared" si="58"/>
        <v>1</v>
      </c>
      <c r="AG89" s="409">
        <f t="shared" si="59"/>
        <v>1534</v>
      </c>
      <c r="AH89" s="406">
        <f t="shared" si="60"/>
        <v>1</v>
      </c>
      <c r="AI89" s="409">
        <f t="shared" si="61"/>
        <v>1534</v>
      </c>
      <c r="AJ89" s="410" t="str">
        <f t="shared" si="62"/>
        <v>80-100%</v>
      </c>
      <c r="AK89" s="406">
        <f t="shared" si="63"/>
        <v>0</v>
      </c>
      <c r="AL89" s="411">
        <f t="shared" si="64"/>
        <v>0</v>
      </c>
      <c r="AM89" s="409">
        <f t="shared" si="65"/>
        <v>3.835</v>
      </c>
      <c r="AN89" s="409">
        <f t="shared" si="66"/>
        <v>281</v>
      </c>
      <c r="AO89" s="409">
        <f t="shared" si="67"/>
        <v>0</v>
      </c>
      <c r="AP89" s="566">
        <v>1</v>
      </c>
      <c r="AQ89" s="567">
        <f t="shared" si="89"/>
        <v>1534</v>
      </c>
      <c r="AR89" s="551"/>
      <c r="AS89" s="552">
        <v>0</v>
      </c>
      <c r="AT89" s="515">
        <v>29</v>
      </c>
      <c r="AU89" s="515">
        <v>53</v>
      </c>
      <c r="AV89" s="515" t="s">
        <v>91</v>
      </c>
      <c r="AW89" s="412">
        <f t="shared" si="68"/>
        <v>1</v>
      </c>
      <c r="AX89" s="409">
        <f t="shared" si="69"/>
        <v>1534</v>
      </c>
      <c r="AY89" s="412">
        <f t="shared" si="70"/>
        <v>0.30899608865710559</v>
      </c>
      <c r="AZ89" s="409">
        <f t="shared" si="71"/>
        <v>474</v>
      </c>
      <c r="BA89" s="412">
        <f t="shared" si="72"/>
        <v>0.69100391134289441</v>
      </c>
      <c r="BB89" s="409">
        <f t="shared" si="73"/>
        <v>1060</v>
      </c>
      <c r="BC89" s="550">
        <v>0</v>
      </c>
      <c r="BD89" s="571">
        <v>1</v>
      </c>
      <c r="BE89" s="413">
        <f t="shared" si="74"/>
        <v>1534</v>
      </c>
      <c r="BF89" s="414">
        <f t="shared" si="75"/>
        <v>23.700000000000003</v>
      </c>
      <c r="BG89" s="515">
        <v>16</v>
      </c>
      <c r="BH89" s="550" t="s">
        <v>91</v>
      </c>
      <c r="BI89" s="412">
        <f t="shared" si="76"/>
        <v>1</v>
      </c>
      <c r="BJ89" s="409">
        <f t="shared" si="77"/>
        <v>1534</v>
      </c>
      <c r="BK89" s="414">
        <f t="shared" si="78"/>
        <v>0</v>
      </c>
      <c r="BL89" s="571">
        <v>1</v>
      </c>
      <c r="BM89" s="409">
        <f t="shared" si="79"/>
        <v>1534</v>
      </c>
      <c r="BN89" s="515">
        <v>7</v>
      </c>
      <c r="BO89" s="412">
        <f t="shared" si="80"/>
        <v>0.45632333767926986</v>
      </c>
      <c r="BP89" s="414">
        <f t="shared" si="81"/>
        <v>8.34</v>
      </c>
      <c r="BQ89" s="557">
        <v>0.46</v>
      </c>
      <c r="BR89" s="589" t="s">
        <v>831</v>
      </c>
      <c r="BS89" s="594">
        <v>41730</v>
      </c>
      <c r="BT89" s="415" t="str">
        <f t="shared" ref="BT89:BT152" si="90">IF(BS89="","To be realised",IF(BS89="n/a","n/a",IF(BS89+365&lt;$E$2,"To be realised",BS89+365)))</f>
        <v>To be realised</v>
      </c>
      <c r="BU89" s="515">
        <v>281</v>
      </c>
      <c r="BV89" s="515">
        <v>13</v>
      </c>
      <c r="BW89" s="416">
        <f t="shared" ref="BW89:BW152" si="91">IF(BT89="n/a",0,IF(BT89="To be realised",J89,IF((J89-BU89)&lt;0,0,(J89-BU89))))</f>
        <v>281</v>
      </c>
      <c r="BX89" s="417">
        <f t="shared" si="84"/>
        <v>0</v>
      </c>
      <c r="BY89" s="409">
        <f t="shared" si="85"/>
        <v>0</v>
      </c>
      <c r="BZ89" s="446">
        <f t="shared" ref="BZ89:BZ152" si="92">IF(BS89="","Column BN to be completed", IF(BS89="n/a",0,IF(($E$2-BS89-30)/30-BV89&lt;0,0,ROUND((($E$2-BS89-30)/30-BV89),0))))</f>
        <v>0</v>
      </c>
      <c r="CA89" s="542" t="s">
        <v>833</v>
      </c>
      <c r="CB89" s="557">
        <v>0.5</v>
      </c>
      <c r="CC89" s="451">
        <f t="shared" si="87"/>
        <v>767</v>
      </c>
      <c r="CD89" s="542">
        <v>5</v>
      </c>
      <c r="CE89" s="418" t="str">
        <f t="shared" si="88"/>
        <v>Excellent coverage</v>
      </c>
      <c r="CF89" s="550">
        <v>0</v>
      </c>
      <c r="CG89" s="551" t="s">
        <v>301</v>
      </c>
      <c r="CH89" s="602"/>
    </row>
    <row r="90" spans="2:86" s="40" customFormat="1" ht="30.75" customHeight="1" x14ac:dyDescent="0.2">
      <c r="B90" s="512" t="s">
        <v>158</v>
      </c>
      <c r="C90" s="513" t="s">
        <v>630</v>
      </c>
      <c r="D90" s="514" t="s">
        <v>268</v>
      </c>
      <c r="E90" s="513" t="s">
        <v>179</v>
      </c>
      <c r="F90" s="514">
        <v>97.756789999999995</v>
      </c>
      <c r="G90" s="514">
        <v>25.106670000000001</v>
      </c>
      <c r="H90" s="514" t="s">
        <v>467</v>
      </c>
      <c r="I90" s="514" t="s">
        <v>226</v>
      </c>
      <c r="J90" s="515">
        <v>646</v>
      </c>
      <c r="K90" s="515">
        <v>2440</v>
      </c>
      <c r="L90" s="515">
        <v>2440</v>
      </c>
      <c r="M90" s="405" t="str">
        <f t="shared" si="53"/>
        <v>4. Big</v>
      </c>
      <c r="N90" s="516" t="s">
        <v>239</v>
      </c>
      <c r="O90" s="530" t="s">
        <v>239</v>
      </c>
      <c r="P90" s="439" t="str">
        <f t="shared" si="54"/>
        <v>Covered</v>
      </c>
      <c r="Q90" s="531">
        <v>42185</v>
      </c>
      <c r="R90" s="532" t="s">
        <v>240</v>
      </c>
      <c r="S90" s="531">
        <v>42185</v>
      </c>
      <c r="T90" s="516" t="s">
        <v>260</v>
      </c>
      <c r="U90" s="436" t="str">
        <f t="shared" si="55"/>
        <v>Documented</v>
      </c>
      <c r="V90" s="542">
        <v>0</v>
      </c>
      <c r="W90" s="515">
        <v>0</v>
      </c>
      <c r="X90" s="543" t="s">
        <v>19</v>
      </c>
      <c r="Y90" s="542">
        <v>0</v>
      </c>
      <c r="Z90" s="550">
        <v>0</v>
      </c>
      <c r="AA90" s="551">
        <v>40000</v>
      </c>
      <c r="AB90" s="556">
        <v>0</v>
      </c>
      <c r="AC90" s="557">
        <v>0</v>
      </c>
      <c r="AD90" s="443">
        <f t="shared" si="56"/>
        <v>1</v>
      </c>
      <c r="AE90" s="407">
        <f t="shared" si="57"/>
        <v>2440</v>
      </c>
      <c r="AF90" s="408">
        <f t="shared" si="58"/>
        <v>1</v>
      </c>
      <c r="AG90" s="409">
        <f t="shared" si="59"/>
        <v>2440</v>
      </c>
      <c r="AH90" s="406">
        <f t="shared" si="60"/>
        <v>1</v>
      </c>
      <c r="AI90" s="409">
        <f t="shared" si="61"/>
        <v>2440</v>
      </c>
      <c r="AJ90" s="410" t="str">
        <f t="shared" si="62"/>
        <v>80-100%</v>
      </c>
      <c r="AK90" s="406">
        <f t="shared" si="63"/>
        <v>0</v>
      </c>
      <c r="AL90" s="411">
        <f t="shared" si="64"/>
        <v>0</v>
      </c>
      <c r="AM90" s="409">
        <f t="shared" si="65"/>
        <v>6.1</v>
      </c>
      <c r="AN90" s="409">
        <f t="shared" si="66"/>
        <v>0</v>
      </c>
      <c r="AO90" s="409">
        <f t="shared" si="67"/>
        <v>0</v>
      </c>
      <c r="AP90" s="566">
        <v>1</v>
      </c>
      <c r="AQ90" s="567">
        <f t="shared" si="89"/>
        <v>2440</v>
      </c>
      <c r="AR90" s="551"/>
      <c r="AS90" s="552">
        <v>80</v>
      </c>
      <c r="AT90" s="515">
        <v>160</v>
      </c>
      <c r="AU90" s="515">
        <v>0</v>
      </c>
      <c r="AV90" s="515" t="s">
        <v>298</v>
      </c>
      <c r="AW90" s="412">
        <f t="shared" si="68"/>
        <v>1</v>
      </c>
      <c r="AX90" s="409">
        <f t="shared" si="69"/>
        <v>2440</v>
      </c>
      <c r="AY90" s="412">
        <f t="shared" si="70"/>
        <v>1</v>
      </c>
      <c r="AZ90" s="409">
        <f t="shared" si="71"/>
        <v>2440</v>
      </c>
      <c r="BA90" s="412">
        <f t="shared" si="72"/>
        <v>0</v>
      </c>
      <c r="BB90" s="409">
        <f t="shared" si="73"/>
        <v>0</v>
      </c>
      <c r="BC90" s="550">
        <v>0</v>
      </c>
      <c r="BD90" s="571">
        <v>1</v>
      </c>
      <c r="BE90" s="413">
        <f t="shared" si="74"/>
        <v>2440</v>
      </c>
      <c r="BF90" s="414">
        <f t="shared" si="75"/>
        <v>122</v>
      </c>
      <c r="BG90" s="515">
        <v>12</v>
      </c>
      <c r="BH90" s="550" t="s">
        <v>299</v>
      </c>
      <c r="BI90" s="412">
        <f t="shared" si="76"/>
        <v>0.49180327868852458</v>
      </c>
      <c r="BJ90" s="409">
        <f t="shared" si="77"/>
        <v>1200</v>
      </c>
      <c r="BK90" s="414">
        <f t="shared" si="78"/>
        <v>12.399999999999999</v>
      </c>
      <c r="BL90" s="571">
        <v>0.49</v>
      </c>
      <c r="BM90" s="409">
        <f t="shared" si="79"/>
        <v>1195.5999999999999</v>
      </c>
      <c r="BN90" s="515">
        <v>54</v>
      </c>
      <c r="BO90" s="412">
        <f t="shared" si="80"/>
        <v>1</v>
      </c>
      <c r="BP90" s="414">
        <f t="shared" si="81"/>
        <v>0</v>
      </c>
      <c r="BQ90" s="557">
        <v>1</v>
      </c>
      <c r="BR90" s="589" t="s">
        <v>853</v>
      </c>
      <c r="BS90" s="594">
        <v>42053</v>
      </c>
      <c r="BT90" s="415">
        <f t="shared" si="90"/>
        <v>42418</v>
      </c>
      <c r="BU90" s="515">
        <v>646</v>
      </c>
      <c r="BV90" s="515">
        <v>3</v>
      </c>
      <c r="BW90" s="416">
        <f t="shared" si="91"/>
        <v>0</v>
      </c>
      <c r="BX90" s="417">
        <f t="shared" si="84"/>
        <v>1</v>
      </c>
      <c r="BY90" s="409">
        <f t="shared" si="85"/>
        <v>2440</v>
      </c>
      <c r="BZ90" s="446">
        <f t="shared" si="92"/>
        <v>0</v>
      </c>
      <c r="CA90" s="542"/>
      <c r="CB90" s="557">
        <v>0.8</v>
      </c>
      <c r="CC90" s="451">
        <f t="shared" si="87"/>
        <v>1952</v>
      </c>
      <c r="CD90" s="542">
        <v>5</v>
      </c>
      <c r="CE90" s="418" t="str">
        <f t="shared" si="88"/>
        <v>Excellent coverage</v>
      </c>
      <c r="CF90" s="550">
        <v>0</v>
      </c>
      <c r="CG90" s="551" t="s">
        <v>301</v>
      </c>
      <c r="CH90" s="602"/>
    </row>
    <row r="91" spans="2:86" s="40" customFormat="1" ht="30.75" customHeight="1" x14ac:dyDescent="0.2">
      <c r="B91" s="512" t="s">
        <v>107</v>
      </c>
      <c r="C91" s="513"/>
      <c r="D91" s="514" t="s">
        <v>322</v>
      </c>
      <c r="E91" s="513" t="s">
        <v>490</v>
      </c>
      <c r="F91" s="514">
        <v>98.134313888888897</v>
      </c>
      <c r="G91" s="514">
        <v>25.8873472222222</v>
      </c>
      <c r="H91" s="514" t="s">
        <v>468</v>
      </c>
      <c r="I91" s="514" t="s">
        <v>218</v>
      </c>
      <c r="J91" s="515">
        <v>0</v>
      </c>
      <c r="K91" s="515">
        <v>45</v>
      </c>
      <c r="L91" s="515">
        <v>45</v>
      </c>
      <c r="M91" s="405" t="str">
        <f t="shared" si="53"/>
        <v>1. Small</v>
      </c>
      <c r="N91" s="516" t="s">
        <v>235</v>
      </c>
      <c r="O91" s="530" t="s">
        <v>235</v>
      </c>
      <c r="P91" s="439" t="str">
        <f t="shared" si="54"/>
        <v>Covered</v>
      </c>
      <c r="Q91" s="531">
        <v>42369</v>
      </c>
      <c r="R91" s="532"/>
      <c r="S91" s="531"/>
      <c r="T91" s="516" t="s">
        <v>260</v>
      </c>
      <c r="U91" s="436" t="str">
        <f t="shared" si="55"/>
        <v>Documented</v>
      </c>
      <c r="V91" s="542">
        <v>0</v>
      </c>
      <c r="W91" s="515">
        <v>0</v>
      </c>
      <c r="X91" s="543" t="s">
        <v>19</v>
      </c>
      <c r="Y91" s="542">
        <v>0</v>
      </c>
      <c r="Z91" s="550">
        <v>0</v>
      </c>
      <c r="AA91" s="551">
        <v>860</v>
      </c>
      <c r="AB91" s="556">
        <v>0</v>
      </c>
      <c r="AC91" s="557">
        <v>1</v>
      </c>
      <c r="AD91" s="443">
        <f t="shared" si="56"/>
        <v>1</v>
      </c>
      <c r="AE91" s="407">
        <f t="shared" si="57"/>
        <v>45</v>
      </c>
      <c r="AF91" s="408">
        <f t="shared" si="58"/>
        <v>1</v>
      </c>
      <c r="AG91" s="409">
        <f t="shared" si="59"/>
        <v>45</v>
      </c>
      <c r="AH91" s="406">
        <f t="shared" si="60"/>
        <v>1</v>
      </c>
      <c r="AI91" s="409">
        <f t="shared" si="61"/>
        <v>45</v>
      </c>
      <c r="AJ91" s="410" t="str">
        <f t="shared" si="62"/>
        <v>80-100%</v>
      </c>
      <c r="AK91" s="406">
        <f t="shared" si="63"/>
        <v>0</v>
      </c>
      <c r="AL91" s="411">
        <f t="shared" si="64"/>
        <v>0</v>
      </c>
      <c r="AM91" s="409">
        <f t="shared" si="65"/>
        <v>0.1125</v>
      </c>
      <c r="AN91" s="409">
        <f t="shared" si="66"/>
        <v>0</v>
      </c>
      <c r="AO91" s="409">
        <f t="shared" si="67"/>
        <v>0</v>
      </c>
      <c r="AP91" s="566">
        <v>1</v>
      </c>
      <c r="AQ91" s="567">
        <f t="shared" si="89"/>
        <v>45</v>
      </c>
      <c r="AR91" s="551" t="s">
        <v>822</v>
      </c>
      <c r="AS91" s="552">
        <v>4</v>
      </c>
      <c r="AT91" s="515">
        <v>2</v>
      </c>
      <c r="AU91" s="515">
        <v>2</v>
      </c>
      <c r="AV91" s="515" t="s">
        <v>299</v>
      </c>
      <c r="AW91" s="412">
        <f t="shared" si="68"/>
        <v>1</v>
      </c>
      <c r="AX91" s="409">
        <f t="shared" si="69"/>
        <v>45</v>
      </c>
      <c r="AY91" s="412">
        <f t="shared" si="70"/>
        <v>0.11111111111111116</v>
      </c>
      <c r="AZ91" s="409">
        <f t="shared" si="71"/>
        <v>5.0000000000000018</v>
      </c>
      <c r="BA91" s="412">
        <f t="shared" si="72"/>
        <v>0.88888888888888884</v>
      </c>
      <c r="BB91" s="409">
        <f t="shared" si="73"/>
        <v>40</v>
      </c>
      <c r="BC91" s="550">
        <v>0</v>
      </c>
      <c r="BD91" s="571">
        <v>1</v>
      </c>
      <c r="BE91" s="413">
        <f t="shared" si="74"/>
        <v>45</v>
      </c>
      <c r="BF91" s="414">
        <f t="shared" si="75"/>
        <v>0.25</v>
      </c>
      <c r="BG91" s="515">
        <v>2</v>
      </c>
      <c r="BH91" s="550" t="s">
        <v>299</v>
      </c>
      <c r="BI91" s="412">
        <f t="shared" si="76"/>
        <v>1</v>
      </c>
      <c r="BJ91" s="409">
        <f t="shared" si="77"/>
        <v>45</v>
      </c>
      <c r="BK91" s="414">
        <f t="shared" si="78"/>
        <v>0</v>
      </c>
      <c r="BL91" s="571">
        <v>1</v>
      </c>
      <c r="BM91" s="409">
        <f t="shared" si="79"/>
        <v>45</v>
      </c>
      <c r="BN91" s="515">
        <v>5</v>
      </c>
      <c r="BO91" s="412">
        <f t="shared" si="80"/>
        <v>1</v>
      </c>
      <c r="BP91" s="414">
        <f t="shared" si="81"/>
        <v>0</v>
      </c>
      <c r="BQ91" s="557">
        <v>1</v>
      </c>
      <c r="BR91" s="589"/>
      <c r="BS91" s="594">
        <v>41780</v>
      </c>
      <c r="BT91" s="415" t="str">
        <f t="shared" si="90"/>
        <v>To be realised</v>
      </c>
      <c r="BU91" s="515">
        <v>43</v>
      </c>
      <c r="BV91" s="515">
        <v>10</v>
      </c>
      <c r="BW91" s="416">
        <f t="shared" si="91"/>
        <v>0</v>
      </c>
      <c r="BX91" s="417">
        <f t="shared" si="84"/>
        <v>1</v>
      </c>
      <c r="BY91" s="409">
        <f t="shared" si="85"/>
        <v>45</v>
      </c>
      <c r="BZ91" s="446">
        <f t="shared" si="92"/>
        <v>2</v>
      </c>
      <c r="CA91" s="542"/>
      <c r="CB91" s="557">
        <v>0</v>
      </c>
      <c r="CC91" s="451">
        <f t="shared" si="87"/>
        <v>0</v>
      </c>
      <c r="CD91" s="542">
        <v>0</v>
      </c>
      <c r="CE91" s="418" t="str">
        <f t="shared" si="88"/>
        <v>No coverage</v>
      </c>
      <c r="CF91" s="550">
        <v>0</v>
      </c>
      <c r="CG91" s="551" t="s">
        <v>65</v>
      </c>
      <c r="CH91" s="602"/>
    </row>
    <row r="92" spans="2:86" s="40" customFormat="1" ht="30.75" customHeight="1" x14ac:dyDescent="0.2">
      <c r="B92" s="512" t="s">
        <v>158</v>
      </c>
      <c r="C92" s="513" t="s">
        <v>610</v>
      </c>
      <c r="D92" s="514" t="s">
        <v>268</v>
      </c>
      <c r="E92" s="513" t="s">
        <v>641</v>
      </c>
      <c r="F92" s="514">
        <v>97.541793999999996</v>
      </c>
      <c r="G92" s="514">
        <v>24.752471</v>
      </c>
      <c r="H92" s="514" t="s">
        <v>468</v>
      </c>
      <c r="I92" s="514" t="s">
        <v>226</v>
      </c>
      <c r="J92" s="515">
        <v>0</v>
      </c>
      <c r="K92" s="515">
        <v>391</v>
      </c>
      <c r="L92" s="515">
        <v>391</v>
      </c>
      <c r="M92" s="405" t="str">
        <f t="shared" si="53"/>
        <v>1. Small</v>
      </c>
      <c r="N92" s="516"/>
      <c r="O92" s="530" t="s">
        <v>237</v>
      </c>
      <c r="P92" s="439" t="str">
        <f t="shared" si="54"/>
        <v>Covered</v>
      </c>
      <c r="Q92" s="531" t="s">
        <v>656</v>
      </c>
      <c r="R92" s="532"/>
      <c r="S92" s="531"/>
      <c r="T92" s="516" t="s">
        <v>260</v>
      </c>
      <c r="U92" s="436" t="str">
        <f t="shared" si="55"/>
        <v>Documented</v>
      </c>
      <c r="V92" s="542">
        <v>0</v>
      </c>
      <c r="W92" s="515">
        <v>0</v>
      </c>
      <c r="X92" s="543" t="s">
        <v>19</v>
      </c>
      <c r="Y92" s="542">
        <v>0</v>
      </c>
      <c r="Z92" s="550">
        <v>0</v>
      </c>
      <c r="AA92" s="551">
        <v>6000</v>
      </c>
      <c r="AB92" s="556">
        <v>0</v>
      </c>
      <c r="AC92" s="557">
        <v>1</v>
      </c>
      <c r="AD92" s="443">
        <f t="shared" si="56"/>
        <v>1</v>
      </c>
      <c r="AE92" s="407">
        <f t="shared" si="57"/>
        <v>391</v>
      </c>
      <c r="AF92" s="408">
        <f t="shared" si="58"/>
        <v>1</v>
      </c>
      <c r="AG92" s="409">
        <f t="shared" si="59"/>
        <v>391</v>
      </c>
      <c r="AH92" s="406">
        <f t="shared" si="60"/>
        <v>1</v>
      </c>
      <c r="AI92" s="409">
        <f t="shared" si="61"/>
        <v>391</v>
      </c>
      <c r="AJ92" s="410" t="str">
        <f t="shared" si="62"/>
        <v>80-100%</v>
      </c>
      <c r="AK92" s="406">
        <f t="shared" si="63"/>
        <v>0</v>
      </c>
      <c r="AL92" s="411">
        <f t="shared" si="64"/>
        <v>0</v>
      </c>
      <c r="AM92" s="409">
        <f t="shared" si="65"/>
        <v>0.97750000000000004</v>
      </c>
      <c r="AN92" s="409">
        <f t="shared" si="66"/>
        <v>0</v>
      </c>
      <c r="AO92" s="409">
        <f t="shared" si="67"/>
        <v>0</v>
      </c>
      <c r="AP92" s="566">
        <v>1</v>
      </c>
      <c r="AQ92" s="567">
        <f t="shared" si="89"/>
        <v>391</v>
      </c>
      <c r="AR92" s="551"/>
      <c r="AS92" s="552">
        <v>0</v>
      </c>
      <c r="AT92" s="515">
        <v>8</v>
      </c>
      <c r="AU92" s="515">
        <v>20</v>
      </c>
      <c r="AV92" s="515" t="s">
        <v>299</v>
      </c>
      <c r="AW92" s="412">
        <f t="shared" si="68"/>
        <v>1</v>
      </c>
      <c r="AX92" s="409">
        <f t="shared" si="69"/>
        <v>391</v>
      </c>
      <c r="AY92" s="412">
        <f t="shared" si="70"/>
        <v>0</v>
      </c>
      <c r="AZ92" s="409">
        <f t="shared" si="71"/>
        <v>0</v>
      </c>
      <c r="BA92" s="412">
        <f t="shared" si="72"/>
        <v>1</v>
      </c>
      <c r="BB92" s="409">
        <f t="shared" si="73"/>
        <v>391</v>
      </c>
      <c r="BC92" s="550">
        <v>0</v>
      </c>
      <c r="BD92" s="571">
        <v>1</v>
      </c>
      <c r="BE92" s="413">
        <f t="shared" si="74"/>
        <v>391</v>
      </c>
      <c r="BF92" s="414">
        <f t="shared" si="75"/>
        <v>0</v>
      </c>
      <c r="BG92" s="515">
        <v>4</v>
      </c>
      <c r="BH92" s="550" t="s">
        <v>299</v>
      </c>
      <c r="BI92" s="412">
        <f t="shared" si="76"/>
        <v>1</v>
      </c>
      <c r="BJ92" s="409">
        <f t="shared" si="77"/>
        <v>391</v>
      </c>
      <c r="BK92" s="414">
        <f t="shared" si="78"/>
        <v>0</v>
      </c>
      <c r="BL92" s="571">
        <v>1</v>
      </c>
      <c r="BM92" s="409">
        <f t="shared" si="79"/>
        <v>391</v>
      </c>
      <c r="BN92" s="515">
        <v>1</v>
      </c>
      <c r="BO92" s="412">
        <f t="shared" si="80"/>
        <v>0.25575447570332482</v>
      </c>
      <c r="BP92" s="414">
        <f t="shared" si="81"/>
        <v>2.91</v>
      </c>
      <c r="BQ92" s="557">
        <v>0.26</v>
      </c>
      <c r="BR92" s="589"/>
      <c r="BS92" s="594"/>
      <c r="BT92" s="415" t="str">
        <f t="shared" si="90"/>
        <v>To be realised</v>
      </c>
      <c r="BU92" s="515">
        <v>0</v>
      </c>
      <c r="BV92" s="515">
        <v>13</v>
      </c>
      <c r="BW92" s="416">
        <f t="shared" si="91"/>
        <v>0</v>
      </c>
      <c r="BX92" s="417">
        <f t="shared" si="84"/>
        <v>1</v>
      </c>
      <c r="BY92" s="409">
        <f t="shared" si="85"/>
        <v>391</v>
      </c>
      <c r="BZ92" s="446" t="str">
        <f t="shared" si="92"/>
        <v>Column BN to be completed</v>
      </c>
      <c r="CA92" s="552" t="s">
        <v>833</v>
      </c>
      <c r="CB92" s="557">
        <v>0</v>
      </c>
      <c r="CC92" s="451">
        <f t="shared" si="87"/>
        <v>0</v>
      </c>
      <c r="CD92" s="542">
        <v>0</v>
      </c>
      <c r="CE92" s="418" t="str">
        <f t="shared" si="88"/>
        <v>No coverage</v>
      </c>
      <c r="CF92" s="550">
        <v>0</v>
      </c>
      <c r="CG92" s="551" t="s">
        <v>66</v>
      </c>
      <c r="CH92" s="602"/>
    </row>
    <row r="93" spans="2:86" s="40" customFormat="1" ht="30.75" customHeight="1" x14ac:dyDescent="0.2">
      <c r="B93" s="512" t="s">
        <v>158</v>
      </c>
      <c r="C93" s="513" t="s">
        <v>610</v>
      </c>
      <c r="D93" s="514" t="s">
        <v>268</v>
      </c>
      <c r="E93" s="513" t="s">
        <v>642</v>
      </c>
      <c r="F93" s="514">
        <v>97.541793999999996</v>
      </c>
      <c r="G93" s="514">
        <v>24.752471</v>
      </c>
      <c r="H93" s="514" t="s">
        <v>468</v>
      </c>
      <c r="I93" s="514" t="s">
        <v>226</v>
      </c>
      <c r="J93" s="515">
        <v>0</v>
      </c>
      <c r="K93" s="515">
        <v>528</v>
      </c>
      <c r="L93" s="515">
        <v>528</v>
      </c>
      <c r="M93" s="405" t="str">
        <f t="shared" si="53"/>
        <v>1. Small</v>
      </c>
      <c r="N93" s="516"/>
      <c r="O93" s="530" t="s">
        <v>237</v>
      </c>
      <c r="P93" s="439" t="str">
        <f t="shared" si="54"/>
        <v>Covered</v>
      </c>
      <c r="Q93" s="531" t="s">
        <v>656</v>
      </c>
      <c r="R93" s="532"/>
      <c r="S93" s="531"/>
      <c r="T93" s="516" t="s">
        <v>260</v>
      </c>
      <c r="U93" s="436" t="str">
        <f t="shared" si="55"/>
        <v>Documented</v>
      </c>
      <c r="V93" s="542">
        <v>0</v>
      </c>
      <c r="W93" s="515">
        <v>0</v>
      </c>
      <c r="X93" s="543" t="s">
        <v>19</v>
      </c>
      <c r="Y93" s="542">
        <v>1</v>
      </c>
      <c r="Z93" s="550">
        <v>0</v>
      </c>
      <c r="AA93" s="551">
        <v>7920</v>
      </c>
      <c r="AB93" s="556">
        <v>0</v>
      </c>
      <c r="AC93" s="557">
        <v>1</v>
      </c>
      <c r="AD93" s="443">
        <f t="shared" si="56"/>
        <v>1</v>
      </c>
      <c r="AE93" s="407">
        <f t="shared" si="57"/>
        <v>528</v>
      </c>
      <c r="AF93" s="408">
        <f t="shared" si="58"/>
        <v>1</v>
      </c>
      <c r="AG93" s="409">
        <f t="shared" si="59"/>
        <v>528</v>
      </c>
      <c r="AH93" s="406">
        <f t="shared" si="60"/>
        <v>1</v>
      </c>
      <c r="AI93" s="409">
        <f t="shared" si="61"/>
        <v>528</v>
      </c>
      <c r="AJ93" s="410" t="str">
        <f t="shared" si="62"/>
        <v>80-100%</v>
      </c>
      <c r="AK93" s="406">
        <f t="shared" si="63"/>
        <v>0</v>
      </c>
      <c r="AL93" s="411">
        <f t="shared" si="64"/>
        <v>0</v>
      </c>
      <c r="AM93" s="409">
        <f t="shared" si="65"/>
        <v>0.32000000000000006</v>
      </c>
      <c r="AN93" s="409">
        <f t="shared" si="66"/>
        <v>0</v>
      </c>
      <c r="AO93" s="409">
        <f t="shared" si="67"/>
        <v>0</v>
      </c>
      <c r="AP93" s="566">
        <v>1</v>
      </c>
      <c r="AQ93" s="567">
        <f t="shared" si="89"/>
        <v>528</v>
      </c>
      <c r="AR93" s="551"/>
      <c r="AS93" s="552">
        <v>0</v>
      </c>
      <c r="AT93" s="515">
        <v>7</v>
      </c>
      <c r="AU93" s="515">
        <v>15</v>
      </c>
      <c r="AV93" s="515" t="s">
        <v>299</v>
      </c>
      <c r="AW93" s="412">
        <f t="shared" si="68"/>
        <v>0.83333333333333337</v>
      </c>
      <c r="AX93" s="409">
        <f t="shared" si="69"/>
        <v>440</v>
      </c>
      <c r="AY93" s="412">
        <f t="shared" si="70"/>
        <v>0.26515151515151514</v>
      </c>
      <c r="AZ93" s="409">
        <f t="shared" si="71"/>
        <v>140</v>
      </c>
      <c r="BA93" s="412">
        <f t="shared" si="72"/>
        <v>0.56818181818181823</v>
      </c>
      <c r="BB93" s="409">
        <f t="shared" si="73"/>
        <v>300</v>
      </c>
      <c r="BC93" s="550">
        <v>0</v>
      </c>
      <c r="BD93" s="571">
        <v>0.83</v>
      </c>
      <c r="BE93" s="413">
        <f t="shared" si="74"/>
        <v>438.23999999999995</v>
      </c>
      <c r="BF93" s="414">
        <f t="shared" si="75"/>
        <v>11.399999999999999</v>
      </c>
      <c r="BG93" s="515">
        <v>4</v>
      </c>
      <c r="BH93" s="550" t="s">
        <v>299</v>
      </c>
      <c r="BI93" s="412">
        <f t="shared" si="76"/>
        <v>0.75757575757575757</v>
      </c>
      <c r="BJ93" s="409">
        <f t="shared" si="77"/>
        <v>400</v>
      </c>
      <c r="BK93" s="414">
        <f t="shared" si="78"/>
        <v>1.2800000000000002</v>
      </c>
      <c r="BL93" s="571">
        <v>0.76</v>
      </c>
      <c r="BM93" s="409">
        <f t="shared" si="79"/>
        <v>401.28000000000003</v>
      </c>
      <c r="BN93" s="515">
        <v>0</v>
      </c>
      <c r="BO93" s="412">
        <f t="shared" si="80"/>
        <v>0</v>
      </c>
      <c r="BP93" s="414">
        <f t="shared" si="81"/>
        <v>5.28</v>
      </c>
      <c r="BQ93" s="557">
        <v>0</v>
      </c>
      <c r="BR93" s="589"/>
      <c r="BS93" s="594"/>
      <c r="BT93" s="415" t="str">
        <f t="shared" si="90"/>
        <v>To be realised</v>
      </c>
      <c r="BU93" s="515">
        <v>0</v>
      </c>
      <c r="BV93" s="515">
        <v>13</v>
      </c>
      <c r="BW93" s="416">
        <f t="shared" si="91"/>
        <v>0</v>
      </c>
      <c r="BX93" s="417">
        <f t="shared" si="84"/>
        <v>1</v>
      </c>
      <c r="BY93" s="409">
        <f t="shared" si="85"/>
        <v>528</v>
      </c>
      <c r="BZ93" s="446" t="str">
        <f t="shared" si="92"/>
        <v>Column BN to be completed</v>
      </c>
      <c r="CA93" s="552" t="s">
        <v>833</v>
      </c>
      <c r="CB93" s="557">
        <v>0</v>
      </c>
      <c r="CC93" s="451">
        <f t="shared" si="87"/>
        <v>0</v>
      </c>
      <c r="CD93" s="542">
        <v>0</v>
      </c>
      <c r="CE93" s="418" t="str">
        <f t="shared" si="88"/>
        <v>No coverage</v>
      </c>
      <c r="CF93" s="550">
        <v>0</v>
      </c>
      <c r="CG93" s="551" t="s">
        <v>66</v>
      </c>
      <c r="CH93" s="602"/>
    </row>
    <row r="94" spans="2:86" s="40" customFormat="1" ht="30.75" customHeight="1" x14ac:dyDescent="0.2">
      <c r="B94" s="512" t="s">
        <v>224</v>
      </c>
      <c r="C94" s="513" t="s">
        <v>731</v>
      </c>
      <c r="D94" s="514" t="s">
        <v>322</v>
      </c>
      <c r="E94" s="513" t="s">
        <v>706</v>
      </c>
      <c r="F94" s="514">
        <v>97.561105999999995</v>
      </c>
      <c r="G94" s="514">
        <v>27.248964999999998</v>
      </c>
      <c r="H94" s="514" t="s">
        <v>478</v>
      </c>
      <c r="I94" s="514" t="s">
        <v>218</v>
      </c>
      <c r="J94" s="515">
        <v>12</v>
      </c>
      <c r="K94" s="515">
        <v>52</v>
      </c>
      <c r="L94" s="515">
        <v>52</v>
      </c>
      <c r="M94" s="405" t="str">
        <f t="shared" si="53"/>
        <v>1. Small</v>
      </c>
      <c r="N94" s="516"/>
      <c r="O94" s="530" t="s">
        <v>239</v>
      </c>
      <c r="P94" s="439" t="str">
        <f t="shared" si="54"/>
        <v>Covered</v>
      </c>
      <c r="Q94" s="531" t="s">
        <v>656</v>
      </c>
      <c r="R94" s="532"/>
      <c r="S94" s="531"/>
      <c r="T94" s="516" t="s">
        <v>260</v>
      </c>
      <c r="U94" s="436" t="str">
        <f t="shared" si="55"/>
        <v>Documented</v>
      </c>
      <c r="V94" s="542">
        <v>0</v>
      </c>
      <c r="W94" s="515">
        <v>0</v>
      </c>
      <c r="X94" s="543" t="s">
        <v>19</v>
      </c>
      <c r="Y94" s="542">
        <v>1</v>
      </c>
      <c r="Z94" s="550">
        <v>0</v>
      </c>
      <c r="AA94" s="551">
        <v>0</v>
      </c>
      <c r="AB94" s="556">
        <v>0</v>
      </c>
      <c r="AC94" s="557">
        <v>0</v>
      </c>
      <c r="AD94" s="443">
        <f t="shared" si="56"/>
        <v>1</v>
      </c>
      <c r="AE94" s="407">
        <f t="shared" si="57"/>
        <v>52</v>
      </c>
      <c r="AF94" s="408">
        <f t="shared" si="58"/>
        <v>1</v>
      </c>
      <c r="AG94" s="409">
        <f t="shared" si="59"/>
        <v>52</v>
      </c>
      <c r="AH94" s="406">
        <f t="shared" si="60"/>
        <v>1</v>
      </c>
      <c r="AI94" s="409">
        <f t="shared" si="61"/>
        <v>52</v>
      </c>
      <c r="AJ94" s="410" t="str">
        <f t="shared" si="62"/>
        <v>80-100%</v>
      </c>
      <c r="AK94" s="406">
        <f t="shared" si="63"/>
        <v>0</v>
      </c>
      <c r="AL94" s="411">
        <f t="shared" si="64"/>
        <v>0</v>
      </c>
      <c r="AM94" s="409">
        <f t="shared" si="65"/>
        <v>0</v>
      </c>
      <c r="AN94" s="409">
        <f t="shared" si="66"/>
        <v>0</v>
      </c>
      <c r="AO94" s="409">
        <f t="shared" si="67"/>
        <v>0</v>
      </c>
      <c r="AP94" s="566">
        <v>1</v>
      </c>
      <c r="AQ94" s="567">
        <f t="shared" si="89"/>
        <v>52</v>
      </c>
      <c r="AR94" s="551" t="s">
        <v>769</v>
      </c>
      <c r="AS94" s="552">
        <v>10</v>
      </c>
      <c r="AT94" s="515">
        <v>10</v>
      </c>
      <c r="AU94" s="515">
        <v>0</v>
      </c>
      <c r="AV94" s="515" t="s">
        <v>91</v>
      </c>
      <c r="AW94" s="412">
        <f t="shared" si="68"/>
        <v>1</v>
      </c>
      <c r="AX94" s="409">
        <f t="shared" si="69"/>
        <v>52</v>
      </c>
      <c r="AY94" s="412">
        <f t="shared" si="70"/>
        <v>1</v>
      </c>
      <c r="AZ94" s="409">
        <f t="shared" si="71"/>
        <v>52</v>
      </c>
      <c r="BA94" s="412">
        <f t="shared" si="72"/>
        <v>0</v>
      </c>
      <c r="BB94" s="409">
        <f t="shared" si="73"/>
        <v>0</v>
      </c>
      <c r="BC94" s="550">
        <v>0</v>
      </c>
      <c r="BD94" s="571">
        <v>1</v>
      </c>
      <c r="BE94" s="413">
        <f t="shared" si="74"/>
        <v>52</v>
      </c>
      <c r="BF94" s="414">
        <f t="shared" si="75"/>
        <v>2.6</v>
      </c>
      <c r="BG94" s="515">
        <v>0</v>
      </c>
      <c r="BH94" s="550" t="s">
        <v>91</v>
      </c>
      <c r="BI94" s="412">
        <f t="shared" si="76"/>
        <v>0</v>
      </c>
      <c r="BJ94" s="409">
        <f t="shared" si="77"/>
        <v>0</v>
      </c>
      <c r="BK94" s="414">
        <f t="shared" si="78"/>
        <v>0.52</v>
      </c>
      <c r="BL94" s="571">
        <v>0</v>
      </c>
      <c r="BM94" s="409">
        <f t="shared" si="79"/>
        <v>0</v>
      </c>
      <c r="BN94" s="515">
        <v>0</v>
      </c>
      <c r="BO94" s="412">
        <f t="shared" si="80"/>
        <v>0</v>
      </c>
      <c r="BP94" s="414">
        <f t="shared" si="81"/>
        <v>0.52</v>
      </c>
      <c r="BQ94" s="557">
        <v>0</v>
      </c>
      <c r="BR94" s="589"/>
      <c r="BS94" s="594"/>
      <c r="BT94" s="415" t="str">
        <f t="shared" si="90"/>
        <v>To be realised</v>
      </c>
      <c r="BU94" s="515">
        <v>0</v>
      </c>
      <c r="BV94" s="515">
        <v>0</v>
      </c>
      <c r="BW94" s="416">
        <f t="shared" si="91"/>
        <v>12</v>
      </c>
      <c r="BX94" s="417">
        <f t="shared" si="84"/>
        <v>0</v>
      </c>
      <c r="BY94" s="409">
        <f t="shared" si="85"/>
        <v>0</v>
      </c>
      <c r="BZ94" s="446" t="str">
        <f t="shared" si="92"/>
        <v>Column BN to be completed</v>
      </c>
      <c r="CA94" s="542"/>
      <c r="CB94" s="557">
        <v>0</v>
      </c>
      <c r="CC94" s="451">
        <f t="shared" si="87"/>
        <v>0</v>
      </c>
      <c r="CD94" s="542">
        <v>0</v>
      </c>
      <c r="CE94" s="418" t="str">
        <f t="shared" si="88"/>
        <v>No coverage</v>
      </c>
      <c r="CF94" s="550">
        <v>0</v>
      </c>
      <c r="CG94" s="551" t="s">
        <v>491</v>
      </c>
      <c r="CH94" s="602"/>
    </row>
    <row r="95" spans="2:86" s="40" customFormat="1" ht="30.75" customHeight="1" x14ac:dyDescent="0.2">
      <c r="B95" s="512" t="s">
        <v>158</v>
      </c>
      <c r="C95" s="513" t="s">
        <v>618</v>
      </c>
      <c r="D95" s="514" t="s">
        <v>265</v>
      </c>
      <c r="E95" s="513" t="s">
        <v>168</v>
      </c>
      <c r="F95" s="514">
        <v>97.345039</v>
      </c>
      <c r="G95" s="514">
        <v>25.351965</v>
      </c>
      <c r="H95" s="514" t="s">
        <v>467</v>
      </c>
      <c r="I95" s="514" t="s">
        <v>218</v>
      </c>
      <c r="J95" s="515">
        <v>18</v>
      </c>
      <c r="K95" s="515">
        <v>78</v>
      </c>
      <c r="L95" s="515">
        <v>78</v>
      </c>
      <c r="M95" s="405" t="str">
        <f t="shared" si="53"/>
        <v>1. Small</v>
      </c>
      <c r="N95" s="516" t="s">
        <v>284</v>
      </c>
      <c r="O95" s="530" t="s">
        <v>284</v>
      </c>
      <c r="P95" s="439" t="str">
        <f t="shared" si="54"/>
        <v>Covered</v>
      </c>
      <c r="Q95" s="531">
        <v>42155</v>
      </c>
      <c r="R95" s="532"/>
      <c r="S95" s="531"/>
      <c r="T95" s="516" t="s">
        <v>260</v>
      </c>
      <c r="U95" s="436" t="str">
        <f t="shared" si="55"/>
        <v>Documented</v>
      </c>
      <c r="V95" s="542">
        <v>0</v>
      </c>
      <c r="W95" s="515">
        <v>0</v>
      </c>
      <c r="X95" s="543" t="s">
        <v>19</v>
      </c>
      <c r="Y95" s="542">
        <v>1</v>
      </c>
      <c r="Z95" s="550">
        <v>1</v>
      </c>
      <c r="AA95" s="551">
        <v>0</v>
      </c>
      <c r="AB95" s="556">
        <v>0</v>
      </c>
      <c r="AC95" s="557">
        <v>0</v>
      </c>
      <c r="AD95" s="443">
        <f t="shared" si="56"/>
        <v>1</v>
      </c>
      <c r="AE95" s="407">
        <f t="shared" si="57"/>
        <v>78</v>
      </c>
      <c r="AF95" s="408">
        <f t="shared" si="58"/>
        <v>1</v>
      </c>
      <c r="AG95" s="409">
        <f t="shared" si="59"/>
        <v>78</v>
      </c>
      <c r="AH95" s="406">
        <f t="shared" si="60"/>
        <v>1</v>
      </c>
      <c r="AI95" s="409">
        <f t="shared" si="61"/>
        <v>78</v>
      </c>
      <c r="AJ95" s="410" t="str">
        <f t="shared" si="62"/>
        <v>80-100%</v>
      </c>
      <c r="AK95" s="406">
        <f t="shared" si="63"/>
        <v>0</v>
      </c>
      <c r="AL95" s="411">
        <f t="shared" si="64"/>
        <v>0</v>
      </c>
      <c r="AM95" s="409">
        <f t="shared" si="65"/>
        <v>0</v>
      </c>
      <c r="AN95" s="409">
        <f t="shared" si="66"/>
        <v>0</v>
      </c>
      <c r="AO95" s="409">
        <f t="shared" si="67"/>
        <v>0</v>
      </c>
      <c r="AP95" s="566">
        <v>1</v>
      </c>
      <c r="AQ95" s="567">
        <f t="shared" si="89"/>
        <v>78</v>
      </c>
      <c r="AR95" s="551"/>
      <c r="AS95" s="552">
        <v>0</v>
      </c>
      <c r="AT95" s="515">
        <v>0</v>
      </c>
      <c r="AU95" s="515">
        <v>5</v>
      </c>
      <c r="AV95" s="515" t="s">
        <v>298</v>
      </c>
      <c r="AW95" s="412">
        <f t="shared" si="68"/>
        <v>1</v>
      </c>
      <c r="AX95" s="409">
        <f t="shared" si="69"/>
        <v>78</v>
      </c>
      <c r="AY95" s="412">
        <f t="shared" si="70"/>
        <v>0</v>
      </c>
      <c r="AZ95" s="409">
        <f t="shared" si="71"/>
        <v>0</v>
      </c>
      <c r="BA95" s="412">
        <f t="shared" si="72"/>
        <v>1</v>
      </c>
      <c r="BB95" s="409">
        <f t="shared" si="73"/>
        <v>78</v>
      </c>
      <c r="BC95" s="550">
        <v>0</v>
      </c>
      <c r="BD95" s="571">
        <v>1</v>
      </c>
      <c r="BE95" s="413">
        <f t="shared" si="74"/>
        <v>78</v>
      </c>
      <c r="BF95" s="414">
        <f t="shared" si="75"/>
        <v>0</v>
      </c>
      <c r="BG95" s="515">
        <v>1</v>
      </c>
      <c r="BH95" s="550" t="s">
        <v>91</v>
      </c>
      <c r="BI95" s="412">
        <f t="shared" si="76"/>
        <v>1</v>
      </c>
      <c r="BJ95" s="409">
        <f t="shared" si="77"/>
        <v>78</v>
      </c>
      <c r="BK95" s="414">
        <f t="shared" si="78"/>
        <v>0</v>
      </c>
      <c r="BL95" s="571">
        <v>1</v>
      </c>
      <c r="BM95" s="409">
        <f t="shared" si="79"/>
        <v>78</v>
      </c>
      <c r="BN95" s="515">
        <v>0</v>
      </c>
      <c r="BO95" s="412">
        <f t="shared" si="80"/>
        <v>0</v>
      </c>
      <c r="BP95" s="414">
        <f t="shared" si="81"/>
        <v>0.78</v>
      </c>
      <c r="BQ95" s="557">
        <v>0</v>
      </c>
      <c r="BR95" s="589"/>
      <c r="BS95" s="594">
        <v>42048</v>
      </c>
      <c r="BT95" s="415">
        <f t="shared" si="90"/>
        <v>42413</v>
      </c>
      <c r="BU95" s="515">
        <v>18</v>
      </c>
      <c r="BV95" s="515">
        <v>3</v>
      </c>
      <c r="BW95" s="416">
        <f t="shared" si="91"/>
        <v>0</v>
      </c>
      <c r="BX95" s="417">
        <f t="shared" si="84"/>
        <v>1</v>
      </c>
      <c r="BY95" s="409">
        <f t="shared" si="85"/>
        <v>78</v>
      </c>
      <c r="BZ95" s="446">
        <f t="shared" si="92"/>
        <v>0</v>
      </c>
      <c r="CA95" s="542"/>
      <c r="CB95" s="557">
        <v>1</v>
      </c>
      <c r="CC95" s="451">
        <f t="shared" si="87"/>
        <v>78</v>
      </c>
      <c r="CD95" s="542">
        <v>1</v>
      </c>
      <c r="CE95" s="418" t="str">
        <f t="shared" si="88"/>
        <v>Excellent coverage</v>
      </c>
      <c r="CF95" s="550">
        <v>0</v>
      </c>
      <c r="CG95" s="551" t="s">
        <v>65</v>
      </c>
      <c r="CH95" s="602"/>
    </row>
    <row r="96" spans="2:86" s="40" customFormat="1" ht="30.75" customHeight="1" x14ac:dyDescent="0.25">
      <c r="B96" s="512" t="s">
        <v>110</v>
      </c>
      <c r="C96" s="517" t="s">
        <v>809</v>
      </c>
      <c r="D96" s="514" t="s">
        <v>264</v>
      </c>
      <c r="E96" s="517" t="s">
        <v>810</v>
      </c>
      <c r="F96" s="514">
        <v>96.341520000000003</v>
      </c>
      <c r="G96" s="514">
        <v>25.655280000000001</v>
      </c>
      <c r="H96" s="514" t="s">
        <v>467</v>
      </c>
      <c r="I96" s="514" t="s">
        <v>218</v>
      </c>
      <c r="J96" s="518">
        <v>58</v>
      </c>
      <c r="K96" s="518">
        <v>224</v>
      </c>
      <c r="L96" s="518">
        <v>224</v>
      </c>
      <c r="M96" s="405" t="str">
        <f t="shared" si="53"/>
        <v>2. Medium</v>
      </c>
      <c r="N96" s="519"/>
      <c r="O96" s="533" t="s">
        <v>308</v>
      </c>
      <c r="P96" s="439" t="str">
        <f t="shared" si="54"/>
        <v>Not covered</v>
      </c>
      <c r="Q96" s="534"/>
      <c r="R96" s="514"/>
      <c r="S96" s="535"/>
      <c r="T96" s="536" t="s">
        <v>840</v>
      </c>
      <c r="U96" s="436" t="str">
        <f t="shared" si="55"/>
        <v>Documented</v>
      </c>
      <c r="V96" s="544">
        <v>0</v>
      </c>
      <c r="W96" s="518">
        <v>0</v>
      </c>
      <c r="X96" s="545" t="s">
        <v>19</v>
      </c>
      <c r="Y96" s="544">
        <v>2</v>
      </c>
      <c r="Z96" s="518">
        <v>0</v>
      </c>
      <c r="AA96" s="545">
        <v>12960</v>
      </c>
      <c r="AB96" s="558">
        <v>0</v>
      </c>
      <c r="AC96" s="559">
        <v>0</v>
      </c>
      <c r="AD96" s="443">
        <f t="shared" si="56"/>
        <v>1</v>
      </c>
      <c r="AE96" s="407">
        <f>AD96*L96</f>
        <v>224</v>
      </c>
      <c r="AF96" s="408">
        <f t="shared" si="58"/>
        <v>1</v>
      </c>
      <c r="AG96" s="409">
        <f t="shared" si="59"/>
        <v>224</v>
      </c>
      <c r="AH96" s="406">
        <f t="shared" si="60"/>
        <v>1</v>
      </c>
      <c r="AI96" s="409">
        <f t="shared" si="61"/>
        <v>224</v>
      </c>
      <c r="AJ96" s="410" t="str">
        <f t="shared" si="62"/>
        <v>80-100%</v>
      </c>
      <c r="AK96" s="406">
        <f t="shared" si="63"/>
        <v>0</v>
      </c>
      <c r="AL96" s="411">
        <f t="shared" si="64"/>
        <v>0</v>
      </c>
      <c r="AM96" s="409">
        <f t="shared" si="65"/>
        <v>0</v>
      </c>
      <c r="AN96" s="409">
        <f t="shared" si="66"/>
        <v>0</v>
      </c>
      <c r="AO96" s="409">
        <f t="shared" si="67"/>
        <v>0</v>
      </c>
      <c r="AP96" s="569">
        <v>1</v>
      </c>
      <c r="AQ96" s="567">
        <f t="shared" si="89"/>
        <v>224</v>
      </c>
      <c r="AR96" s="551"/>
      <c r="AS96" s="544">
        <v>0</v>
      </c>
      <c r="AT96" s="518">
        <v>0</v>
      </c>
      <c r="AU96" s="518">
        <v>6</v>
      </c>
      <c r="AV96" s="518" t="s">
        <v>91</v>
      </c>
      <c r="AW96" s="412">
        <f t="shared" si="68"/>
        <v>0.5357142857142857</v>
      </c>
      <c r="AX96" s="409">
        <f t="shared" si="69"/>
        <v>120</v>
      </c>
      <c r="AY96" s="412">
        <f t="shared" si="70"/>
        <v>0</v>
      </c>
      <c r="AZ96" s="409">
        <f t="shared" si="71"/>
        <v>0</v>
      </c>
      <c r="BA96" s="412">
        <f t="shared" si="72"/>
        <v>0.5357142857142857</v>
      </c>
      <c r="BB96" s="409">
        <f t="shared" si="73"/>
        <v>120</v>
      </c>
      <c r="BC96" s="579">
        <v>0</v>
      </c>
      <c r="BD96" s="569">
        <v>0.54</v>
      </c>
      <c r="BE96" s="413">
        <f t="shared" si="74"/>
        <v>120.96000000000001</v>
      </c>
      <c r="BF96" s="414">
        <f t="shared" si="75"/>
        <v>5.1999999999999993</v>
      </c>
      <c r="BG96" s="518">
        <v>1</v>
      </c>
      <c r="BH96" s="518" t="s">
        <v>91</v>
      </c>
      <c r="BI96" s="412">
        <f t="shared" si="76"/>
        <v>0.44642857142857145</v>
      </c>
      <c r="BJ96" s="409">
        <f t="shared" si="77"/>
        <v>100</v>
      </c>
      <c r="BK96" s="414">
        <f t="shared" si="78"/>
        <v>1.2400000000000002</v>
      </c>
      <c r="BL96" s="580">
        <v>0.45</v>
      </c>
      <c r="BM96" s="409">
        <f t="shared" si="79"/>
        <v>100.8</v>
      </c>
      <c r="BN96" s="518">
        <v>0</v>
      </c>
      <c r="BO96" s="412">
        <f t="shared" si="80"/>
        <v>0</v>
      </c>
      <c r="BP96" s="414">
        <f t="shared" si="81"/>
        <v>2.2400000000000002</v>
      </c>
      <c r="BQ96" s="559">
        <v>0</v>
      </c>
      <c r="BR96" s="590"/>
      <c r="BS96" s="595"/>
      <c r="BT96" s="415" t="str">
        <f t="shared" si="90"/>
        <v>To be realised</v>
      </c>
      <c r="BU96" s="579">
        <v>0</v>
      </c>
      <c r="BV96" s="579"/>
      <c r="BW96" s="416">
        <f t="shared" si="91"/>
        <v>58</v>
      </c>
      <c r="BX96" s="417">
        <f t="shared" si="84"/>
        <v>0</v>
      </c>
      <c r="BY96" s="409">
        <f t="shared" si="85"/>
        <v>0</v>
      </c>
      <c r="BZ96" s="446" t="str">
        <f t="shared" si="92"/>
        <v>Column BN to be completed</v>
      </c>
      <c r="CA96" s="597"/>
      <c r="CB96" s="559">
        <v>0</v>
      </c>
      <c r="CC96" s="451">
        <f t="shared" si="87"/>
        <v>0</v>
      </c>
      <c r="CD96" s="598">
        <v>0</v>
      </c>
      <c r="CE96" s="418" t="str">
        <f t="shared" si="88"/>
        <v>No coverage</v>
      </c>
      <c r="CF96" s="550">
        <v>0</v>
      </c>
      <c r="CG96" s="607" t="s">
        <v>301</v>
      </c>
      <c r="CH96" s="604"/>
    </row>
    <row r="97" spans="2:86" s="40" customFormat="1" ht="30.75" customHeight="1" x14ac:dyDescent="0.2">
      <c r="B97" s="512" t="s">
        <v>107</v>
      </c>
      <c r="C97" s="513" t="s">
        <v>814</v>
      </c>
      <c r="D97" s="514" t="s">
        <v>322</v>
      </c>
      <c r="E97" s="513" t="s">
        <v>815</v>
      </c>
      <c r="F97" s="514">
        <v>98.356405555555497</v>
      </c>
      <c r="G97" s="514">
        <v>25.645869444444401</v>
      </c>
      <c r="H97" s="514" t="s">
        <v>467</v>
      </c>
      <c r="I97" s="514" t="s">
        <v>218</v>
      </c>
      <c r="J97" s="515">
        <v>30</v>
      </c>
      <c r="K97" s="515">
        <v>165</v>
      </c>
      <c r="L97" s="515">
        <v>165</v>
      </c>
      <c r="M97" s="405" t="str">
        <f t="shared" si="53"/>
        <v>1. Small</v>
      </c>
      <c r="N97" s="516" t="s">
        <v>235</v>
      </c>
      <c r="O97" s="530" t="s">
        <v>235</v>
      </c>
      <c r="P97" s="439" t="str">
        <f t="shared" si="54"/>
        <v>Covered</v>
      </c>
      <c r="Q97" s="531">
        <v>42369</v>
      </c>
      <c r="R97" s="532"/>
      <c r="S97" s="531"/>
      <c r="T97" s="516" t="s">
        <v>260</v>
      </c>
      <c r="U97" s="436" t="str">
        <f t="shared" si="55"/>
        <v>Documented</v>
      </c>
      <c r="V97" s="542">
        <v>0</v>
      </c>
      <c r="W97" s="515">
        <v>0</v>
      </c>
      <c r="X97" s="543" t="s">
        <v>19</v>
      </c>
      <c r="Y97" s="542">
        <v>0</v>
      </c>
      <c r="Z97" s="550">
        <v>0</v>
      </c>
      <c r="AA97" s="551">
        <v>3200</v>
      </c>
      <c r="AB97" s="556">
        <v>0</v>
      </c>
      <c r="AC97" s="557">
        <v>1</v>
      </c>
      <c r="AD97" s="443">
        <f t="shared" si="56"/>
        <v>1</v>
      </c>
      <c r="AE97" s="407">
        <f t="shared" si="57"/>
        <v>165</v>
      </c>
      <c r="AF97" s="408">
        <f t="shared" si="58"/>
        <v>1</v>
      </c>
      <c r="AG97" s="409">
        <f t="shared" si="59"/>
        <v>165</v>
      </c>
      <c r="AH97" s="406">
        <f t="shared" si="60"/>
        <v>1</v>
      </c>
      <c r="AI97" s="409">
        <f t="shared" si="61"/>
        <v>165</v>
      </c>
      <c r="AJ97" s="410" t="str">
        <f t="shared" si="62"/>
        <v>80-100%</v>
      </c>
      <c r="AK97" s="406">
        <f t="shared" si="63"/>
        <v>0</v>
      </c>
      <c r="AL97" s="411">
        <f t="shared" si="64"/>
        <v>0</v>
      </c>
      <c r="AM97" s="409">
        <f t="shared" si="65"/>
        <v>0.41249999999999998</v>
      </c>
      <c r="AN97" s="409">
        <f t="shared" si="66"/>
        <v>30</v>
      </c>
      <c r="AO97" s="409">
        <f t="shared" si="67"/>
        <v>0</v>
      </c>
      <c r="AP97" s="566">
        <v>1</v>
      </c>
      <c r="AQ97" s="567">
        <f t="shared" si="89"/>
        <v>165</v>
      </c>
      <c r="AR97" s="551" t="s">
        <v>823</v>
      </c>
      <c r="AS97" s="552">
        <v>0</v>
      </c>
      <c r="AT97" s="515">
        <v>4</v>
      </c>
      <c r="AU97" s="515">
        <v>0</v>
      </c>
      <c r="AV97" s="515" t="s">
        <v>299</v>
      </c>
      <c r="AW97" s="412">
        <f t="shared" si="68"/>
        <v>0.48484848484848486</v>
      </c>
      <c r="AX97" s="409">
        <f t="shared" si="69"/>
        <v>80</v>
      </c>
      <c r="AY97" s="412">
        <f t="shared" si="70"/>
        <v>0.48484848484848486</v>
      </c>
      <c r="AZ97" s="409">
        <f t="shared" si="71"/>
        <v>80</v>
      </c>
      <c r="BA97" s="412">
        <f t="shared" si="72"/>
        <v>0</v>
      </c>
      <c r="BB97" s="409">
        <f t="shared" si="73"/>
        <v>0</v>
      </c>
      <c r="BC97" s="550">
        <v>0</v>
      </c>
      <c r="BD97" s="571">
        <v>0.48</v>
      </c>
      <c r="BE97" s="413">
        <f t="shared" si="74"/>
        <v>79.2</v>
      </c>
      <c r="BF97" s="414">
        <f t="shared" si="75"/>
        <v>8.25</v>
      </c>
      <c r="BG97" s="515">
        <v>0</v>
      </c>
      <c r="BH97" s="550" t="s">
        <v>91</v>
      </c>
      <c r="BI97" s="412">
        <f t="shared" si="76"/>
        <v>0</v>
      </c>
      <c r="BJ97" s="409">
        <f t="shared" si="77"/>
        <v>0</v>
      </c>
      <c r="BK97" s="414">
        <f t="shared" si="78"/>
        <v>1.65</v>
      </c>
      <c r="BL97" s="571">
        <v>0</v>
      </c>
      <c r="BM97" s="409">
        <f t="shared" si="79"/>
        <v>0</v>
      </c>
      <c r="BN97" s="515">
        <v>0</v>
      </c>
      <c r="BO97" s="412">
        <f t="shared" si="80"/>
        <v>0</v>
      </c>
      <c r="BP97" s="414">
        <f t="shared" si="81"/>
        <v>1.65</v>
      </c>
      <c r="BQ97" s="557">
        <v>0</v>
      </c>
      <c r="BR97" s="589"/>
      <c r="BS97" s="594">
        <v>41780</v>
      </c>
      <c r="BT97" s="415" t="str">
        <f t="shared" si="90"/>
        <v>To be realised</v>
      </c>
      <c r="BU97" s="515">
        <v>30</v>
      </c>
      <c r="BV97" s="515">
        <v>10</v>
      </c>
      <c r="BW97" s="416">
        <f t="shared" si="91"/>
        <v>30</v>
      </c>
      <c r="BX97" s="417">
        <f t="shared" si="84"/>
        <v>0</v>
      </c>
      <c r="BY97" s="409">
        <f t="shared" si="85"/>
        <v>0</v>
      </c>
      <c r="BZ97" s="446">
        <f t="shared" si="92"/>
        <v>2</v>
      </c>
      <c r="CA97" s="542"/>
      <c r="CB97" s="561">
        <v>0</v>
      </c>
      <c r="CC97" s="451">
        <f t="shared" si="87"/>
        <v>0</v>
      </c>
      <c r="CD97" s="552">
        <v>0</v>
      </c>
      <c r="CE97" s="418" t="str">
        <f t="shared" si="88"/>
        <v>No coverage</v>
      </c>
      <c r="CF97" s="515">
        <v>0</v>
      </c>
      <c r="CG97" s="543" t="s">
        <v>66</v>
      </c>
      <c r="CH97" s="602"/>
    </row>
    <row r="98" spans="2:86" s="40" customFormat="1" ht="30.75" customHeight="1" x14ac:dyDescent="0.2">
      <c r="B98" s="512" t="s">
        <v>186</v>
      </c>
      <c r="C98" s="513" t="s">
        <v>573</v>
      </c>
      <c r="D98" s="514" t="s">
        <v>273</v>
      </c>
      <c r="E98" s="513" t="s">
        <v>320</v>
      </c>
      <c r="F98" s="514">
        <v>97.710989999999995</v>
      </c>
      <c r="G98" s="514">
        <v>24.181640000000002</v>
      </c>
      <c r="H98" s="514" t="s">
        <v>467</v>
      </c>
      <c r="I98" s="514" t="s">
        <v>218</v>
      </c>
      <c r="J98" s="520">
        <v>282</v>
      </c>
      <c r="K98" s="520">
        <v>1214</v>
      </c>
      <c r="L98" s="520">
        <v>1203</v>
      </c>
      <c r="M98" s="405" t="str">
        <f t="shared" si="53"/>
        <v>3. Large</v>
      </c>
      <c r="N98" s="516" t="s">
        <v>239</v>
      </c>
      <c r="O98" s="530" t="s">
        <v>657</v>
      </c>
      <c r="P98" s="439" t="str">
        <f t="shared" si="54"/>
        <v>Covered</v>
      </c>
      <c r="Q98" s="531">
        <v>42247</v>
      </c>
      <c r="R98" s="532"/>
      <c r="S98" s="531"/>
      <c r="T98" s="516" t="s">
        <v>260</v>
      </c>
      <c r="U98" s="436" t="str">
        <f t="shared" si="55"/>
        <v>Documented</v>
      </c>
      <c r="V98" s="542">
        <v>0</v>
      </c>
      <c r="W98" s="515">
        <v>0</v>
      </c>
      <c r="X98" s="543" t="s">
        <v>19</v>
      </c>
      <c r="Y98" s="542">
        <v>2</v>
      </c>
      <c r="Z98" s="550">
        <v>0</v>
      </c>
      <c r="AA98" s="551">
        <v>36000</v>
      </c>
      <c r="AB98" s="556">
        <v>0</v>
      </c>
      <c r="AC98" s="557">
        <v>0</v>
      </c>
      <c r="AD98" s="443">
        <f t="shared" si="56"/>
        <v>1</v>
      </c>
      <c r="AE98" s="407">
        <f t="shared" si="57"/>
        <v>1203</v>
      </c>
      <c r="AF98" s="408">
        <f t="shared" si="58"/>
        <v>1</v>
      </c>
      <c r="AG98" s="409">
        <f t="shared" si="59"/>
        <v>1203</v>
      </c>
      <c r="AH98" s="406">
        <f t="shared" si="60"/>
        <v>1</v>
      </c>
      <c r="AI98" s="409">
        <f t="shared" si="61"/>
        <v>1203</v>
      </c>
      <c r="AJ98" s="410" t="str">
        <f t="shared" si="62"/>
        <v>80-100%</v>
      </c>
      <c r="AK98" s="406">
        <f t="shared" si="63"/>
        <v>0</v>
      </c>
      <c r="AL98" s="411">
        <f t="shared" si="64"/>
        <v>0</v>
      </c>
      <c r="AM98" s="409">
        <f t="shared" si="65"/>
        <v>1.0074999999999998</v>
      </c>
      <c r="AN98" s="409">
        <f t="shared" si="66"/>
        <v>0</v>
      </c>
      <c r="AO98" s="409">
        <f t="shared" si="67"/>
        <v>0</v>
      </c>
      <c r="AP98" s="566">
        <v>1</v>
      </c>
      <c r="AQ98" s="567">
        <f t="shared" si="89"/>
        <v>1203</v>
      </c>
      <c r="AR98" s="551"/>
      <c r="AS98" s="552">
        <v>24</v>
      </c>
      <c r="AT98" s="515">
        <v>19</v>
      </c>
      <c r="AU98" s="515">
        <v>38</v>
      </c>
      <c r="AV98" s="515" t="s">
        <v>91</v>
      </c>
      <c r="AW98" s="412">
        <f t="shared" si="68"/>
        <v>0.94763092269326688</v>
      </c>
      <c r="AX98" s="409">
        <f t="shared" si="69"/>
        <v>1140</v>
      </c>
      <c r="AY98" s="412">
        <f t="shared" si="70"/>
        <v>0.31587697423108896</v>
      </c>
      <c r="AZ98" s="409">
        <f t="shared" si="71"/>
        <v>380</v>
      </c>
      <c r="BA98" s="412">
        <f t="shared" si="72"/>
        <v>0.63175394846217792</v>
      </c>
      <c r="BB98" s="409">
        <f t="shared" si="73"/>
        <v>760</v>
      </c>
      <c r="BC98" s="515">
        <v>6</v>
      </c>
      <c r="BD98" s="571">
        <v>1</v>
      </c>
      <c r="BE98" s="413">
        <f t="shared" si="74"/>
        <v>1203</v>
      </c>
      <c r="BF98" s="414">
        <f t="shared" si="75"/>
        <v>28.15</v>
      </c>
      <c r="BG98" s="515">
        <v>6</v>
      </c>
      <c r="BH98" s="550" t="s">
        <v>710</v>
      </c>
      <c r="BI98" s="412">
        <f t="shared" si="76"/>
        <v>0.49875311720698257</v>
      </c>
      <c r="BJ98" s="409">
        <f t="shared" si="77"/>
        <v>600</v>
      </c>
      <c r="BK98" s="414">
        <f t="shared" si="78"/>
        <v>6.1400000000000006</v>
      </c>
      <c r="BL98" s="571">
        <v>0.49</v>
      </c>
      <c r="BM98" s="409">
        <f t="shared" si="79"/>
        <v>589.47</v>
      </c>
      <c r="BN98" s="515">
        <v>19</v>
      </c>
      <c r="BO98" s="412">
        <f t="shared" si="80"/>
        <v>1</v>
      </c>
      <c r="BP98" s="414">
        <f t="shared" si="81"/>
        <v>0</v>
      </c>
      <c r="BQ98" s="557">
        <v>1</v>
      </c>
      <c r="BR98" s="589" t="s">
        <v>855</v>
      </c>
      <c r="BS98" s="594">
        <v>42055</v>
      </c>
      <c r="BT98" s="415">
        <f t="shared" si="90"/>
        <v>42420</v>
      </c>
      <c r="BU98" s="550">
        <v>285</v>
      </c>
      <c r="BV98" s="550">
        <v>2</v>
      </c>
      <c r="BW98" s="416">
        <f t="shared" si="91"/>
        <v>0</v>
      </c>
      <c r="BX98" s="417">
        <f t="shared" si="84"/>
        <v>1</v>
      </c>
      <c r="BY98" s="409">
        <f t="shared" si="85"/>
        <v>1203</v>
      </c>
      <c r="BZ98" s="446">
        <f t="shared" si="92"/>
        <v>0</v>
      </c>
      <c r="CA98" s="542"/>
      <c r="CB98" s="557">
        <v>1</v>
      </c>
      <c r="CC98" s="451">
        <f t="shared" si="87"/>
        <v>1203</v>
      </c>
      <c r="CD98" s="542">
        <v>2</v>
      </c>
      <c r="CE98" s="418" t="str">
        <f t="shared" si="88"/>
        <v>Good coverage</v>
      </c>
      <c r="CF98" s="550">
        <v>0</v>
      </c>
      <c r="CG98" s="551" t="s">
        <v>749</v>
      </c>
      <c r="CH98" s="602"/>
    </row>
    <row r="99" spans="2:86" s="40" customFormat="1" ht="30.75" customHeight="1" x14ac:dyDescent="0.2">
      <c r="B99" s="512" t="s">
        <v>186</v>
      </c>
      <c r="C99" s="513" t="s">
        <v>574</v>
      </c>
      <c r="D99" s="514" t="s">
        <v>273</v>
      </c>
      <c r="E99" s="513" t="s">
        <v>321</v>
      </c>
      <c r="F99" s="514">
        <v>97.710989999999995</v>
      </c>
      <c r="G99" s="514">
        <v>24.181640000000002</v>
      </c>
      <c r="H99" s="514" t="s">
        <v>467</v>
      </c>
      <c r="I99" s="514" t="s">
        <v>218</v>
      </c>
      <c r="J99" s="520">
        <v>134</v>
      </c>
      <c r="K99" s="520">
        <v>609</v>
      </c>
      <c r="L99" s="520">
        <v>595</v>
      </c>
      <c r="M99" s="405" t="str">
        <f t="shared" ref="M99:M130" si="93">IF(J99&gt;50,IF(J99&gt;250,IF(J99&gt;500,IF(J99&gt;1000,"5. Massive","4. Big"),"3. Large"),"2. Medium"),"1. Small")</f>
        <v>2. Medium</v>
      </c>
      <c r="N99" s="516" t="s">
        <v>235</v>
      </c>
      <c r="O99" s="530" t="s">
        <v>657</v>
      </c>
      <c r="P99" s="439" t="str">
        <f t="shared" si="54"/>
        <v>Covered</v>
      </c>
      <c r="Q99" s="531">
        <v>42247</v>
      </c>
      <c r="R99" s="532"/>
      <c r="S99" s="531"/>
      <c r="T99" s="516" t="s">
        <v>260</v>
      </c>
      <c r="U99" s="436" t="str">
        <f t="shared" si="55"/>
        <v>Documented</v>
      </c>
      <c r="V99" s="542">
        <v>0</v>
      </c>
      <c r="W99" s="515">
        <v>0</v>
      </c>
      <c r="X99" s="543" t="s">
        <v>19</v>
      </c>
      <c r="Y99" s="542">
        <v>1</v>
      </c>
      <c r="Z99" s="550">
        <v>0</v>
      </c>
      <c r="AA99" s="551">
        <v>13500</v>
      </c>
      <c r="AB99" s="556">
        <v>0</v>
      </c>
      <c r="AC99" s="557">
        <v>0</v>
      </c>
      <c r="AD99" s="443">
        <f t="shared" si="56"/>
        <v>1</v>
      </c>
      <c r="AE99" s="407">
        <f t="shared" si="57"/>
        <v>595</v>
      </c>
      <c r="AF99" s="408">
        <f t="shared" ref="AF99:AF130" si="94">IF(((Y99*400+Z99*500+(AA99/15))/L99)&gt;1,1,(Y99*400+Z99*500+(AA99/15))/L99)</f>
        <v>1</v>
      </c>
      <c r="AG99" s="409">
        <f t="shared" si="59"/>
        <v>595</v>
      </c>
      <c r="AH99" s="406">
        <f t="shared" ref="AH99:AH130" si="95">IF(AC99=0,AD99,IF(AC99&lt;AD99,AD99,AC99))</f>
        <v>1</v>
      </c>
      <c r="AI99" s="409">
        <f t="shared" si="61"/>
        <v>595</v>
      </c>
      <c r="AJ99" s="410" t="str">
        <f t="shared" ref="AJ99:AJ130" si="96">IF(AD99&gt;0.15,IF(AD99&gt;0.3,IF(AD99&gt;0.45,IF(AD99&gt;0.6,IF(AD99&gt;0.8,"80-100%","60-80%"),"45-60%"),"30-45%"),"15-30%"),"0-10%")</f>
        <v>80-100%</v>
      </c>
      <c r="AK99" s="406">
        <f t="shared" ref="AK99:AK130" si="97">IF((AD99-AF99)&lt; 0, 0, AD99-AF99)</f>
        <v>0</v>
      </c>
      <c r="AL99" s="411">
        <f t="shared" ref="AL99:AL130" si="98">AK99*L99</f>
        <v>0</v>
      </c>
      <c r="AM99" s="409">
        <f t="shared" ref="AM99:AM130" si="99">IF(L99/400-(Y99+Z99)&lt;0,0,L99/400-(Y99+Z99))</f>
        <v>0.48750000000000004</v>
      </c>
      <c r="AN99" s="409">
        <f t="shared" ref="AN99:AN130" si="100">AC99*J99</f>
        <v>0</v>
      </c>
      <c r="AO99" s="409">
        <f t="shared" si="67"/>
        <v>0</v>
      </c>
      <c r="AP99" s="566">
        <v>1</v>
      </c>
      <c r="AQ99" s="567">
        <f t="shared" si="89"/>
        <v>595</v>
      </c>
      <c r="AR99" s="551"/>
      <c r="AS99" s="552">
        <v>9</v>
      </c>
      <c r="AT99" s="515">
        <v>9</v>
      </c>
      <c r="AU99" s="515">
        <v>16</v>
      </c>
      <c r="AV99" s="515" t="s">
        <v>710</v>
      </c>
      <c r="AW99" s="412">
        <f t="shared" ref="AW99:AW130" si="101">IF((((AT99+AU99)*20)/L99)&gt;1,1,(((AT99+AU99)*20)/L99))</f>
        <v>0.84033613445378152</v>
      </c>
      <c r="AX99" s="409">
        <f t="shared" si="69"/>
        <v>500</v>
      </c>
      <c r="AY99" s="412">
        <f t="shared" ref="AY99:AY130" si="102">AW99-BA99</f>
        <v>0.30252100840336138</v>
      </c>
      <c r="AZ99" s="409">
        <f t="shared" si="71"/>
        <v>180.00000000000003</v>
      </c>
      <c r="BA99" s="412">
        <f t="shared" ref="BA99:BA130" si="103">IF(((AU99*20)/L99)&gt;1,1,((AU99*20)/L99))</f>
        <v>0.53781512605042014</v>
      </c>
      <c r="BB99" s="409">
        <f t="shared" si="73"/>
        <v>320</v>
      </c>
      <c r="BC99" s="550">
        <v>0</v>
      </c>
      <c r="BD99" s="571">
        <v>1</v>
      </c>
      <c r="BE99" s="413">
        <f t="shared" ref="BE99:BE130" si="104">BD99*L99</f>
        <v>595</v>
      </c>
      <c r="BF99" s="414">
        <f t="shared" si="75"/>
        <v>13.75</v>
      </c>
      <c r="BG99" s="515">
        <v>3</v>
      </c>
      <c r="BH99" s="550" t="s">
        <v>710</v>
      </c>
      <c r="BI99" s="412">
        <f t="shared" si="76"/>
        <v>0.50420168067226889</v>
      </c>
      <c r="BJ99" s="409">
        <f t="shared" si="77"/>
        <v>300</v>
      </c>
      <c r="BK99" s="414">
        <f t="shared" si="78"/>
        <v>3.09</v>
      </c>
      <c r="BL99" s="571">
        <v>0.49</v>
      </c>
      <c r="BM99" s="409">
        <f t="shared" si="79"/>
        <v>291.55</v>
      </c>
      <c r="BN99" s="515">
        <v>9</v>
      </c>
      <c r="BO99" s="412">
        <f t="shared" ref="BO99:BO130" si="105">IF((BN99*100/L99)&gt;1,1,(BN99*100/L99))</f>
        <v>1</v>
      </c>
      <c r="BP99" s="414">
        <f t="shared" ref="BP99:BP130" si="106">IF(K99/100-BN99&lt;0,0,K99/100-BN99)</f>
        <v>0</v>
      </c>
      <c r="BQ99" s="557">
        <v>1</v>
      </c>
      <c r="BR99" s="589" t="s">
        <v>855</v>
      </c>
      <c r="BS99" s="594">
        <v>42055</v>
      </c>
      <c r="BT99" s="415">
        <f t="shared" si="90"/>
        <v>42420</v>
      </c>
      <c r="BU99" s="550">
        <v>135</v>
      </c>
      <c r="BV99" s="550">
        <v>2</v>
      </c>
      <c r="BW99" s="416">
        <f t="shared" si="91"/>
        <v>0</v>
      </c>
      <c r="BX99" s="417">
        <f t="shared" ref="BX99:BX130" si="107">IF(BW99=0,1,(J99-BW99)/J99)</f>
        <v>1</v>
      </c>
      <c r="BY99" s="409">
        <f t="shared" ref="BY99:BY130" si="108">BX99*L99</f>
        <v>595</v>
      </c>
      <c r="BZ99" s="446">
        <f t="shared" si="92"/>
        <v>0</v>
      </c>
      <c r="CA99" s="542"/>
      <c r="CB99" s="557">
        <v>1</v>
      </c>
      <c r="CC99" s="451">
        <f t="shared" si="87"/>
        <v>595</v>
      </c>
      <c r="CD99" s="542">
        <v>1</v>
      </c>
      <c r="CE99" s="418" t="str">
        <f t="shared" si="88"/>
        <v>Good coverage</v>
      </c>
      <c r="CF99" s="550">
        <v>0</v>
      </c>
      <c r="CG99" s="551" t="s">
        <v>749</v>
      </c>
      <c r="CH99" s="602"/>
    </row>
    <row r="100" spans="2:86" s="40" customFormat="1" ht="30.75" customHeight="1" x14ac:dyDescent="0.2">
      <c r="B100" s="512" t="s">
        <v>188</v>
      </c>
      <c r="C100" s="513" t="s">
        <v>584</v>
      </c>
      <c r="D100" s="514" t="s">
        <v>267</v>
      </c>
      <c r="E100" s="513" t="s">
        <v>766</v>
      </c>
      <c r="F100" s="514">
        <v>97.344350000000006</v>
      </c>
      <c r="G100" s="514">
        <v>24.25067</v>
      </c>
      <c r="H100" s="514" t="s">
        <v>478</v>
      </c>
      <c r="I100" s="514" t="s">
        <v>218</v>
      </c>
      <c r="J100" s="515">
        <v>394</v>
      </c>
      <c r="K100" s="515">
        <v>1504</v>
      </c>
      <c r="L100" s="515">
        <v>1504</v>
      </c>
      <c r="M100" s="405" t="str">
        <f t="shared" si="93"/>
        <v>3. Large</v>
      </c>
      <c r="N100" s="516"/>
      <c r="O100" s="530" t="s">
        <v>657</v>
      </c>
      <c r="P100" s="439" t="str">
        <f t="shared" si="54"/>
        <v>Covered</v>
      </c>
      <c r="Q100" s="531">
        <v>42247</v>
      </c>
      <c r="R100" s="532"/>
      <c r="S100" s="531"/>
      <c r="T100" s="516" t="s">
        <v>260</v>
      </c>
      <c r="U100" s="436" t="str">
        <f t="shared" si="55"/>
        <v>Documented</v>
      </c>
      <c r="V100" s="542">
        <v>0</v>
      </c>
      <c r="W100" s="515">
        <v>0</v>
      </c>
      <c r="X100" s="543" t="s">
        <v>19</v>
      </c>
      <c r="Y100" s="542">
        <v>150</v>
      </c>
      <c r="Z100" s="550">
        <v>63</v>
      </c>
      <c r="AA100" s="551">
        <v>0</v>
      </c>
      <c r="AB100" s="556">
        <v>0</v>
      </c>
      <c r="AC100" s="557">
        <v>0</v>
      </c>
      <c r="AD100" s="443">
        <f t="shared" si="56"/>
        <v>1</v>
      </c>
      <c r="AE100" s="407">
        <f t="shared" si="57"/>
        <v>1504</v>
      </c>
      <c r="AF100" s="408">
        <f t="shared" si="94"/>
        <v>1</v>
      </c>
      <c r="AG100" s="409">
        <f t="shared" si="59"/>
        <v>1504</v>
      </c>
      <c r="AH100" s="406">
        <f t="shared" si="95"/>
        <v>1</v>
      </c>
      <c r="AI100" s="409">
        <f t="shared" si="61"/>
        <v>1504</v>
      </c>
      <c r="AJ100" s="410" t="str">
        <f t="shared" si="96"/>
        <v>80-100%</v>
      </c>
      <c r="AK100" s="406">
        <f t="shared" si="97"/>
        <v>0</v>
      </c>
      <c r="AL100" s="411">
        <f t="shared" si="98"/>
        <v>0</v>
      </c>
      <c r="AM100" s="409">
        <f t="shared" si="99"/>
        <v>0</v>
      </c>
      <c r="AN100" s="409">
        <f t="shared" si="100"/>
        <v>0</v>
      </c>
      <c r="AO100" s="409">
        <f t="shared" si="67"/>
        <v>0</v>
      </c>
      <c r="AP100" s="566">
        <v>1</v>
      </c>
      <c r="AQ100" s="567">
        <f t="shared" si="89"/>
        <v>1504</v>
      </c>
      <c r="AR100" s="551" t="s">
        <v>842</v>
      </c>
      <c r="AS100" s="552">
        <v>285</v>
      </c>
      <c r="AT100" s="515">
        <v>276</v>
      </c>
      <c r="AU100" s="515">
        <v>9</v>
      </c>
      <c r="AV100" s="515" t="s">
        <v>788</v>
      </c>
      <c r="AW100" s="412">
        <f t="shared" si="101"/>
        <v>1</v>
      </c>
      <c r="AX100" s="409">
        <f t="shared" si="69"/>
        <v>1504</v>
      </c>
      <c r="AY100" s="412">
        <f t="shared" si="102"/>
        <v>0.88031914893617025</v>
      </c>
      <c r="AZ100" s="409">
        <f t="shared" si="71"/>
        <v>1324</v>
      </c>
      <c r="BA100" s="412">
        <f t="shared" si="103"/>
        <v>0.11968085106382979</v>
      </c>
      <c r="BB100" s="409">
        <f t="shared" si="73"/>
        <v>180</v>
      </c>
      <c r="BC100" s="550">
        <v>0</v>
      </c>
      <c r="BD100" s="571">
        <v>1</v>
      </c>
      <c r="BE100" s="413">
        <f t="shared" si="104"/>
        <v>1504</v>
      </c>
      <c r="BF100" s="414">
        <f t="shared" si="75"/>
        <v>66.2</v>
      </c>
      <c r="BG100" s="515">
        <v>213</v>
      </c>
      <c r="BH100" s="550" t="s">
        <v>91</v>
      </c>
      <c r="BI100" s="412">
        <f t="shared" si="76"/>
        <v>1</v>
      </c>
      <c r="BJ100" s="409">
        <f t="shared" si="77"/>
        <v>1504</v>
      </c>
      <c r="BK100" s="414">
        <f t="shared" si="78"/>
        <v>0</v>
      </c>
      <c r="BL100" s="571">
        <v>1</v>
      </c>
      <c r="BM100" s="409">
        <f t="shared" si="79"/>
        <v>1504</v>
      </c>
      <c r="BN100" s="515">
        <v>0</v>
      </c>
      <c r="BO100" s="412">
        <f t="shared" si="105"/>
        <v>0</v>
      </c>
      <c r="BP100" s="414">
        <f t="shared" si="106"/>
        <v>15.04</v>
      </c>
      <c r="BQ100" s="557">
        <v>0</v>
      </c>
      <c r="BR100" s="589"/>
      <c r="BS100" s="594">
        <v>41992</v>
      </c>
      <c r="BT100" s="415">
        <f t="shared" si="90"/>
        <v>42357</v>
      </c>
      <c r="BU100" s="550">
        <v>334</v>
      </c>
      <c r="BV100" s="550">
        <v>0</v>
      </c>
      <c r="BW100" s="416">
        <f t="shared" si="91"/>
        <v>60</v>
      </c>
      <c r="BX100" s="417">
        <f t="shared" si="107"/>
        <v>0.84771573604060912</v>
      </c>
      <c r="BY100" s="409">
        <f t="shared" si="108"/>
        <v>1274.9644670050761</v>
      </c>
      <c r="BZ100" s="446">
        <f t="shared" si="92"/>
        <v>4</v>
      </c>
      <c r="CA100" s="542"/>
      <c r="CB100" s="557">
        <v>1</v>
      </c>
      <c r="CC100" s="451">
        <f t="shared" si="87"/>
        <v>1504</v>
      </c>
      <c r="CD100" s="542">
        <v>4</v>
      </c>
      <c r="CE100" s="418" t="str">
        <f t="shared" si="88"/>
        <v>Excellent coverage</v>
      </c>
      <c r="CF100" s="550">
        <v>0</v>
      </c>
      <c r="CG100" s="551" t="s">
        <v>749</v>
      </c>
      <c r="CH100" s="602"/>
    </row>
    <row r="101" spans="2:86" s="40" customFormat="1" ht="30.75" customHeight="1" x14ac:dyDescent="0.2">
      <c r="B101" s="512" t="s">
        <v>180</v>
      </c>
      <c r="C101" s="513" t="s">
        <v>737</v>
      </c>
      <c r="D101" s="514" t="s">
        <v>267</v>
      </c>
      <c r="E101" s="513" t="s">
        <v>767</v>
      </c>
      <c r="F101" s="514">
        <v>97.228769999999997</v>
      </c>
      <c r="G101" s="514">
        <v>24.26502</v>
      </c>
      <c r="H101" s="514" t="s">
        <v>478</v>
      </c>
      <c r="I101" s="514" t="s">
        <v>218</v>
      </c>
      <c r="J101" s="515">
        <v>195</v>
      </c>
      <c r="K101" s="515">
        <v>926</v>
      </c>
      <c r="L101" s="515">
        <v>926</v>
      </c>
      <c r="M101" s="405" t="str">
        <f t="shared" si="93"/>
        <v>2. Medium</v>
      </c>
      <c r="N101" s="516"/>
      <c r="O101" s="530" t="s">
        <v>657</v>
      </c>
      <c r="P101" s="439" t="str">
        <f t="shared" si="54"/>
        <v>Covered</v>
      </c>
      <c r="Q101" s="531">
        <v>42247</v>
      </c>
      <c r="R101" s="532"/>
      <c r="S101" s="531"/>
      <c r="T101" s="516" t="s">
        <v>260</v>
      </c>
      <c r="U101" s="436" t="str">
        <f t="shared" si="55"/>
        <v>Documented</v>
      </c>
      <c r="V101" s="542">
        <v>0</v>
      </c>
      <c r="W101" s="515">
        <v>0</v>
      </c>
      <c r="X101" s="543" t="s">
        <v>19</v>
      </c>
      <c r="Y101" s="542">
        <v>40</v>
      </c>
      <c r="Z101" s="550">
        <v>105</v>
      </c>
      <c r="AA101" s="551">
        <v>0</v>
      </c>
      <c r="AB101" s="556">
        <v>0</v>
      </c>
      <c r="AC101" s="557">
        <v>0</v>
      </c>
      <c r="AD101" s="443">
        <f t="shared" si="56"/>
        <v>1</v>
      </c>
      <c r="AE101" s="407">
        <f t="shared" si="57"/>
        <v>926</v>
      </c>
      <c r="AF101" s="408">
        <f t="shared" si="94"/>
        <v>1</v>
      </c>
      <c r="AG101" s="409">
        <f t="shared" si="59"/>
        <v>926</v>
      </c>
      <c r="AH101" s="406">
        <f t="shared" si="95"/>
        <v>1</v>
      </c>
      <c r="AI101" s="409">
        <f t="shared" si="61"/>
        <v>926</v>
      </c>
      <c r="AJ101" s="410" t="str">
        <f t="shared" si="96"/>
        <v>80-100%</v>
      </c>
      <c r="AK101" s="406">
        <f t="shared" si="97"/>
        <v>0</v>
      </c>
      <c r="AL101" s="411">
        <f t="shared" si="98"/>
        <v>0</v>
      </c>
      <c r="AM101" s="409">
        <f t="shared" si="99"/>
        <v>0</v>
      </c>
      <c r="AN101" s="409">
        <f t="shared" si="100"/>
        <v>0</v>
      </c>
      <c r="AO101" s="409">
        <f t="shared" si="67"/>
        <v>0</v>
      </c>
      <c r="AP101" s="566">
        <v>1</v>
      </c>
      <c r="AQ101" s="567">
        <f t="shared" si="89"/>
        <v>926</v>
      </c>
      <c r="AR101" s="551" t="s">
        <v>842</v>
      </c>
      <c r="AS101" s="552">
        <v>112</v>
      </c>
      <c r="AT101" s="515">
        <v>100</v>
      </c>
      <c r="AU101" s="515">
        <v>12</v>
      </c>
      <c r="AV101" s="515" t="s">
        <v>788</v>
      </c>
      <c r="AW101" s="412">
        <f t="shared" si="101"/>
        <v>1</v>
      </c>
      <c r="AX101" s="409">
        <f t="shared" si="69"/>
        <v>926</v>
      </c>
      <c r="AY101" s="412">
        <f t="shared" si="102"/>
        <v>0.74082073434125273</v>
      </c>
      <c r="AZ101" s="409">
        <f t="shared" si="71"/>
        <v>686</v>
      </c>
      <c r="BA101" s="412">
        <f t="shared" si="103"/>
        <v>0.25917926565874733</v>
      </c>
      <c r="BB101" s="409">
        <f t="shared" si="73"/>
        <v>240.00000000000003</v>
      </c>
      <c r="BC101" s="550">
        <v>0</v>
      </c>
      <c r="BD101" s="571">
        <v>1</v>
      </c>
      <c r="BE101" s="413">
        <f t="shared" si="104"/>
        <v>926</v>
      </c>
      <c r="BF101" s="414">
        <f t="shared" si="75"/>
        <v>34.299999999999997</v>
      </c>
      <c r="BG101" s="515">
        <v>163</v>
      </c>
      <c r="BH101" s="550" t="s">
        <v>91</v>
      </c>
      <c r="BI101" s="412">
        <f t="shared" si="76"/>
        <v>1</v>
      </c>
      <c r="BJ101" s="409">
        <f t="shared" si="77"/>
        <v>926</v>
      </c>
      <c r="BK101" s="414">
        <f t="shared" si="78"/>
        <v>0</v>
      </c>
      <c r="BL101" s="571">
        <v>1</v>
      </c>
      <c r="BM101" s="409">
        <f t="shared" si="79"/>
        <v>926</v>
      </c>
      <c r="BN101" s="515">
        <v>0</v>
      </c>
      <c r="BO101" s="412">
        <f t="shared" si="105"/>
        <v>0</v>
      </c>
      <c r="BP101" s="414">
        <f t="shared" si="106"/>
        <v>9.26</v>
      </c>
      <c r="BQ101" s="557">
        <v>0</v>
      </c>
      <c r="BR101" s="589"/>
      <c r="BS101" s="594"/>
      <c r="BT101" s="415" t="str">
        <f t="shared" si="90"/>
        <v>To be realised</v>
      </c>
      <c r="BU101" s="550">
        <v>0</v>
      </c>
      <c r="BV101" s="550">
        <v>0</v>
      </c>
      <c r="BW101" s="416">
        <f t="shared" si="91"/>
        <v>195</v>
      </c>
      <c r="BX101" s="417">
        <f t="shared" si="107"/>
        <v>0</v>
      </c>
      <c r="BY101" s="409">
        <f t="shared" si="108"/>
        <v>0</v>
      </c>
      <c r="BZ101" s="446" t="str">
        <f t="shared" si="92"/>
        <v>Column BN to be completed</v>
      </c>
      <c r="CA101" s="542"/>
      <c r="CB101" s="557">
        <v>1</v>
      </c>
      <c r="CC101" s="451">
        <f t="shared" si="87"/>
        <v>926</v>
      </c>
      <c r="CD101" s="542">
        <v>4</v>
      </c>
      <c r="CE101" s="418" t="str">
        <f t="shared" si="88"/>
        <v>Excellent coverage</v>
      </c>
      <c r="CF101" s="550">
        <v>0</v>
      </c>
      <c r="CG101" s="551" t="s">
        <v>749</v>
      </c>
      <c r="CH101" s="602"/>
    </row>
    <row r="102" spans="2:86" s="40" customFormat="1" ht="30.75" customHeight="1" x14ac:dyDescent="0.25">
      <c r="B102" s="512" t="s">
        <v>180</v>
      </c>
      <c r="C102" s="513" t="s">
        <v>528</v>
      </c>
      <c r="D102" s="514" t="s">
        <v>267</v>
      </c>
      <c r="E102" s="513" t="s">
        <v>181</v>
      </c>
      <c r="F102" s="514">
        <v>97.252650000000003</v>
      </c>
      <c r="G102" s="514">
        <v>24.260466999999998</v>
      </c>
      <c r="H102" s="514" t="s">
        <v>467</v>
      </c>
      <c r="I102" s="514" t="s">
        <v>218</v>
      </c>
      <c r="J102" s="518">
        <v>13</v>
      </c>
      <c r="K102" s="518">
        <v>58</v>
      </c>
      <c r="L102" s="518">
        <v>58</v>
      </c>
      <c r="M102" s="405" t="str">
        <f t="shared" si="93"/>
        <v>1. Small</v>
      </c>
      <c r="N102" s="519" t="s">
        <v>239</v>
      </c>
      <c r="O102" s="533" t="s">
        <v>237</v>
      </c>
      <c r="P102" s="439" t="str">
        <f t="shared" si="54"/>
        <v>Covered</v>
      </c>
      <c r="Q102" s="534" t="s">
        <v>656</v>
      </c>
      <c r="R102" s="514"/>
      <c r="S102" s="534"/>
      <c r="T102" s="536" t="s">
        <v>260</v>
      </c>
      <c r="U102" s="436" t="str">
        <f t="shared" si="55"/>
        <v>Documented</v>
      </c>
      <c r="V102" s="544">
        <v>0</v>
      </c>
      <c r="W102" s="518">
        <v>0</v>
      </c>
      <c r="X102" s="545" t="s">
        <v>19</v>
      </c>
      <c r="Y102" s="544">
        <v>1</v>
      </c>
      <c r="Z102" s="518">
        <v>0</v>
      </c>
      <c r="AA102" s="545">
        <v>0</v>
      </c>
      <c r="AB102" s="558">
        <v>0</v>
      </c>
      <c r="AC102" s="559">
        <v>0</v>
      </c>
      <c r="AD102" s="443">
        <f t="shared" si="56"/>
        <v>1</v>
      </c>
      <c r="AE102" s="407">
        <f t="shared" si="57"/>
        <v>58</v>
      </c>
      <c r="AF102" s="408">
        <f t="shared" si="94"/>
        <v>1</v>
      </c>
      <c r="AG102" s="409">
        <f t="shared" si="59"/>
        <v>58</v>
      </c>
      <c r="AH102" s="406">
        <f t="shared" si="95"/>
        <v>1</v>
      </c>
      <c r="AI102" s="409">
        <f t="shared" si="61"/>
        <v>58</v>
      </c>
      <c r="AJ102" s="410" t="str">
        <f t="shared" si="96"/>
        <v>80-100%</v>
      </c>
      <c r="AK102" s="406">
        <f t="shared" si="97"/>
        <v>0</v>
      </c>
      <c r="AL102" s="411">
        <f t="shared" si="98"/>
        <v>0</v>
      </c>
      <c r="AM102" s="409">
        <f t="shared" si="99"/>
        <v>0</v>
      </c>
      <c r="AN102" s="409">
        <f t="shared" si="100"/>
        <v>0</v>
      </c>
      <c r="AO102" s="409">
        <f t="shared" si="67"/>
        <v>0</v>
      </c>
      <c r="AP102" s="569">
        <v>1</v>
      </c>
      <c r="AQ102" s="567">
        <f t="shared" si="89"/>
        <v>58</v>
      </c>
      <c r="AR102" s="559"/>
      <c r="AS102" s="544">
        <v>2</v>
      </c>
      <c r="AT102" s="518">
        <v>3</v>
      </c>
      <c r="AU102" s="518">
        <v>0</v>
      </c>
      <c r="AV102" s="518" t="s">
        <v>91</v>
      </c>
      <c r="AW102" s="412">
        <f t="shared" si="101"/>
        <v>1</v>
      </c>
      <c r="AX102" s="409">
        <f t="shared" si="69"/>
        <v>58</v>
      </c>
      <c r="AY102" s="412">
        <f t="shared" si="102"/>
        <v>1</v>
      </c>
      <c r="AZ102" s="409">
        <f t="shared" si="71"/>
        <v>58</v>
      </c>
      <c r="BA102" s="412">
        <f t="shared" si="103"/>
        <v>0</v>
      </c>
      <c r="BB102" s="409">
        <f t="shared" si="73"/>
        <v>0</v>
      </c>
      <c r="BC102" s="579">
        <v>0</v>
      </c>
      <c r="BD102" s="569">
        <v>1</v>
      </c>
      <c r="BE102" s="413">
        <f t="shared" si="104"/>
        <v>58</v>
      </c>
      <c r="BF102" s="414">
        <f t="shared" si="75"/>
        <v>2.9</v>
      </c>
      <c r="BG102" s="518">
        <v>0</v>
      </c>
      <c r="BH102" s="518" t="s">
        <v>91</v>
      </c>
      <c r="BI102" s="412">
        <f t="shared" si="76"/>
        <v>0</v>
      </c>
      <c r="BJ102" s="409">
        <f t="shared" si="77"/>
        <v>0</v>
      </c>
      <c r="BK102" s="414">
        <f t="shared" si="78"/>
        <v>0.57999999999999996</v>
      </c>
      <c r="BL102" s="580">
        <v>0</v>
      </c>
      <c r="BM102" s="409">
        <f t="shared" si="79"/>
        <v>0</v>
      </c>
      <c r="BN102" s="518">
        <v>1</v>
      </c>
      <c r="BO102" s="412">
        <f t="shared" si="105"/>
        <v>1</v>
      </c>
      <c r="BP102" s="414">
        <f t="shared" si="106"/>
        <v>0</v>
      </c>
      <c r="BQ102" s="559">
        <v>1</v>
      </c>
      <c r="BR102" s="590"/>
      <c r="BS102" s="595">
        <v>41771</v>
      </c>
      <c r="BT102" s="415" t="str">
        <f t="shared" si="90"/>
        <v>To be realised</v>
      </c>
      <c r="BU102" s="579">
        <v>13</v>
      </c>
      <c r="BV102" s="579">
        <v>6</v>
      </c>
      <c r="BW102" s="416">
        <f t="shared" si="91"/>
        <v>13</v>
      </c>
      <c r="BX102" s="417">
        <f t="shared" si="107"/>
        <v>0</v>
      </c>
      <c r="BY102" s="409">
        <f t="shared" si="108"/>
        <v>0</v>
      </c>
      <c r="BZ102" s="446">
        <f t="shared" si="92"/>
        <v>6</v>
      </c>
      <c r="CA102" s="598"/>
      <c r="CB102" s="559">
        <v>0.9</v>
      </c>
      <c r="CC102" s="451">
        <f t="shared" si="87"/>
        <v>52.2</v>
      </c>
      <c r="CD102" s="598">
        <v>0</v>
      </c>
      <c r="CE102" s="418" t="str">
        <f t="shared" si="88"/>
        <v>No coverage</v>
      </c>
      <c r="CF102" s="550">
        <v>0</v>
      </c>
      <c r="CG102" s="607" t="s">
        <v>66</v>
      </c>
      <c r="CH102" s="605"/>
    </row>
    <row r="103" spans="2:86" s="40" customFormat="1" ht="30.75" customHeight="1" x14ac:dyDescent="0.25">
      <c r="B103" s="512" t="s">
        <v>180</v>
      </c>
      <c r="C103" s="513" t="s">
        <v>529</v>
      </c>
      <c r="D103" s="514" t="s">
        <v>267</v>
      </c>
      <c r="E103" s="513" t="s">
        <v>282</v>
      </c>
      <c r="F103" s="514">
        <v>97.236919999999998</v>
      </c>
      <c r="G103" s="514">
        <v>24.24766</v>
      </c>
      <c r="H103" s="514" t="s">
        <v>467</v>
      </c>
      <c r="I103" s="514" t="s">
        <v>218</v>
      </c>
      <c r="J103" s="518">
        <v>45</v>
      </c>
      <c r="K103" s="518">
        <v>241</v>
      </c>
      <c r="L103" s="518">
        <v>236</v>
      </c>
      <c r="M103" s="405" t="str">
        <f t="shared" si="93"/>
        <v>1. Small</v>
      </c>
      <c r="N103" s="519" t="s">
        <v>239</v>
      </c>
      <c r="O103" s="533" t="s">
        <v>237</v>
      </c>
      <c r="P103" s="439" t="str">
        <f t="shared" si="54"/>
        <v>Covered</v>
      </c>
      <c r="Q103" s="534" t="s">
        <v>656</v>
      </c>
      <c r="R103" s="514"/>
      <c r="S103" s="534"/>
      <c r="T103" s="536" t="s">
        <v>260</v>
      </c>
      <c r="U103" s="436" t="str">
        <f t="shared" si="55"/>
        <v>Documented</v>
      </c>
      <c r="V103" s="544">
        <v>0</v>
      </c>
      <c r="W103" s="518">
        <v>0</v>
      </c>
      <c r="X103" s="545" t="s">
        <v>19</v>
      </c>
      <c r="Y103" s="544">
        <v>1</v>
      </c>
      <c r="Z103" s="518">
        <v>0</v>
      </c>
      <c r="AA103" s="545">
        <v>14400</v>
      </c>
      <c r="AB103" s="558">
        <v>7.0000000000000007E-2</v>
      </c>
      <c r="AC103" s="559">
        <v>0</v>
      </c>
      <c r="AD103" s="443">
        <f t="shared" si="56"/>
        <v>1</v>
      </c>
      <c r="AE103" s="407">
        <f t="shared" si="57"/>
        <v>236</v>
      </c>
      <c r="AF103" s="408">
        <f t="shared" si="94"/>
        <v>1</v>
      </c>
      <c r="AG103" s="409">
        <f t="shared" si="59"/>
        <v>236</v>
      </c>
      <c r="AH103" s="406">
        <f t="shared" si="95"/>
        <v>1</v>
      </c>
      <c r="AI103" s="409">
        <f t="shared" si="61"/>
        <v>236</v>
      </c>
      <c r="AJ103" s="410" t="str">
        <f t="shared" si="96"/>
        <v>80-100%</v>
      </c>
      <c r="AK103" s="406">
        <f t="shared" si="97"/>
        <v>0</v>
      </c>
      <c r="AL103" s="411">
        <f t="shared" si="98"/>
        <v>0</v>
      </c>
      <c r="AM103" s="409">
        <f t="shared" si="99"/>
        <v>0</v>
      </c>
      <c r="AN103" s="409">
        <f t="shared" si="100"/>
        <v>0</v>
      </c>
      <c r="AO103" s="409">
        <f t="shared" si="67"/>
        <v>16.520000000000003</v>
      </c>
      <c r="AP103" s="569">
        <v>1</v>
      </c>
      <c r="AQ103" s="567">
        <f t="shared" si="89"/>
        <v>236</v>
      </c>
      <c r="AR103" s="559"/>
      <c r="AS103" s="544">
        <v>24</v>
      </c>
      <c r="AT103" s="518">
        <v>2</v>
      </c>
      <c r="AU103" s="518">
        <v>7</v>
      </c>
      <c r="AV103" s="518" t="s">
        <v>298</v>
      </c>
      <c r="AW103" s="412">
        <f t="shared" si="101"/>
        <v>0.76271186440677963</v>
      </c>
      <c r="AX103" s="409">
        <f t="shared" si="69"/>
        <v>180</v>
      </c>
      <c r="AY103" s="412">
        <f t="shared" si="102"/>
        <v>0.16949152542372881</v>
      </c>
      <c r="AZ103" s="409">
        <f t="shared" si="71"/>
        <v>40</v>
      </c>
      <c r="BA103" s="412">
        <f t="shared" si="103"/>
        <v>0.59322033898305082</v>
      </c>
      <c r="BB103" s="409">
        <f t="shared" si="73"/>
        <v>140</v>
      </c>
      <c r="BC103" s="579">
        <v>0</v>
      </c>
      <c r="BD103" s="569">
        <v>0.76</v>
      </c>
      <c r="BE103" s="413">
        <f t="shared" si="104"/>
        <v>179.36</v>
      </c>
      <c r="BF103" s="414">
        <f t="shared" si="75"/>
        <v>4.8000000000000007</v>
      </c>
      <c r="BG103" s="518">
        <v>2</v>
      </c>
      <c r="BH103" s="518" t="s">
        <v>300</v>
      </c>
      <c r="BI103" s="412">
        <f t="shared" si="76"/>
        <v>0.84745762711864403</v>
      </c>
      <c r="BJ103" s="409">
        <f t="shared" si="77"/>
        <v>200</v>
      </c>
      <c r="BK103" s="414">
        <f t="shared" si="78"/>
        <v>0.41000000000000014</v>
      </c>
      <c r="BL103" s="580">
        <v>0.83</v>
      </c>
      <c r="BM103" s="409">
        <f t="shared" si="79"/>
        <v>195.88</v>
      </c>
      <c r="BN103" s="518">
        <v>4</v>
      </c>
      <c r="BO103" s="412">
        <f t="shared" si="105"/>
        <v>1</v>
      </c>
      <c r="BP103" s="414">
        <f t="shared" si="106"/>
        <v>0</v>
      </c>
      <c r="BQ103" s="559">
        <v>1</v>
      </c>
      <c r="BR103" s="590"/>
      <c r="BS103" s="595">
        <v>41828</v>
      </c>
      <c r="BT103" s="415">
        <f t="shared" si="90"/>
        <v>42193</v>
      </c>
      <c r="BU103" s="579">
        <v>46</v>
      </c>
      <c r="BV103" s="579">
        <v>6</v>
      </c>
      <c r="BW103" s="416">
        <f t="shared" si="91"/>
        <v>0</v>
      </c>
      <c r="BX103" s="417">
        <f t="shared" si="107"/>
        <v>1</v>
      </c>
      <c r="BY103" s="409">
        <f t="shared" si="108"/>
        <v>236</v>
      </c>
      <c r="BZ103" s="446">
        <f t="shared" si="92"/>
        <v>4</v>
      </c>
      <c r="CA103" s="598"/>
      <c r="CB103" s="559">
        <v>0.8</v>
      </c>
      <c r="CC103" s="451">
        <f t="shared" si="87"/>
        <v>188.8</v>
      </c>
      <c r="CD103" s="598">
        <v>1</v>
      </c>
      <c r="CE103" s="418" t="str">
        <f t="shared" si="88"/>
        <v>Excellent coverage</v>
      </c>
      <c r="CF103" s="550">
        <v>0</v>
      </c>
      <c r="CG103" s="607" t="s">
        <v>65</v>
      </c>
      <c r="CH103" s="605"/>
    </row>
    <row r="104" spans="2:86" s="40" customFormat="1" ht="30.75" customHeight="1" x14ac:dyDescent="0.25">
      <c r="B104" s="512" t="s">
        <v>180</v>
      </c>
      <c r="C104" s="513" t="s">
        <v>530</v>
      </c>
      <c r="D104" s="514" t="s">
        <v>267</v>
      </c>
      <c r="E104" s="513" t="s">
        <v>182</v>
      </c>
      <c r="F104" s="514">
        <v>97.241630000000001</v>
      </c>
      <c r="G104" s="514">
        <v>24.266110000000001</v>
      </c>
      <c r="H104" s="514" t="s">
        <v>467</v>
      </c>
      <c r="I104" s="514" t="s">
        <v>218</v>
      </c>
      <c r="J104" s="518">
        <v>91</v>
      </c>
      <c r="K104" s="518">
        <v>553</v>
      </c>
      <c r="L104" s="518">
        <v>511</v>
      </c>
      <c r="M104" s="405" t="str">
        <f t="shared" si="93"/>
        <v>2. Medium</v>
      </c>
      <c r="N104" s="519" t="s">
        <v>284</v>
      </c>
      <c r="O104" s="533" t="s">
        <v>237</v>
      </c>
      <c r="P104" s="439" t="str">
        <f t="shared" si="54"/>
        <v>Covered</v>
      </c>
      <c r="Q104" s="534" t="s">
        <v>656</v>
      </c>
      <c r="R104" s="514"/>
      <c r="S104" s="534"/>
      <c r="T104" s="536" t="s">
        <v>260</v>
      </c>
      <c r="U104" s="436" t="str">
        <f t="shared" si="55"/>
        <v>Documented</v>
      </c>
      <c r="V104" s="544">
        <v>0</v>
      </c>
      <c r="W104" s="518">
        <v>0</v>
      </c>
      <c r="X104" s="545" t="s">
        <v>19</v>
      </c>
      <c r="Y104" s="544">
        <v>3</v>
      </c>
      <c r="Z104" s="518">
        <v>0</v>
      </c>
      <c r="AA104" s="545">
        <v>13500</v>
      </c>
      <c r="AB104" s="558">
        <v>0.01</v>
      </c>
      <c r="AC104" s="559">
        <v>0</v>
      </c>
      <c r="AD104" s="443">
        <f t="shared" si="56"/>
        <v>1</v>
      </c>
      <c r="AE104" s="407">
        <f t="shared" si="57"/>
        <v>511</v>
      </c>
      <c r="AF104" s="408">
        <f t="shared" si="94"/>
        <v>1</v>
      </c>
      <c r="AG104" s="409">
        <f t="shared" si="59"/>
        <v>511</v>
      </c>
      <c r="AH104" s="406">
        <f t="shared" si="95"/>
        <v>1</v>
      </c>
      <c r="AI104" s="409">
        <f t="shared" si="61"/>
        <v>511</v>
      </c>
      <c r="AJ104" s="410" t="str">
        <f t="shared" si="96"/>
        <v>80-100%</v>
      </c>
      <c r="AK104" s="406">
        <f t="shared" si="97"/>
        <v>0</v>
      </c>
      <c r="AL104" s="411">
        <f t="shared" si="98"/>
        <v>0</v>
      </c>
      <c r="AM104" s="409">
        <f t="shared" si="99"/>
        <v>0</v>
      </c>
      <c r="AN104" s="409">
        <f t="shared" si="100"/>
        <v>0</v>
      </c>
      <c r="AO104" s="409">
        <f t="shared" si="67"/>
        <v>5.1100000000000003</v>
      </c>
      <c r="AP104" s="569">
        <v>1</v>
      </c>
      <c r="AQ104" s="567">
        <f t="shared" si="89"/>
        <v>511</v>
      </c>
      <c r="AR104" s="559"/>
      <c r="AS104" s="544">
        <v>12</v>
      </c>
      <c r="AT104" s="518">
        <v>8</v>
      </c>
      <c r="AU104" s="518">
        <v>14</v>
      </c>
      <c r="AV104" s="518" t="s">
        <v>298</v>
      </c>
      <c r="AW104" s="412">
        <f t="shared" si="101"/>
        <v>0.86105675146771032</v>
      </c>
      <c r="AX104" s="409">
        <f t="shared" si="69"/>
        <v>440</v>
      </c>
      <c r="AY104" s="412">
        <f t="shared" si="102"/>
        <v>0.3131115459882583</v>
      </c>
      <c r="AZ104" s="409">
        <f t="shared" si="71"/>
        <v>160</v>
      </c>
      <c r="BA104" s="412">
        <f t="shared" si="103"/>
        <v>0.54794520547945202</v>
      </c>
      <c r="BB104" s="409">
        <f t="shared" si="73"/>
        <v>280</v>
      </c>
      <c r="BC104" s="579">
        <v>0</v>
      </c>
      <c r="BD104" s="569">
        <v>0.86</v>
      </c>
      <c r="BE104" s="413">
        <f t="shared" si="104"/>
        <v>439.46</v>
      </c>
      <c r="BF104" s="414">
        <f t="shared" si="75"/>
        <v>11.55</v>
      </c>
      <c r="BG104" s="518">
        <v>4</v>
      </c>
      <c r="BH104" s="518" t="s">
        <v>299</v>
      </c>
      <c r="BI104" s="412">
        <f t="shared" si="76"/>
        <v>0.78277886497064575</v>
      </c>
      <c r="BJ104" s="409">
        <f t="shared" si="77"/>
        <v>400</v>
      </c>
      <c r="BK104" s="414">
        <f t="shared" si="78"/>
        <v>1.5300000000000002</v>
      </c>
      <c r="BL104" s="580">
        <v>0.72</v>
      </c>
      <c r="BM104" s="409">
        <f t="shared" si="79"/>
        <v>367.91999999999996</v>
      </c>
      <c r="BN104" s="518">
        <v>7</v>
      </c>
      <c r="BO104" s="412">
        <f t="shared" si="105"/>
        <v>1</v>
      </c>
      <c r="BP104" s="414">
        <f t="shared" si="106"/>
        <v>0</v>
      </c>
      <c r="BQ104" s="559">
        <v>1</v>
      </c>
      <c r="BR104" s="590" t="s">
        <v>855</v>
      </c>
      <c r="BS104" s="595">
        <v>41766</v>
      </c>
      <c r="BT104" s="415" t="str">
        <f t="shared" si="90"/>
        <v>To be realised</v>
      </c>
      <c r="BU104" s="579">
        <v>103</v>
      </c>
      <c r="BV104" s="579">
        <v>6</v>
      </c>
      <c r="BW104" s="416">
        <f t="shared" si="91"/>
        <v>91</v>
      </c>
      <c r="BX104" s="417">
        <f t="shared" si="107"/>
        <v>0</v>
      </c>
      <c r="BY104" s="409">
        <f t="shared" si="108"/>
        <v>0</v>
      </c>
      <c r="BZ104" s="446">
        <f t="shared" si="92"/>
        <v>6</v>
      </c>
      <c r="CA104" s="598"/>
      <c r="CB104" s="559">
        <v>0.8</v>
      </c>
      <c r="CC104" s="451">
        <f t="shared" si="87"/>
        <v>408.8</v>
      </c>
      <c r="CD104" s="598">
        <v>2</v>
      </c>
      <c r="CE104" s="418" t="str">
        <f t="shared" si="88"/>
        <v>Excellent coverage</v>
      </c>
      <c r="CF104" s="550">
        <v>0</v>
      </c>
      <c r="CG104" s="607" t="s">
        <v>301</v>
      </c>
      <c r="CH104" s="605"/>
    </row>
    <row r="105" spans="2:86" s="40" customFormat="1" ht="30.75" customHeight="1" x14ac:dyDescent="0.25">
      <c r="B105" s="512" t="s">
        <v>180</v>
      </c>
      <c r="C105" s="513" t="s">
        <v>531</v>
      </c>
      <c r="D105" s="514" t="s">
        <v>267</v>
      </c>
      <c r="E105" s="513" t="s">
        <v>479</v>
      </c>
      <c r="F105" s="514">
        <v>97.234200000000001</v>
      </c>
      <c r="G105" s="514">
        <v>24.253067000000001</v>
      </c>
      <c r="H105" s="514" t="s">
        <v>467</v>
      </c>
      <c r="I105" s="514" t="s">
        <v>218</v>
      </c>
      <c r="J105" s="518">
        <v>21</v>
      </c>
      <c r="K105" s="518">
        <v>96</v>
      </c>
      <c r="L105" s="518">
        <v>96</v>
      </c>
      <c r="M105" s="405" t="str">
        <f t="shared" si="93"/>
        <v>1. Small</v>
      </c>
      <c r="N105" s="519" t="s">
        <v>284</v>
      </c>
      <c r="O105" s="533" t="s">
        <v>237</v>
      </c>
      <c r="P105" s="439" t="str">
        <f t="shared" si="54"/>
        <v>Covered</v>
      </c>
      <c r="Q105" s="534" t="s">
        <v>656</v>
      </c>
      <c r="R105" s="514"/>
      <c r="S105" s="534"/>
      <c r="T105" s="536" t="s">
        <v>260</v>
      </c>
      <c r="U105" s="436" t="str">
        <f t="shared" si="55"/>
        <v>Documented</v>
      </c>
      <c r="V105" s="544">
        <v>0</v>
      </c>
      <c r="W105" s="518">
        <v>0</v>
      </c>
      <c r="X105" s="545" t="s">
        <v>19</v>
      </c>
      <c r="Y105" s="544">
        <v>0</v>
      </c>
      <c r="Z105" s="518">
        <v>2</v>
      </c>
      <c r="AA105" s="545">
        <v>0</v>
      </c>
      <c r="AB105" s="558">
        <v>0</v>
      </c>
      <c r="AC105" s="559">
        <v>0</v>
      </c>
      <c r="AD105" s="443">
        <f t="shared" si="56"/>
        <v>1</v>
      </c>
      <c r="AE105" s="407">
        <f t="shared" si="57"/>
        <v>96</v>
      </c>
      <c r="AF105" s="408">
        <f t="shared" si="94"/>
        <v>1</v>
      </c>
      <c r="AG105" s="409">
        <f t="shared" si="59"/>
        <v>96</v>
      </c>
      <c r="AH105" s="406">
        <f t="shared" si="95"/>
        <v>1</v>
      </c>
      <c r="AI105" s="409">
        <f t="shared" si="61"/>
        <v>96</v>
      </c>
      <c r="AJ105" s="410" t="str">
        <f t="shared" si="96"/>
        <v>80-100%</v>
      </c>
      <c r="AK105" s="406">
        <f t="shared" si="97"/>
        <v>0</v>
      </c>
      <c r="AL105" s="411">
        <f t="shared" si="98"/>
        <v>0</v>
      </c>
      <c r="AM105" s="409">
        <f t="shared" si="99"/>
        <v>0</v>
      </c>
      <c r="AN105" s="409">
        <f t="shared" si="100"/>
        <v>0</v>
      </c>
      <c r="AO105" s="409">
        <f t="shared" si="67"/>
        <v>0</v>
      </c>
      <c r="AP105" s="569">
        <v>1</v>
      </c>
      <c r="AQ105" s="567">
        <f t="shared" si="89"/>
        <v>96</v>
      </c>
      <c r="AR105" s="559"/>
      <c r="AS105" s="544">
        <v>2</v>
      </c>
      <c r="AT105" s="518">
        <v>0</v>
      </c>
      <c r="AU105" s="518">
        <v>4</v>
      </c>
      <c r="AV105" s="518" t="s">
        <v>91</v>
      </c>
      <c r="AW105" s="412">
        <f t="shared" si="101"/>
        <v>0.83333333333333337</v>
      </c>
      <c r="AX105" s="409">
        <f t="shared" si="69"/>
        <v>80</v>
      </c>
      <c r="AY105" s="412">
        <f t="shared" si="102"/>
        <v>0</v>
      </c>
      <c r="AZ105" s="409">
        <f t="shared" si="71"/>
        <v>0</v>
      </c>
      <c r="BA105" s="412">
        <f t="shared" si="103"/>
        <v>0.83333333333333337</v>
      </c>
      <c r="BB105" s="409">
        <f t="shared" si="73"/>
        <v>80</v>
      </c>
      <c r="BC105" s="579">
        <v>0</v>
      </c>
      <c r="BD105" s="569">
        <v>0.83</v>
      </c>
      <c r="BE105" s="413">
        <f t="shared" si="104"/>
        <v>79.679999999999993</v>
      </c>
      <c r="BF105" s="414">
        <f t="shared" si="75"/>
        <v>0.79999999999999982</v>
      </c>
      <c r="BG105" s="518">
        <v>3</v>
      </c>
      <c r="BH105" s="518" t="s">
        <v>91</v>
      </c>
      <c r="BI105" s="412">
        <f t="shared" si="76"/>
        <v>1</v>
      </c>
      <c r="BJ105" s="409">
        <f t="shared" si="77"/>
        <v>96</v>
      </c>
      <c r="BK105" s="414">
        <f t="shared" si="78"/>
        <v>0</v>
      </c>
      <c r="BL105" s="580">
        <v>1</v>
      </c>
      <c r="BM105" s="409">
        <f t="shared" si="79"/>
        <v>96</v>
      </c>
      <c r="BN105" s="518">
        <v>3</v>
      </c>
      <c r="BO105" s="412">
        <f t="shared" si="105"/>
        <v>1</v>
      </c>
      <c r="BP105" s="414">
        <f t="shared" si="106"/>
        <v>0</v>
      </c>
      <c r="BQ105" s="559">
        <v>1</v>
      </c>
      <c r="BR105" s="590"/>
      <c r="BS105" s="595">
        <v>41766</v>
      </c>
      <c r="BT105" s="415" t="str">
        <f t="shared" si="90"/>
        <v>To be realised</v>
      </c>
      <c r="BU105" s="579">
        <v>19</v>
      </c>
      <c r="BV105" s="579">
        <v>6</v>
      </c>
      <c r="BW105" s="416">
        <f t="shared" si="91"/>
        <v>21</v>
      </c>
      <c r="BX105" s="417">
        <f t="shared" si="107"/>
        <v>0</v>
      </c>
      <c r="BY105" s="409">
        <f t="shared" si="108"/>
        <v>0</v>
      </c>
      <c r="BZ105" s="446">
        <f t="shared" si="92"/>
        <v>6</v>
      </c>
      <c r="CA105" s="598"/>
      <c r="CB105" s="559">
        <v>0.8</v>
      </c>
      <c r="CC105" s="451">
        <f t="shared" si="87"/>
        <v>76.800000000000011</v>
      </c>
      <c r="CD105" s="598">
        <v>1</v>
      </c>
      <c r="CE105" s="418" t="str">
        <f t="shared" si="88"/>
        <v>Excellent coverage</v>
      </c>
      <c r="CF105" s="550">
        <v>0</v>
      </c>
      <c r="CG105" s="607" t="s">
        <v>66</v>
      </c>
      <c r="CH105" s="605"/>
    </row>
    <row r="106" spans="2:86" s="40" customFormat="1" ht="30.75" customHeight="1" x14ac:dyDescent="0.25">
      <c r="B106" s="512" t="s">
        <v>180</v>
      </c>
      <c r="C106" s="513" t="s">
        <v>532</v>
      </c>
      <c r="D106" s="514" t="s">
        <v>267</v>
      </c>
      <c r="E106" s="513" t="s">
        <v>183</v>
      </c>
      <c r="F106" s="514">
        <v>97.315860000000001</v>
      </c>
      <c r="G106" s="514">
        <v>24.32638</v>
      </c>
      <c r="H106" s="514" t="s">
        <v>467</v>
      </c>
      <c r="I106" s="514" t="s">
        <v>218</v>
      </c>
      <c r="J106" s="518">
        <v>22</v>
      </c>
      <c r="K106" s="518">
        <v>125</v>
      </c>
      <c r="L106" s="518">
        <v>125</v>
      </c>
      <c r="M106" s="405" t="str">
        <f t="shared" si="93"/>
        <v>1. Small</v>
      </c>
      <c r="N106" s="519" t="s">
        <v>235</v>
      </c>
      <c r="O106" s="533" t="s">
        <v>237</v>
      </c>
      <c r="P106" s="439" t="str">
        <f t="shared" si="54"/>
        <v>Covered</v>
      </c>
      <c r="Q106" s="534" t="s">
        <v>656</v>
      </c>
      <c r="R106" s="514"/>
      <c r="S106" s="534"/>
      <c r="T106" s="536" t="s">
        <v>260</v>
      </c>
      <c r="U106" s="436" t="str">
        <f t="shared" si="55"/>
        <v>Documented</v>
      </c>
      <c r="V106" s="544">
        <v>0</v>
      </c>
      <c r="W106" s="518">
        <v>0</v>
      </c>
      <c r="X106" s="545" t="s">
        <v>19</v>
      </c>
      <c r="Y106" s="544">
        <v>0</v>
      </c>
      <c r="Z106" s="518">
        <v>0</v>
      </c>
      <c r="AA106" s="545">
        <v>4860</v>
      </c>
      <c r="AB106" s="558">
        <v>0</v>
      </c>
      <c r="AC106" s="559">
        <v>0.5</v>
      </c>
      <c r="AD106" s="443">
        <f t="shared" si="56"/>
        <v>1</v>
      </c>
      <c r="AE106" s="407">
        <f t="shared" si="57"/>
        <v>125</v>
      </c>
      <c r="AF106" s="408">
        <f t="shared" si="94"/>
        <v>1</v>
      </c>
      <c r="AG106" s="409">
        <f t="shared" si="59"/>
        <v>125</v>
      </c>
      <c r="AH106" s="406">
        <f t="shared" si="95"/>
        <v>1</v>
      </c>
      <c r="AI106" s="409">
        <f t="shared" si="61"/>
        <v>125</v>
      </c>
      <c r="AJ106" s="410" t="str">
        <f t="shared" si="96"/>
        <v>80-100%</v>
      </c>
      <c r="AK106" s="406">
        <f t="shared" si="97"/>
        <v>0</v>
      </c>
      <c r="AL106" s="411">
        <f t="shared" si="98"/>
        <v>0</v>
      </c>
      <c r="AM106" s="409">
        <f t="shared" si="99"/>
        <v>0.3125</v>
      </c>
      <c r="AN106" s="409">
        <f t="shared" si="100"/>
        <v>11</v>
      </c>
      <c r="AO106" s="409">
        <f t="shared" si="67"/>
        <v>0</v>
      </c>
      <c r="AP106" s="569">
        <v>1</v>
      </c>
      <c r="AQ106" s="567">
        <f t="shared" si="89"/>
        <v>125</v>
      </c>
      <c r="AR106" s="559"/>
      <c r="AS106" s="544">
        <v>8</v>
      </c>
      <c r="AT106" s="518">
        <v>0</v>
      </c>
      <c r="AU106" s="518">
        <v>10</v>
      </c>
      <c r="AV106" s="518" t="s">
        <v>299</v>
      </c>
      <c r="AW106" s="412">
        <f t="shared" si="101"/>
        <v>1</v>
      </c>
      <c r="AX106" s="409">
        <f t="shared" si="69"/>
        <v>125</v>
      </c>
      <c r="AY106" s="412">
        <f t="shared" si="102"/>
        <v>0</v>
      </c>
      <c r="AZ106" s="409">
        <f t="shared" si="71"/>
        <v>0</v>
      </c>
      <c r="BA106" s="412">
        <f t="shared" si="103"/>
        <v>1</v>
      </c>
      <c r="BB106" s="409">
        <f t="shared" si="73"/>
        <v>125</v>
      </c>
      <c r="BC106" s="579">
        <v>0</v>
      </c>
      <c r="BD106" s="569">
        <v>1</v>
      </c>
      <c r="BE106" s="413">
        <f t="shared" si="104"/>
        <v>125</v>
      </c>
      <c r="BF106" s="414">
        <f t="shared" si="75"/>
        <v>0</v>
      </c>
      <c r="BG106" s="518">
        <v>2</v>
      </c>
      <c r="BH106" s="518" t="s">
        <v>299</v>
      </c>
      <c r="BI106" s="412">
        <f t="shared" si="76"/>
        <v>1</v>
      </c>
      <c r="BJ106" s="409">
        <f t="shared" si="77"/>
        <v>125</v>
      </c>
      <c r="BK106" s="414">
        <f t="shared" si="78"/>
        <v>0</v>
      </c>
      <c r="BL106" s="580">
        <v>1</v>
      </c>
      <c r="BM106" s="409">
        <f t="shared" si="79"/>
        <v>125</v>
      </c>
      <c r="BN106" s="518">
        <v>1</v>
      </c>
      <c r="BO106" s="412">
        <f t="shared" si="105"/>
        <v>0.8</v>
      </c>
      <c r="BP106" s="414">
        <f t="shared" si="106"/>
        <v>0.25</v>
      </c>
      <c r="BQ106" s="559">
        <v>0.8</v>
      </c>
      <c r="BR106" s="590"/>
      <c r="BS106" s="595">
        <v>41834</v>
      </c>
      <c r="BT106" s="415">
        <f t="shared" si="90"/>
        <v>42199</v>
      </c>
      <c r="BU106" s="579">
        <v>22</v>
      </c>
      <c r="BV106" s="579">
        <v>6</v>
      </c>
      <c r="BW106" s="416">
        <f t="shared" si="91"/>
        <v>0</v>
      </c>
      <c r="BX106" s="417">
        <f t="shared" si="107"/>
        <v>1</v>
      </c>
      <c r="BY106" s="409">
        <f t="shared" si="108"/>
        <v>125</v>
      </c>
      <c r="BZ106" s="446">
        <f t="shared" si="92"/>
        <v>4</v>
      </c>
      <c r="CA106" s="598"/>
      <c r="CB106" s="559">
        <v>0.8</v>
      </c>
      <c r="CC106" s="451">
        <f t="shared" si="87"/>
        <v>100</v>
      </c>
      <c r="CD106" s="598">
        <v>1</v>
      </c>
      <c r="CE106" s="418" t="str">
        <f t="shared" si="88"/>
        <v>Excellent coverage</v>
      </c>
      <c r="CF106" s="550">
        <v>0</v>
      </c>
      <c r="CG106" s="607" t="s">
        <v>301</v>
      </c>
      <c r="CH106" s="605"/>
    </row>
    <row r="107" spans="2:86" s="40" customFormat="1" ht="30.75" customHeight="1" x14ac:dyDescent="0.25">
      <c r="B107" s="512" t="s">
        <v>180</v>
      </c>
      <c r="C107" s="513" t="s">
        <v>536</v>
      </c>
      <c r="D107" s="514" t="s">
        <v>267</v>
      </c>
      <c r="E107" s="513" t="s">
        <v>185</v>
      </c>
      <c r="F107" s="514">
        <v>97.246889999999993</v>
      </c>
      <c r="G107" s="514">
        <v>24.244129999999998</v>
      </c>
      <c r="H107" s="514" t="s">
        <v>467</v>
      </c>
      <c r="I107" s="514" t="s">
        <v>218</v>
      </c>
      <c r="J107" s="518">
        <v>16</v>
      </c>
      <c r="K107" s="518">
        <v>84</v>
      </c>
      <c r="L107" s="518">
        <v>80</v>
      </c>
      <c r="M107" s="405" t="str">
        <f t="shared" si="93"/>
        <v>1. Small</v>
      </c>
      <c r="N107" s="519" t="s">
        <v>284</v>
      </c>
      <c r="O107" s="533" t="s">
        <v>237</v>
      </c>
      <c r="P107" s="439" t="str">
        <f t="shared" si="54"/>
        <v>Covered</v>
      </c>
      <c r="Q107" s="534" t="s">
        <v>656</v>
      </c>
      <c r="R107" s="514"/>
      <c r="S107" s="534"/>
      <c r="T107" s="536" t="s">
        <v>260</v>
      </c>
      <c r="U107" s="436" t="str">
        <f t="shared" si="55"/>
        <v>Documented</v>
      </c>
      <c r="V107" s="544">
        <v>0</v>
      </c>
      <c r="W107" s="518">
        <v>0</v>
      </c>
      <c r="X107" s="545" t="s">
        <v>19</v>
      </c>
      <c r="Y107" s="544">
        <v>0</v>
      </c>
      <c r="Z107" s="518">
        <v>2</v>
      </c>
      <c r="AA107" s="545">
        <v>3915</v>
      </c>
      <c r="AB107" s="558">
        <v>0</v>
      </c>
      <c r="AC107" s="559">
        <v>0</v>
      </c>
      <c r="AD107" s="443">
        <f t="shared" si="56"/>
        <v>1</v>
      </c>
      <c r="AE107" s="407">
        <f t="shared" si="57"/>
        <v>80</v>
      </c>
      <c r="AF107" s="408">
        <f t="shared" si="94"/>
        <v>1</v>
      </c>
      <c r="AG107" s="409">
        <f t="shared" si="59"/>
        <v>80</v>
      </c>
      <c r="AH107" s="406">
        <f t="shared" si="95"/>
        <v>1</v>
      </c>
      <c r="AI107" s="409">
        <f t="shared" si="61"/>
        <v>80</v>
      </c>
      <c r="AJ107" s="410" t="str">
        <f t="shared" si="96"/>
        <v>80-100%</v>
      </c>
      <c r="AK107" s="406">
        <f t="shared" si="97"/>
        <v>0</v>
      </c>
      <c r="AL107" s="411">
        <f t="shared" si="98"/>
        <v>0</v>
      </c>
      <c r="AM107" s="409">
        <f t="shared" si="99"/>
        <v>0</v>
      </c>
      <c r="AN107" s="409">
        <f t="shared" si="100"/>
        <v>0</v>
      </c>
      <c r="AO107" s="409">
        <f t="shared" si="67"/>
        <v>0</v>
      </c>
      <c r="AP107" s="569">
        <v>1</v>
      </c>
      <c r="AQ107" s="567">
        <f t="shared" si="89"/>
        <v>80</v>
      </c>
      <c r="AR107" s="559"/>
      <c r="AS107" s="544">
        <v>0</v>
      </c>
      <c r="AT107" s="518">
        <v>0</v>
      </c>
      <c r="AU107" s="518">
        <v>10</v>
      </c>
      <c r="AV107" s="518" t="s">
        <v>299</v>
      </c>
      <c r="AW107" s="412">
        <f t="shared" si="101"/>
        <v>1</v>
      </c>
      <c r="AX107" s="409">
        <f t="shared" si="69"/>
        <v>80</v>
      </c>
      <c r="AY107" s="412">
        <f t="shared" si="102"/>
        <v>0</v>
      </c>
      <c r="AZ107" s="409">
        <f t="shared" si="71"/>
        <v>0</v>
      </c>
      <c r="BA107" s="412">
        <f t="shared" si="103"/>
        <v>1</v>
      </c>
      <c r="BB107" s="409">
        <f t="shared" si="73"/>
        <v>80</v>
      </c>
      <c r="BC107" s="579">
        <v>0</v>
      </c>
      <c r="BD107" s="569">
        <v>1</v>
      </c>
      <c r="BE107" s="413">
        <f t="shared" si="104"/>
        <v>80</v>
      </c>
      <c r="BF107" s="414">
        <f t="shared" si="75"/>
        <v>0</v>
      </c>
      <c r="BG107" s="518">
        <v>1</v>
      </c>
      <c r="BH107" s="518" t="s">
        <v>91</v>
      </c>
      <c r="BI107" s="412">
        <f t="shared" si="76"/>
        <v>1</v>
      </c>
      <c r="BJ107" s="409">
        <f t="shared" si="77"/>
        <v>80</v>
      </c>
      <c r="BK107" s="414">
        <f t="shared" si="78"/>
        <v>0</v>
      </c>
      <c r="BL107" s="580">
        <v>1</v>
      </c>
      <c r="BM107" s="409">
        <f t="shared" si="79"/>
        <v>80</v>
      </c>
      <c r="BN107" s="518">
        <v>1</v>
      </c>
      <c r="BO107" s="412">
        <f t="shared" si="105"/>
        <v>1</v>
      </c>
      <c r="BP107" s="414">
        <f t="shared" si="106"/>
        <v>0</v>
      </c>
      <c r="BQ107" s="559">
        <v>1</v>
      </c>
      <c r="BR107" s="590"/>
      <c r="BS107" s="595">
        <v>41766</v>
      </c>
      <c r="BT107" s="415" t="str">
        <f t="shared" si="90"/>
        <v>To be realised</v>
      </c>
      <c r="BU107" s="579">
        <v>17</v>
      </c>
      <c r="BV107" s="579">
        <v>6</v>
      </c>
      <c r="BW107" s="416">
        <f t="shared" si="91"/>
        <v>16</v>
      </c>
      <c r="BX107" s="417">
        <f t="shared" si="107"/>
        <v>0</v>
      </c>
      <c r="BY107" s="409">
        <f t="shared" si="108"/>
        <v>0</v>
      </c>
      <c r="BZ107" s="446">
        <f t="shared" si="92"/>
        <v>6</v>
      </c>
      <c r="CA107" s="598"/>
      <c r="CB107" s="559">
        <v>0.8</v>
      </c>
      <c r="CC107" s="451">
        <f t="shared" si="87"/>
        <v>64</v>
      </c>
      <c r="CD107" s="598">
        <v>1</v>
      </c>
      <c r="CE107" s="418" t="str">
        <f t="shared" si="88"/>
        <v>Excellent coverage</v>
      </c>
      <c r="CF107" s="550">
        <v>0</v>
      </c>
      <c r="CG107" s="607" t="s">
        <v>65</v>
      </c>
      <c r="CH107" s="605"/>
    </row>
    <row r="108" spans="2:86" s="40" customFormat="1" ht="30.75" customHeight="1" x14ac:dyDescent="0.25">
      <c r="B108" s="512" t="s">
        <v>186</v>
      </c>
      <c r="C108" s="513" t="s">
        <v>577</v>
      </c>
      <c r="D108" s="514" t="s">
        <v>267</v>
      </c>
      <c r="E108" s="513" t="s">
        <v>289</v>
      </c>
      <c r="F108" s="514">
        <v>97.291820000000001</v>
      </c>
      <c r="G108" s="514">
        <v>24.129059999999999</v>
      </c>
      <c r="H108" s="514" t="s">
        <v>467</v>
      </c>
      <c r="I108" s="514" t="s">
        <v>218</v>
      </c>
      <c r="J108" s="518">
        <v>150</v>
      </c>
      <c r="K108" s="518">
        <v>691</v>
      </c>
      <c r="L108" s="518">
        <v>691</v>
      </c>
      <c r="M108" s="405" t="str">
        <f t="shared" si="93"/>
        <v>2. Medium</v>
      </c>
      <c r="N108" s="519" t="s">
        <v>239</v>
      </c>
      <c r="O108" s="533" t="s">
        <v>237</v>
      </c>
      <c r="P108" s="439" t="str">
        <f t="shared" si="54"/>
        <v>Covered</v>
      </c>
      <c r="Q108" s="534" t="s">
        <v>656</v>
      </c>
      <c r="R108" s="514"/>
      <c r="S108" s="534"/>
      <c r="T108" s="536" t="s">
        <v>260</v>
      </c>
      <c r="U108" s="436" t="str">
        <f t="shared" si="55"/>
        <v>Documented</v>
      </c>
      <c r="V108" s="544">
        <v>0</v>
      </c>
      <c r="W108" s="518">
        <v>0</v>
      </c>
      <c r="X108" s="545" t="s">
        <v>19</v>
      </c>
      <c r="Y108" s="544">
        <v>3</v>
      </c>
      <c r="Z108" s="518">
        <v>0</v>
      </c>
      <c r="AA108" s="545">
        <v>20335</v>
      </c>
      <c r="AB108" s="558">
        <v>0.5</v>
      </c>
      <c r="AC108" s="559">
        <v>0.3</v>
      </c>
      <c r="AD108" s="443">
        <f t="shared" si="56"/>
        <v>1</v>
      </c>
      <c r="AE108" s="407">
        <f t="shared" si="57"/>
        <v>691</v>
      </c>
      <c r="AF108" s="408">
        <f t="shared" si="94"/>
        <v>1</v>
      </c>
      <c r="AG108" s="409">
        <f t="shared" si="59"/>
        <v>691</v>
      </c>
      <c r="AH108" s="406">
        <f t="shared" si="95"/>
        <v>1</v>
      </c>
      <c r="AI108" s="409">
        <f t="shared" si="61"/>
        <v>691</v>
      </c>
      <c r="AJ108" s="410" t="str">
        <f t="shared" si="96"/>
        <v>80-100%</v>
      </c>
      <c r="AK108" s="406">
        <f t="shared" si="97"/>
        <v>0</v>
      </c>
      <c r="AL108" s="411">
        <f t="shared" si="98"/>
        <v>0</v>
      </c>
      <c r="AM108" s="409">
        <f t="shared" si="99"/>
        <v>0</v>
      </c>
      <c r="AN108" s="409">
        <f t="shared" si="100"/>
        <v>45</v>
      </c>
      <c r="AO108" s="409">
        <f t="shared" si="67"/>
        <v>345.5</v>
      </c>
      <c r="AP108" s="569">
        <v>1</v>
      </c>
      <c r="AQ108" s="567">
        <f t="shared" si="89"/>
        <v>691</v>
      </c>
      <c r="AR108" s="559"/>
      <c r="AS108" s="544">
        <v>34</v>
      </c>
      <c r="AT108" s="518">
        <v>16</v>
      </c>
      <c r="AU108" s="518">
        <v>14</v>
      </c>
      <c r="AV108" s="518" t="s">
        <v>298</v>
      </c>
      <c r="AW108" s="412">
        <f t="shared" si="101"/>
        <v>0.86830680173661356</v>
      </c>
      <c r="AX108" s="409">
        <f t="shared" si="69"/>
        <v>600</v>
      </c>
      <c r="AY108" s="412">
        <f t="shared" si="102"/>
        <v>0.4630969609261939</v>
      </c>
      <c r="AZ108" s="409">
        <f t="shared" si="71"/>
        <v>320</v>
      </c>
      <c r="BA108" s="412">
        <f t="shared" si="103"/>
        <v>0.40520984081041966</v>
      </c>
      <c r="BB108" s="409">
        <f t="shared" si="73"/>
        <v>280</v>
      </c>
      <c r="BC108" s="579">
        <v>0</v>
      </c>
      <c r="BD108" s="569">
        <v>0.87</v>
      </c>
      <c r="BE108" s="413">
        <f t="shared" si="104"/>
        <v>601.16999999999996</v>
      </c>
      <c r="BF108" s="414">
        <f t="shared" si="75"/>
        <v>20.549999999999997</v>
      </c>
      <c r="BG108" s="518">
        <v>6</v>
      </c>
      <c r="BH108" s="518" t="s">
        <v>300</v>
      </c>
      <c r="BI108" s="412">
        <f t="shared" si="76"/>
        <v>0.86830680173661356</v>
      </c>
      <c r="BJ108" s="409">
        <f t="shared" si="77"/>
        <v>600</v>
      </c>
      <c r="BK108" s="414">
        <f t="shared" si="78"/>
        <v>0.91000000000000014</v>
      </c>
      <c r="BL108" s="580">
        <v>0.87</v>
      </c>
      <c r="BM108" s="409">
        <f t="shared" si="79"/>
        <v>601.16999999999996</v>
      </c>
      <c r="BN108" s="518">
        <v>10</v>
      </c>
      <c r="BO108" s="412">
        <f t="shared" si="105"/>
        <v>1</v>
      </c>
      <c r="BP108" s="414">
        <f t="shared" si="106"/>
        <v>0</v>
      </c>
      <c r="BQ108" s="559">
        <v>1</v>
      </c>
      <c r="BR108" s="590" t="s">
        <v>855</v>
      </c>
      <c r="BS108" s="595">
        <v>41835</v>
      </c>
      <c r="BT108" s="415">
        <f t="shared" si="90"/>
        <v>42200</v>
      </c>
      <c r="BU108" s="579">
        <v>153</v>
      </c>
      <c r="BV108" s="579">
        <v>6</v>
      </c>
      <c r="BW108" s="416">
        <f t="shared" si="91"/>
        <v>0</v>
      </c>
      <c r="BX108" s="417">
        <f t="shared" si="107"/>
        <v>1</v>
      </c>
      <c r="BY108" s="409">
        <f t="shared" si="108"/>
        <v>691</v>
      </c>
      <c r="BZ108" s="446">
        <f t="shared" si="92"/>
        <v>4</v>
      </c>
      <c r="CA108" s="598"/>
      <c r="CB108" s="559">
        <v>0.75</v>
      </c>
      <c r="CC108" s="451">
        <f t="shared" si="87"/>
        <v>518.25</v>
      </c>
      <c r="CD108" s="598">
        <v>3</v>
      </c>
      <c r="CE108" s="418" t="str">
        <f t="shared" si="88"/>
        <v>Excellent coverage</v>
      </c>
      <c r="CF108" s="550">
        <v>0</v>
      </c>
      <c r="CG108" s="607" t="s">
        <v>301</v>
      </c>
      <c r="CH108" s="605"/>
    </row>
    <row r="109" spans="2:86" s="40" customFormat="1" ht="30.75" customHeight="1" x14ac:dyDescent="0.25">
      <c r="B109" s="512" t="s">
        <v>188</v>
      </c>
      <c r="C109" s="521" t="s">
        <v>595</v>
      </c>
      <c r="D109" s="514" t="s">
        <v>267</v>
      </c>
      <c r="E109" s="513" t="s">
        <v>480</v>
      </c>
      <c r="F109" s="514">
        <v>97.347049999999996</v>
      </c>
      <c r="G109" s="514">
        <v>24.255870000000002</v>
      </c>
      <c r="H109" s="514" t="s">
        <v>467</v>
      </c>
      <c r="I109" s="514" t="s">
        <v>218</v>
      </c>
      <c r="J109" s="518">
        <v>141</v>
      </c>
      <c r="K109" s="518">
        <v>608</v>
      </c>
      <c r="L109" s="518">
        <v>608</v>
      </c>
      <c r="M109" s="405" t="str">
        <f t="shared" si="93"/>
        <v>2. Medium</v>
      </c>
      <c r="N109" s="519" t="s">
        <v>239</v>
      </c>
      <c r="O109" s="533" t="s">
        <v>237</v>
      </c>
      <c r="P109" s="439" t="str">
        <f t="shared" si="54"/>
        <v>Covered</v>
      </c>
      <c r="Q109" s="534" t="s">
        <v>656</v>
      </c>
      <c r="R109" s="514"/>
      <c r="S109" s="534"/>
      <c r="T109" s="536" t="s">
        <v>260</v>
      </c>
      <c r="U109" s="436" t="str">
        <f t="shared" si="55"/>
        <v>Documented</v>
      </c>
      <c r="V109" s="544">
        <v>0</v>
      </c>
      <c r="W109" s="518">
        <v>0</v>
      </c>
      <c r="X109" s="545" t="s">
        <v>19</v>
      </c>
      <c r="Y109" s="544">
        <v>1</v>
      </c>
      <c r="Z109" s="518">
        <v>1</v>
      </c>
      <c r="AA109" s="545">
        <v>9555</v>
      </c>
      <c r="AB109" s="558">
        <v>0.1</v>
      </c>
      <c r="AC109" s="559">
        <v>0.68</v>
      </c>
      <c r="AD109" s="443">
        <f t="shared" si="56"/>
        <v>1</v>
      </c>
      <c r="AE109" s="407">
        <f t="shared" si="57"/>
        <v>608</v>
      </c>
      <c r="AF109" s="408">
        <f t="shared" si="94"/>
        <v>1</v>
      </c>
      <c r="AG109" s="409">
        <f t="shared" si="59"/>
        <v>608</v>
      </c>
      <c r="AH109" s="406">
        <f t="shared" si="95"/>
        <v>1</v>
      </c>
      <c r="AI109" s="409">
        <f t="shared" si="61"/>
        <v>608</v>
      </c>
      <c r="AJ109" s="410" t="str">
        <f t="shared" si="96"/>
        <v>80-100%</v>
      </c>
      <c r="AK109" s="406">
        <f t="shared" si="97"/>
        <v>0</v>
      </c>
      <c r="AL109" s="411">
        <f t="shared" si="98"/>
        <v>0</v>
      </c>
      <c r="AM109" s="409">
        <f t="shared" si="99"/>
        <v>0</v>
      </c>
      <c r="AN109" s="409">
        <f t="shared" si="100"/>
        <v>95.88000000000001</v>
      </c>
      <c r="AO109" s="409">
        <f t="shared" si="67"/>
        <v>60.800000000000004</v>
      </c>
      <c r="AP109" s="569">
        <v>1</v>
      </c>
      <c r="AQ109" s="567">
        <f t="shared" si="89"/>
        <v>608</v>
      </c>
      <c r="AR109" s="559"/>
      <c r="AS109" s="544">
        <v>30</v>
      </c>
      <c r="AT109" s="518">
        <v>14</v>
      </c>
      <c r="AU109" s="518">
        <v>16</v>
      </c>
      <c r="AV109" s="518" t="s">
        <v>91</v>
      </c>
      <c r="AW109" s="412">
        <f t="shared" si="101"/>
        <v>0.98684210526315785</v>
      </c>
      <c r="AX109" s="409">
        <f t="shared" si="69"/>
        <v>600</v>
      </c>
      <c r="AY109" s="412">
        <f t="shared" si="102"/>
        <v>0.46052631578947367</v>
      </c>
      <c r="AZ109" s="409">
        <f t="shared" si="71"/>
        <v>280</v>
      </c>
      <c r="BA109" s="412">
        <f t="shared" si="103"/>
        <v>0.52631578947368418</v>
      </c>
      <c r="BB109" s="409">
        <f t="shared" si="73"/>
        <v>320</v>
      </c>
      <c r="BC109" s="579">
        <v>0</v>
      </c>
      <c r="BD109" s="569">
        <v>0.99</v>
      </c>
      <c r="BE109" s="413">
        <f t="shared" si="104"/>
        <v>601.91999999999996</v>
      </c>
      <c r="BF109" s="414">
        <f t="shared" si="75"/>
        <v>14.399999999999999</v>
      </c>
      <c r="BG109" s="518">
        <v>3</v>
      </c>
      <c r="BH109" s="518" t="s">
        <v>300</v>
      </c>
      <c r="BI109" s="412">
        <f t="shared" si="76"/>
        <v>0.49342105263157893</v>
      </c>
      <c r="BJ109" s="409">
        <f t="shared" si="77"/>
        <v>300</v>
      </c>
      <c r="BK109" s="414">
        <f t="shared" si="78"/>
        <v>3.08</v>
      </c>
      <c r="BL109" s="580">
        <v>0.49</v>
      </c>
      <c r="BM109" s="409">
        <f t="shared" si="79"/>
        <v>297.92</v>
      </c>
      <c r="BN109" s="518">
        <v>15</v>
      </c>
      <c r="BO109" s="412">
        <f t="shared" si="105"/>
        <v>1</v>
      </c>
      <c r="BP109" s="414">
        <f t="shared" si="106"/>
        <v>0</v>
      </c>
      <c r="BQ109" s="559">
        <v>1</v>
      </c>
      <c r="BR109" s="590" t="s">
        <v>855</v>
      </c>
      <c r="BS109" s="595">
        <v>41771</v>
      </c>
      <c r="BT109" s="415" t="str">
        <f t="shared" si="90"/>
        <v>To be realised</v>
      </c>
      <c r="BU109" s="579">
        <v>143</v>
      </c>
      <c r="BV109" s="579">
        <v>6</v>
      </c>
      <c r="BW109" s="416">
        <f t="shared" si="91"/>
        <v>141</v>
      </c>
      <c r="BX109" s="417">
        <f t="shared" si="107"/>
        <v>0</v>
      </c>
      <c r="BY109" s="409">
        <f t="shared" si="108"/>
        <v>0</v>
      </c>
      <c r="BZ109" s="446">
        <f t="shared" si="92"/>
        <v>6</v>
      </c>
      <c r="CA109" s="598"/>
      <c r="CB109" s="559">
        <v>0.8</v>
      </c>
      <c r="CC109" s="451">
        <f t="shared" si="87"/>
        <v>486.40000000000003</v>
      </c>
      <c r="CD109" s="598">
        <v>1</v>
      </c>
      <c r="CE109" s="418" t="str">
        <f t="shared" si="88"/>
        <v>Good coverage</v>
      </c>
      <c r="CF109" s="550">
        <v>0</v>
      </c>
      <c r="CG109" s="607" t="s">
        <v>65</v>
      </c>
      <c r="CH109" s="605"/>
    </row>
    <row r="110" spans="2:86" s="40" customFormat="1" ht="30.75" customHeight="1" x14ac:dyDescent="0.25">
      <c r="B110" s="512" t="s">
        <v>188</v>
      </c>
      <c r="C110" s="521" t="s">
        <v>595</v>
      </c>
      <c r="D110" s="514" t="s">
        <v>267</v>
      </c>
      <c r="E110" s="513" t="s">
        <v>481</v>
      </c>
      <c r="F110" s="514">
        <v>97.346310000000003</v>
      </c>
      <c r="G110" s="514">
        <v>24.253630000000001</v>
      </c>
      <c r="H110" s="514" t="s">
        <v>467</v>
      </c>
      <c r="I110" s="514" t="s">
        <v>218</v>
      </c>
      <c r="J110" s="518">
        <v>18</v>
      </c>
      <c r="K110" s="518">
        <v>109</v>
      </c>
      <c r="L110" s="518">
        <v>109</v>
      </c>
      <c r="M110" s="405" t="str">
        <f t="shared" si="93"/>
        <v>1. Small</v>
      </c>
      <c r="N110" s="519" t="s">
        <v>239</v>
      </c>
      <c r="O110" s="533" t="s">
        <v>237</v>
      </c>
      <c r="P110" s="439" t="str">
        <f t="shared" si="54"/>
        <v>Covered</v>
      </c>
      <c r="Q110" s="534" t="s">
        <v>656</v>
      </c>
      <c r="R110" s="514"/>
      <c r="S110" s="534"/>
      <c r="T110" s="536" t="s">
        <v>260</v>
      </c>
      <c r="U110" s="436" t="str">
        <f t="shared" si="55"/>
        <v>Documented</v>
      </c>
      <c r="V110" s="544">
        <v>0</v>
      </c>
      <c r="W110" s="518">
        <v>0</v>
      </c>
      <c r="X110" s="545" t="s">
        <v>19</v>
      </c>
      <c r="Y110" s="544">
        <v>1</v>
      </c>
      <c r="Z110" s="518">
        <v>0</v>
      </c>
      <c r="AA110" s="545">
        <v>2000</v>
      </c>
      <c r="AB110" s="558">
        <v>0</v>
      </c>
      <c r="AC110" s="559">
        <v>1</v>
      </c>
      <c r="AD110" s="443">
        <f t="shared" si="56"/>
        <v>1</v>
      </c>
      <c r="AE110" s="407">
        <f t="shared" si="57"/>
        <v>109</v>
      </c>
      <c r="AF110" s="408">
        <f t="shared" si="94"/>
        <v>1</v>
      </c>
      <c r="AG110" s="409">
        <f t="shared" si="59"/>
        <v>109</v>
      </c>
      <c r="AH110" s="406">
        <f t="shared" si="95"/>
        <v>1</v>
      </c>
      <c r="AI110" s="409">
        <f t="shared" si="61"/>
        <v>109</v>
      </c>
      <c r="AJ110" s="410" t="str">
        <f t="shared" si="96"/>
        <v>80-100%</v>
      </c>
      <c r="AK110" s="406">
        <f t="shared" si="97"/>
        <v>0</v>
      </c>
      <c r="AL110" s="411">
        <f t="shared" si="98"/>
        <v>0</v>
      </c>
      <c r="AM110" s="409">
        <f t="shared" si="99"/>
        <v>0</v>
      </c>
      <c r="AN110" s="409">
        <f t="shared" si="100"/>
        <v>18</v>
      </c>
      <c r="AO110" s="409">
        <f t="shared" si="67"/>
        <v>0</v>
      </c>
      <c r="AP110" s="569">
        <v>1</v>
      </c>
      <c r="AQ110" s="567">
        <f t="shared" si="89"/>
        <v>109</v>
      </c>
      <c r="AR110" s="559"/>
      <c r="AS110" s="544">
        <v>2</v>
      </c>
      <c r="AT110" s="518">
        <v>2</v>
      </c>
      <c r="AU110" s="518">
        <v>6</v>
      </c>
      <c r="AV110" s="518" t="s">
        <v>91</v>
      </c>
      <c r="AW110" s="412">
        <f t="shared" si="101"/>
        <v>1</v>
      </c>
      <c r="AX110" s="409">
        <f t="shared" si="69"/>
        <v>109</v>
      </c>
      <c r="AY110" s="412">
        <f t="shared" si="102"/>
        <v>0</v>
      </c>
      <c r="AZ110" s="409">
        <f t="shared" si="71"/>
        <v>0</v>
      </c>
      <c r="BA110" s="412">
        <f t="shared" si="103"/>
        <v>1</v>
      </c>
      <c r="BB110" s="409">
        <f t="shared" si="73"/>
        <v>109</v>
      </c>
      <c r="BC110" s="579">
        <v>0</v>
      </c>
      <c r="BD110" s="569">
        <v>1</v>
      </c>
      <c r="BE110" s="413">
        <f t="shared" si="104"/>
        <v>109</v>
      </c>
      <c r="BF110" s="414">
        <f t="shared" si="75"/>
        <v>0</v>
      </c>
      <c r="BG110" s="518">
        <v>2</v>
      </c>
      <c r="BH110" s="518" t="s">
        <v>91</v>
      </c>
      <c r="BI110" s="412">
        <f t="shared" si="76"/>
        <v>1</v>
      </c>
      <c r="BJ110" s="409">
        <f t="shared" si="77"/>
        <v>109</v>
      </c>
      <c r="BK110" s="414">
        <f t="shared" si="78"/>
        <v>0</v>
      </c>
      <c r="BL110" s="580">
        <v>1</v>
      </c>
      <c r="BM110" s="409">
        <f t="shared" si="79"/>
        <v>109</v>
      </c>
      <c r="BN110" s="518">
        <v>3</v>
      </c>
      <c r="BO110" s="412">
        <f t="shared" si="105"/>
        <v>1</v>
      </c>
      <c r="BP110" s="414">
        <f t="shared" si="106"/>
        <v>0</v>
      </c>
      <c r="BQ110" s="559">
        <v>1</v>
      </c>
      <c r="BR110" s="590"/>
      <c r="BS110" s="595">
        <v>41771</v>
      </c>
      <c r="BT110" s="415" t="str">
        <f t="shared" si="90"/>
        <v>To be realised</v>
      </c>
      <c r="BU110" s="579">
        <v>23</v>
      </c>
      <c r="BV110" s="579">
        <v>6</v>
      </c>
      <c r="BW110" s="416">
        <f t="shared" si="91"/>
        <v>18</v>
      </c>
      <c r="BX110" s="417">
        <f t="shared" si="107"/>
        <v>0</v>
      </c>
      <c r="BY110" s="409">
        <f t="shared" si="108"/>
        <v>0</v>
      </c>
      <c r="BZ110" s="446">
        <f t="shared" si="92"/>
        <v>6</v>
      </c>
      <c r="CA110" s="598"/>
      <c r="CB110" s="559">
        <v>0.75</v>
      </c>
      <c r="CC110" s="451">
        <f t="shared" si="87"/>
        <v>81.75</v>
      </c>
      <c r="CD110" s="598">
        <v>1</v>
      </c>
      <c r="CE110" s="418" t="str">
        <f t="shared" si="88"/>
        <v>Excellent coverage</v>
      </c>
      <c r="CF110" s="550">
        <v>0</v>
      </c>
      <c r="CG110" s="607" t="s">
        <v>65</v>
      </c>
      <c r="CH110" s="605"/>
    </row>
    <row r="111" spans="2:86" s="40" customFormat="1" ht="30.75" customHeight="1" x14ac:dyDescent="0.25">
      <c r="B111" s="512" t="s">
        <v>188</v>
      </c>
      <c r="C111" s="521" t="s">
        <v>595</v>
      </c>
      <c r="D111" s="514" t="s">
        <v>267</v>
      </c>
      <c r="E111" s="513" t="s">
        <v>482</v>
      </c>
      <c r="F111" s="514">
        <v>97.359300000000005</v>
      </c>
      <c r="G111" s="514">
        <v>24.267040000000001</v>
      </c>
      <c r="H111" s="514" t="s">
        <v>467</v>
      </c>
      <c r="I111" s="514" t="s">
        <v>218</v>
      </c>
      <c r="J111" s="518">
        <v>7</v>
      </c>
      <c r="K111" s="518">
        <v>37</v>
      </c>
      <c r="L111" s="518">
        <v>37</v>
      </c>
      <c r="M111" s="405" t="str">
        <f t="shared" si="93"/>
        <v>1. Small</v>
      </c>
      <c r="N111" s="519" t="s">
        <v>239</v>
      </c>
      <c r="O111" s="533" t="s">
        <v>237</v>
      </c>
      <c r="P111" s="439" t="str">
        <f t="shared" si="54"/>
        <v>Covered</v>
      </c>
      <c r="Q111" s="534" t="s">
        <v>656</v>
      </c>
      <c r="R111" s="514"/>
      <c r="S111" s="534"/>
      <c r="T111" s="536" t="s">
        <v>260</v>
      </c>
      <c r="U111" s="436" t="str">
        <f t="shared" si="55"/>
        <v>Documented</v>
      </c>
      <c r="V111" s="544">
        <v>0</v>
      </c>
      <c r="W111" s="518">
        <v>0</v>
      </c>
      <c r="X111" s="545" t="s">
        <v>19</v>
      </c>
      <c r="Y111" s="544">
        <v>0</v>
      </c>
      <c r="Z111" s="518">
        <v>0</v>
      </c>
      <c r="AA111" s="545">
        <v>1080</v>
      </c>
      <c r="AB111" s="558">
        <v>0</v>
      </c>
      <c r="AC111" s="559">
        <v>0.8</v>
      </c>
      <c r="AD111" s="443">
        <f t="shared" si="56"/>
        <v>1</v>
      </c>
      <c r="AE111" s="407">
        <f t="shared" si="57"/>
        <v>37</v>
      </c>
      <c r="AF111" s="408">
        <f t="shared" si="94"/>
        <v>1</v>
      </c>
      <c r="AG111" s="409">
        <f t="shared" si="59"/>
        <v>37</v>
      </c>
      <c r="AH111" s="406">
        <f t="shared" si="95"/>
        <v>1</v>
      </c>
      <c r="AI111" s="409">
        <f t="shared" si="61"/>
        <v>37</v>
      </c>
      <c r="AJ111" s="410" t="str">
        <f t="shared" si="96"/>
        <v>80-100%</v>
      </c>
      <c r="AK111" s="406">
        <f t="shared" si="97"/>
        <v>0</v>
      </c>
      <c r="AL111" s="411">
        <f t="shared" si="98"/>
        <v>0</v>
      </c>
      <c r="AM111" s="409">
        <f t="shared" si="99"/>
        <v>9.2499999999999999E-2</v>
      </c>
      <c r="AN111" s="409">
        <f t="shared" si="100"/>
        <v>5.6000000000000005</v>
      </c>
      <c r="AO111" s="409">
        <f t="shared" si="67"/>
        <v>0</v>
      </c>
      <c r="AP111" s="569">
        <v>1</v>
      </c>
      <c r="AQ111" s="567">
        <f t="shared" si="89"/>
        <v>37</v>
      </c>
      <c r="AR111" s="559"/>
      <c r="AS111" s="544">
        <v>1</v>
      </c>
      <c r="AT111" s="518">
        <v>2</v>
      </c>
      <c r="AU111" s="518">
        <v>1</v>
      </c>
      <c r="AV111" s="518" t="s">
        <v>91</v>
      </c>
      <c r="AW111" s="412">
        <f t="shared" si="101"/>
        <v>1</v>
      </c>
      <c r="AX111" s="409">
        <f t="shared" si="69"/>
        <v>37</v>
      </c>
      <c r="AY111" s="412">
        <f t="shared" si="102"/>
        <v>0.45945945945945943</v>
      </c>
      <c r="AZ111" s="409">
        <f t="shared" si="71"/>
        <v>17</v>
      </c>
      <c r="BA111" s="412">
        <f t="shared" si="103"/>
        <v>0.54054054054054057</v>
      </c>
      <c r="BB111" s="409">
        <f t="shared" si="73"/>
        <v>20</v>
      </c>
      <c r="BC111" s="579">
        <v>0</v>
      </c>
      <c r="BD111" s="569">
        <v>1</v>
      </c>
      <c r="BE111" s="413">
        <f t="shared" si="104"/>
        <v>37</v>
      </c>
      <c r="BF111" s="414">
        <f t="shared" si="75"/>
        <v>0.85000000000000009</v>
      </c>
      <c r="BG111" s="518">
        <v>1</v>
      </c>
      <c r="BH111" s="518" t="s">
        <v>91</v>
      </c>
      <c r="BI111" s="412">
        <f t="shared" si="76"/>
        <v>1</v>
      </c>
      <c r="BJ111" s="409">
        <f t="shared" si="77"/>
        <v>37</v>
      </c>
      <c r="BK111" s="414">
        <f t="shared" si="78"/>
        <v>0</v>
      </c>
      <c r="BL111" s="580">
        <v>1</v>
      </c>
      <c r="BM111" s="409">
        <f t="shared" si="79"/>
        <v>37</v>
      </c>
      <c r="BN111" s="518">
        <v>1</v>
      </c>
      <c r="BO111" s="412">
        <f t="shared" si="105"/>
        <v>1</v>
      </c>
      <c r="BP111" s="414">
        <f t="shared" si="106"/>
        <v>0</v>
      </c>
      <c r="BQ111" s="559">
        <v>1</v>
      </c>
      <c r="BR111" s="590"/>
      <c r="BS111" s="595">
        <v>41768</v>
      </c>
      <c r="BT111" s="415" t="str">
        <f t="shared" si="90"/>
        <v>To be realised</v>
      </c>
      <c r="BU111" s="579">
        <v>7</v>
      </c>
      <c r="BV111" s="579">
        <v>6</v>
      </c>
      <c r="BW111" s="416">
        <f t="shared" si="91"/>
        <v>7</v>
      </c>
      <c r="BX111" s="417">
        <f t="shared" si="107"/>
        <v>0</v>
      </c>
      <c r="BY111" s="409">
        <f t="shared" si="108"/>
        <v>0</v>
      </c>
      <c r="BZ111" s="446">
        <f t="shared" si="92"/>
        <v>6</v>
      </c>
      <c r="CA111" s="598"/>
      <c r="CB111" s="559">
        <v>0.85</v>
      </c>
      <c r="CC111" s="451">
        <f t="shared" si="87"/>
        <v>31.45</v>
      </c>
      <c r="CD111" s="598">
        <v>1</v>
      </c>
      <c r="CE111" s="418" t="str">
        <f t="shared" si="88"/>
        <v>Excellent coverage</v>
      </c>
      <c r="CF111" s="550">
        <v>0</v>
      </c>
      <c r="CG111" s="607" t="s">
        <v>65</v>
      </c>
      <c r="CH111" s="605"/>
    </row>
    <row r="112" spans="2:86" s="40" customFormat="1" ht="30.75" customHeight="1" x14ac:dyDescent="0.25">
      <c r="B112" s="512" t="s">
        <v>188</v>
      </c>
      <c r="C112" s="513" t="s">
        <v>592</v>
      </c>
      <c r="D112" s="514" t="s">
        <v>267</v>
      </c>
      <c r="E112" s="513" t="s">
        <v>222</v>
      </c>
      <c r="F112" s="514">
        <v>97.325019999999995</v>
      </c>
      <c r="G112" s="514">
        <v>24.245100000000001</v>
      </c>
      <c r="H112" s="514" t="s">
        <v>467</v>
      </c>
      <c r="I112" s="514" t="s">
        <v>218</v>
      </c>
      <c r="J112" s="518">
        <v>259</v>
      </c>
      <c r="K112" s="518">
        <v>1182</v>
      </c>
      <c r="L112" s="518">
        <v>1182</v>
      </c>
      <c r="M112" s="405" t="str">
        <f t="shared" si="93"/>
        <v>3. Large</v>
      </c>
      <c r="N112" s="519" t="s">
        <v>235</v>
      </c>
      <c r="O112" s="533" t="s">
        <v>237</v>
      </c>
      <c r="P112" s="439" t="str">
        <f t="shared" si="54"/>
        <v>Covered</v>
      </c>
      <c r="Q112" s="534" t="s">
        <v>656</v>
      </c>
      <c r="R112" s="514"/>
      <c r="S112" s="534"/>
      <c r="T112" s="536" t="s">
        <v>260</v>
      </c>
      <c r="U112" s="436" t="str">
        <f t="shared" si="55"/>
        <v>Documented</v>
      </c>
      <c r="V112" s="544">
        <v>0</v>
      </c>
      <c r="W112" s="518">
        <v>0</v>
      </c>
      <c r="X112" s="545" t="s">
        <v>19</v>
      </c>
      <c r="Y112" s="544">
        <v>1</v>
      </c>
      <c r="Z112" s="518">
        <v>0</v>
      </c>
      <c r="AA112" s="545">
        <v>52740</v>
      </c>
      <c r="AB112" s="558">
        <v>0.2</v>
      </c>
      <c r="AC112" s="559">
        <v>0.01</v>
      </c>
      <c r="AD112" s="443">
        <f t="shared" si="56"/>
        <v>1</v>
      </c>
      <c r="AE112" s="407">
        <f t="shared" si="57"/>
        <v>1182</v>
      </c>
      <c r="AF112" s="408">
        <f t="shared" si="94"/>
        <v>1</v>
      </c>
      <c r="AG112" s="409">
        <f t="shared" si="59"/>
        <v>1182</v>
      </c>
      <c r="AH112" s="406">
        <f t="shared" si="95"/>
        <v>1</v>
      </c>
      <c r="AI112" s="409">
        <f t="shared" si="61"/>
        <v>1182</v>
      </c>
      <c r="AJ112" s="410" t="str">
        <f t="shared" si="96"/>
        <v>80-100%</v>
      </c>
      <c r="AK112" s="406">
        <f t="shared" si="97"/>
        <v>0</v>
      </c>
      <c r="AL112" s="411">
        <f t="shared" si="98"/>
        <v>0</v>
      </c>
      <c r="AM112" s="409">
        <f t="shared" si="99"/>
        <v>1.9550000000000001</v>
      </c>
      <c r="AN112" s="409">
        <f t="shared" si="100"/>
        <v>2.59</v>
      </c>
      <c r="AO112" s="409">
        <f t="shared" si="67"/>
        <v>236.4</v>
      </c>
      <c r="AP112" s="569">
        <v>1</v>
      </c>
      <c r="AQ112" s="567">
        <f t="shared" si="89"/>
        <v>1182</v>
      </c>
      <c r="AR112" s="559"/>
      <c r="AS112" s="544">
        <v>33</v>
      </c>
      <c r="AT112" s="518">
        <v>10</v>
      </c>
      <c r="AU112" s="518">
        <v>41</v>
      </c>
      <c r="AV112" s="518" t="s">
        <v>300</v>
      </c>
      <c r="AW112" s="412">
        <f t="shared" si="101"/>
        <v>0.86294416243654826</v>
      </c>
      <c r="AX112" s="409">
        <f t="shared" si="69"/>
        <v>1020</v>
      </c>
      <c r="AY112" s="412">
        <f t="shared" si="102"/>
        <v>0.16920473773265654</v>
      </c>
      <c r="AZ112" s="409">
        <f t="shared" si="71"/>
        <v>200.00000000000003</v>
      </c>
      <c r="BA112" s="412">
        <f t="shared" si="103"/>
        <v>0.69373942470389172</v>
      </c>
      <c r="BB112" s="409">
        <f t="shared" si="73"/>
        <v>820</v>
      </c>
      <c r="BC112" s="579">
        <v>2</v>
      </c>
      <c r="BD112" s="569">
        <v>0.87</v>
      </c>
      <c r="BE112" s="413">
        <f t="shared" si="104"/>
        <v>1028.3399999999999</v>
      </c>
      <c r="BF112" s="414">
        <f t="shared" si="75"/>
        <v>20.100000000000001</v>
      </c>
      <c r="BG112" s="518">
        <v>7</v>
      </c>
      <c r="BH112" s="518" t="s">
        <v>300</v>
      </c>
      <c r="BI112" s="412">
        <f t="shared" si="76"/>
        <v>0.59221658206429784</v>
      </c>
      <c r="BJ112" s="409">
        <f t="shared" si="77"/>
        <v>700</v>
      </c>
      <c r="BK112" s="414">
        <f t="shared" si="78"/>
        <v>4.82</v>
      </c>
      <c r="BL112" s="580">
        <v>0.59</v>
      </c>
      <c r="BM112" s="409">
        <f t="shared" si="79"/>
        <v>697.38</v>
      </c>
      <c r="BN112" s="518">
        <v>15</v>
      </c>
      <c r="BO112" s="412">
        <f t="shared" si="105"/>
        <v>1</v>
      </c>
      <c r="BP112" s="414">
        <f t="shared" si="106"/>
        <v>0</v>
      </c>
      <c r="BQ112" s="559">
        <v>1</v>
      </c>
      <c r="BR112" s="590" t="s">
        <v>855</v>
      </c>
      <c r="BS112" s="595">
        <v>41768</v>
      </c>
      <c r="BT112" s="415" t="str">
        <f t="shared" si="90"/>
        <v>To be realised</v>
      </c>
      <c r="BU112" s="579">
        <v>153</v>
      </c>
      <c r="BV112" s="579">
        <v>6</v>
      </c>
      <c r="BW112" s="416">
        <f t="shared" si="91"/>
        <v>259</v>
      </c>
      <c r="BX112" s="417">
        <f t="shared" si="107"/>
        <v>0</v>
      </c>
      <c r="BY112" s="409">
        <f t="shared" si="108"/>
        <v>0</v>
      </c>
      <c r="BZ112" s="446">
        <f t="shared" si="92"/>
        <v>6</v>
      </c>
      <c r="CA112" s="598"/>
      <c r="CB112" s="559">
        <v>0.85</v>
      </c>
      <c r="CC112" s="451">
        <f t="shared" si="87"/>
        <v>1004.6999999999999</v>
      </c>
      <c r="CD112" s="598">
        <v>3</v>
      </c>
      <c r="CE112" s="418" t="str">
        <f t="shared" si="88"/>
        <v>Excellent coverage</v>
      </c>
      <c r="CF112" s="550">
        <v>0</v>
      </c>
      <c r="CG112" s="607" t="s">
        <v>65</v>
      </c>
      <c r="CH112" s="605"/>
    </row>
    <row r="113" spans="2:86" s="40" customFormat="1" ht="30.75" customHeight="1" x14ac:dyDescent="0.25">
      <c r="B113" s="512" t="s">
        <v>188</v>
      </c>
      <c r="C113" s="513" t="s">
        <v>594</v>
      </c>
      <c r="D113" s="514" t="s">
        <v>267</v>
      </c>
      <c r="E113" s="513" t="s">
        <v>196</v>
      </c>
      <c r="F113" s="514">
        <v>97.346940000000004</v>
      </c>
      <c r="G113" s="514">
        <v>24.251860000000001</v>
      </c>
      <c r="H113" s="514" t="s">
        <v>467</v>
      </c>
      <c r="I113" s="514" t="s">
        <v>218</v>
      </c>
      <c r="J113" s="518">
        <v>4</v>
      </c>
      <c r="K113" s="518">
        <v>18</v>
      </c>
      <c r="L113" s="518">
        <v>18</v>
      </c>
      <c r="M113" s="405" t="str">
        <f t="shared" si="93"/>
        <v>1. Small</v>
      </c>
      <c r="N113" s="519" t="s">
        <v>284</v>
      </c>
      <c r="O113" s="533" t="s">
        <v>237</v>
      </c>
      <c r="P113" s="439" t="str">
        <f t="shared" si="54"/>
        <v>Covered</v>
      </c>
      <c r="Q113" s="534" t="s">
        <v>656</v>
      </c>
      <c r="R113" s="514"/>
      <c r="S113" s="534"/>
      <c r="T113" s="536" t="s">
        <v>260</v>
      </c>
      <c r="U113" s="436" t="str">
        <f t="shared" si="55"/>
        <v>Documented</v>
      </c>
      <c r="V113" s="544">
        <v>0</v>
      </c>
      <c r="W113" s="518">
        <v>0</v>
      </c>
      <c r="X113" s="545" t="s">
        <v>19</v>
      </c>
      <c r="Y113" s="544">
        <v>2</v>
      </c>
      <c r="Z113" s="518">
        <v>0</v>
      </c>
      <c r="AA113" s="545">
        <v>720</v>
      </c>
      <c r="AB113" s="558">
        <v>0</v>
      </c>
      <c r="AC113" s="559">
        <v>0.5</v>
      </c>
      <c r="AD113" s="443">
        <f t="shared" si="56"/>
        <v>1</v>
      </c>
      <c r="AE113" s="407">
        <f t="shared" si="57"/>
        <v>18</v>
      </c>
      <c r="AF113" s="408">
        <f t="shared" si="94"/>
        <v>1</v>
      </c>
      <c r="AG113" s="409">
        <f t="shared" si="59"/>
        <v>18</v>
      </c>
      <c r="AH113" s="406">
        <f t="shared" si="95"/>
        <v>1</v>
      </c>
      <c r="AI113" s="409">
        <f t="shared" si="61"/>
        <v>18</v>
      </c>
      <c r="AJ113" s="410" t="str">
        <f t="shared" si="96"/>
        <v>80-100%</v>
      </c>
      <c r="AK113" s="406">
        <f t="shared" si="97"/>
        <v>0</v>
      </c>
      <c r="AL113" s="411">
        <f t="shared" si="98"/>
        <v>0</v>
      </c>
      <c r="AM113" s="409">
        <f t="shared" si="99"/>
        <v>0</v>
      </c>
      <c r="AN113" s="409">
        <f t="shared" si="100"/>
        <v>2</v>
      </c>
      <c r="AO113" s="409">
        <f t="shared" si="67"/>
        <v>0</v>
      </c>
      <c r="AP113" s="569">
        <v>1</v>
      </c>
      <c r="AQ113" s="567">
        <f t="shared" si="89"/>
        <v>18</v>
      </c>
      <c r="AR113" s="559"/>
      <c r="AS113" s="544">
        <v>0</v>
      </c>
      <c r="AT113" s="518">
        <v>0</v>
      </c>
      <c r="AU113" s="518">
        <v>5</v>
      </c>
      <c r="AV113" s="518" t="s">
        <v>299</v>
      </c>
      <c r="AW113" s="412">
        <f t="shared" si="101"/>
        <v>1</v>
      </c>
      <c r="AX113" s="409">
        <f t="shared" si="69"/>
        <v>18</v>
      </c>
      <c r="AY113" s="412">
        <f t="shared" si="102"/>
        <v>0</v>
      </c>
      <c r="AZ113" s="409">
        <f t="shared" si="71"/>
        <v>0</v>
      </c>
      <c r="BA113" s="412">
        <f t="shared" si="103"/>
        <v>1</v>
      </c>
      <c r="BB113" s="409">
        <f t="shared" si="73"/>
        <v>18</v>
      </c>
      <c r="BC113" s="579">
        <v>0</v>
      </c>
      <c r="BD113" s="569">
        <v>1</v>
      </c>
      <c r="BE113" s="413">
        <f t="shared" si="104"/>
        <v>18</v>
      </c>
      <c r="BF113" s="414">
        <f t="shared" si="75"/>
        <v>0</v>
      </c>
      <c r="BG113" s="518">
        <v>2</v>
      </c>
      <c r="BH113" s="518" t="s">
        <v>299</v>
      </c>
      <c r="BI113" s="412">
        <f t="shared" si="76"/>
        <v>1</v>
      </c>
      <c r="BJ113" s="409">
        <f t="shared" si="77"/>
        <v>18</v>
      </c>
      <c r="BK113" s="414">
        <f t="shared" si="78"/>
        <v>0</v>
      </c>
      <c r="BL113" s="580">
        <v>1</v>
      </c>
      <c r="BM113" s="409">
        <f t="shared" si="79"/>
        <v>18</v>
      </c>
      <c r="BN113" s="518">
        <v>1</v>
      </c>
      <c r="BO113" s="412">
        <f t="shared" si="105"/>
        <v>1</v>
      </c>
      <c r="BP113" s="414">
        <f t="shared" si="106"/>
        <v>0</v>
      </c>
      <c r="BQ113" s="559">
        <v>1</v>
      </c>
      <c r="BR113" s="590"/>
      <c r="BS113" s="595">
        <v>41771</v>
      </c>
      <c r="BT113" s="415" t="str">
        <f t="shared" si="90"/>
        <v>To be realised</v>
      </c>
      <c r="BU113" s="579">
        <v>4</v>
      </c>
      <c r="BV113" s="579">
        <v>6</v>
      </c>
      <c r="BW113" s="416">
        <f t="shared" si="91"/>
        <v>4</v>
      </c>
      <c r="BX113" s="417">
        <f t="shared" si="107"/>
        <v>0</v>
      </c>
      <c r="BY113" s="409">
        <f t="shared" si="108"/>
        <v>0</v>
      </c>
      <c r="BZ113" s="446">
        <f t="shared" si="92"/>
        <v>6</v>
      </c>
      <c r="CA113" s="598"/>
      <c r="CB113" s="559">
        <v>0.8</v>
      </c>
      <c r="CC113" s="451">
        <f t="shared" si="87"/>
        <v>14.4</v>
      </c>
      <c r="CD113" s="598">
        <v>1</v>
      </c>
      <c r="CE113" s="418" t="str">
        <f t="shared" si="88"/>
        <v>Excellent coverage</v>
      </c>
      <c r="CF113" s="550">
        <v>0</v>
      </c>
      <c r="CG113" s="607" t="s">
        <v>65</v>
      </c>
      <c r="CH113" s="605"/>
    </row>
    <row r="114" spans="2:86" s="40" customFormat="1" ht="30.75" customHeight="1" x14ac:dyDescent="0.25">
      <c r="B114" s="512" t="s">
        <v>188</v>
      </c>
      <c r="C114" s="513" t="s">
        <v>595</v>
      </c>
      <c r="D114" s="514" t="s">
        <v>267</v>
      </c>
      <c r="E114" s="513" t="s">
        <v>197</v>
      </c>
      <c r="F114" s="514">
        <v>97.344359999999995</v>
      </c>
      <c r="G114" s="514">
        <v>24.250689999999999</v>
      </c>
      <c r="H114" s="514" t="s">
        <v>467</v>
      </c>
      <c r="I114" s="514" t="s">
        <v>218</v>
      </c>
      <c r="J114" s="518">
        <v>182</v>
      </c>
      <c r="K114" s="518">
        <v>730</v>
      </c>
      <c r="L114" s="518">
        <v>730</v>
      </c>
      <c r="M114" s="405" t="str">
        <f t="shared" si="93"/>
        <v>2. Medium</v>
      </c>
      <c r="N114" s="519" t="s">
        <v>239</v>
      </c>
      <c r="O114" s="533" t="s">
        <v>237</v>
      </c>
      <c r="P114" s="439" t="str">
        <f t="shared" si="54"/>
        <v>Covered</v>
      </c>
      <c r="Q114" s="534" t="s">
        <v>656</v>
      </c>
      <c r="R114" s="514"/>
      <c r="S114" s="534"/>
      <c r="T114" s="536" t="s">
        <v>260</v>
      </c>
      <c r="U114" s="436" t="str">
        <f t="shared" si="55"/>
        <v>Documented</v>
      </c>
      <c r="V114" s="544">
        <v>0</v>
      </c>
      <c r="W114" s="518">
        <v>0</v>
      </c>
      <c r="X114" s="545" t="s">
        <v>19</v>
      </c>
      <c r="Y114" s="544">
        <v>1</v>
      </c>
      <c r="Z114" s="518">
        <v>0</v>
      </c>
      <c r="AA114" s="545">
        <v>15020</v>
      </c>
      <c r="AB114" s="558">
        <v>0.1</v>
      </c>
      <c r="AC114" s="559">
        <v>0.01</v>
      </c>
      <c r="AD114" s="443">
        <f t="shared" si="56"/>
        <v>1</v>
      </c>
      <c r="AE114" s="407">
        <f t="shared" si="57"/>
        <v>730</v>
      </c>
      <c r="AF114" s="408">
        <f t="shared" si="94"/>
        <v>1</v>
      </c>
      <c r="AG114" s="409">
        <f t="shared" si="59"/>
        <v>730</v>
      </c>
      <c r="AH114" s="406">
        <f t="shared" si="95"/>
        <v>1</v>
      </c>
      <c r="AI114" s="409">
        <f t="shared" si="61"/>
        <v>730</v>
      </c>
      <c r="AJ114" s="410" t="str">
        <f t="shared" si="96"/>
        <v>80-100%</v>
      </c>
      <c r="AK114" s="406">
        <f t="shared" si="97"/>
        <v>0</v>
      </c>
      <c r="AL114" s="411">
        <f t="shared" si="98"/>
        <v>0</v>
      </c>
      <c r="AM114" s="409">
        <f t="shared" si="99"/>
        <v>0.82499999999999996</v>
      </c>
      <c r="AN114" s="409">
        <f t="shared" si="100"/>
        <v>1.82</v>
      </c>
      <c r="AO114" s="409">
        <f t="shared" si="67"/>
        <v>73</v>
      </c>
      <c r="AP114" s="569">
        <v>1</v>
      </c>
      <c r="AQ114" s="567">
        <f t="shared" si="89"/>
        <v>730</v>
      </c>
      <c r="AR114" s="559"/>
      <c r="AS114" s="544">
        <v>64</v>
      </c>
      <c r="AT114" s="518">
        <v>15</v>
      </c>
      <c r="AU114" s="518">
        <v>10</v>
      </c>
      <c r="AV114" s="518" t="s">
        <v>298</v>
      </c>
      <c r="AW114" s="412">
        <f t="shared" si="101"/>
        <v>0.68493150684931503</v>
      </c>
      <c r="AX114" s="409">
        <f t="shared" si="69"/>
        <v>500</v>
      </c>
      <c r="AY114" s="412">
        <f t="shared" si="102"/>
        <v>0.41095890410958902</v>
      </c>
      <c r="AZ114" s="409">
        <f t="shared" si="71"/>
        <v>300</v>
      </c>
      <c r="BA114" s="412">
        <f t="shared" si="103"/>
        <v>0.27397260273972601</v>
      </c>
      <c r="BB114" s="409">
        <f t="shared" si="73"/>
        <v>200</v>
      </c>
      <c r="BC114" s="579">
        <v>0</v>
      </c>
      <c r="BD114" s="569">
        <v>0.68</v>
      </c>
      <c r="BE114" s="413">
        <f t="shared" si="104"/>
        <v>496.40000000000003</v>
      </c>
      <c r="BF114" s="414">
        <f t="shared" si="75"/>
        <v>26.5</v>
      </c>
      <c r="BG114" s="518">
        <v>4</v>
      </c>
      <c r="BH114" s="518" t="s">
        <v>299</v>
      </c>
      <c r="BI114" s="412">
        <f t="shared" si="76"/>
        <v>0.54794520547945202</v>
      </c>
      <c r="BJ114" s="409">
        <f t="shared" si="77"/>
        <v>400</v>
      </c>
      <c r="BK114" s="414">
        <f t="shared" si="78"/>
        <v>3.3</v>
      </c>
      <c r="BL114" s="580">
        <v>0.55000000000000004</v>
      </c>
      <c r="BM114" s="409">
        <f t="shared" si="79"/>
        <v>401.50000000000006</v>
      </c>
      <c r="BN114" s="518">
        <v>6</v>
      </c>
      <c r="BO114" s="412">
        <f t="shared" si="105"/>
        <v>0.82191780821917804</v>
      </c>
      <c r="BP114" s="414">
        <f t="shared" si="106"/>
        <v>1.2999999999999998</v>
      </c>
      <c r="BQ114" s="559">
        <v>0.82</v>
      </c>
      <c r="BR114" s="590" t="s">
        <v>855</v>
      </c>
      <c r="BS114" s="595">
        <v>41768</v>
      </c>
      <c r="BT114" s="415" t="str">
        <f t="shared" si="90"/>
        <v>To be realised</v>
      </c>
      <c r="BU114" s="579">
        <v>209</v>
      </c>
      <c r="BV114" s="579">
        <v>6</v>
      </c>
      <c r="BW114" s="416">
        <f t="shared" si="91"/>
        <v>182</v>
      </c>
      <c r="BX114" s="417">
        <f t="shared" si="107"/>
        <v>0</v>
      </c>
      <c r="BY114" s="409">
        <f t="shared" si="108"/>
        <v>0</v>
      </c>
      <c r="BZ114" s="446">
        <f t="shared" si="92"/>
        <v>6</v>
      </c>
      <c r="CA114" s="598"/>
      <c r="CB114" s="559">
        <v>0.75</v>
      </c>
      <c r="CC114" s="451">
        <f t="shared" si="87"/>
        <v>547.5</v>
      </c>
      <c r="CD114" s="598">
        <v>1</v>
      </c>
      <c r="CE114" s="418" t="str">
        <f t="shared" si="88"/>
        <v>Good coverage</v>
      </c>
      <c r="CF114" s="550">
        <v>0</v>
      </c>
      <c r="CG114" s="607" t="s">
        <v>65</v>
      </c>
      <c r="CH114" s="605"/>
    </row>
    <row r="115" spans="2:86" s="40" customFormat="1" ht="30.75" customHeight="1" x14ac:dyDescent="0.25">
      <c r="B115" s="512" t="s">
        <v>223</v>
      </c>
      <c r="C115" s="513" t="s">
        <v>604</v>
      </c>
      <c r="D115" s="514" t="s">
        <v>267</v>
      </c>
      <c r="E115" s="513" t="s">
        <v>201</v>
      </c>
      <c r="F115" s="514">
        <v>96.807353000000006</v>
      </c>
      <c r="G115" s="514">
        <v>24.200361000000001</v>
      </c>
      <c r="H115" s="514" t="s">
        <v>467</v>
      </c>
      <c r="I115" s="514" t="s">
        <v>218</v>
      </c>
      <c r="J115" s="518">
        <v>88</v>
      </c>
      <c r="K115" s="518">
        <v>278</v>
      </c>
      <c r="L115" s="518">
        <v>278</v>
      </c>
      <c r="M115" s="405" t="str">
        <f t="shared" si="93"/>
        <v>2. Medium</v>
      </c>
      <c r="N115" s="519" t="s">
        <v>239</v>
      </c>
      <c r="O115" s="533" t="s">
        <v>237</v>
      </c>
      <c r="P115" s="439" t="str">
        <f t="shared" si="54"/>
        <v>Covered</v>
      </c>
      <c r="Q115" s="534" t="s">
        <v>656</v>
      </c>
      <c r="R115" s="514"/>
      <c r="S115" s="534"/>
      <c r="T115" s="536" t="s">
        <v>260</v>
      </c>
      <c r="U115" s="436" t="str">
        <f t="shared" si="55"/>
        <v>Documented</v>
      </c>
      <c r="V115" s="544">
        <v>0</v>
      </c>
      <c r="W115" s="518">
        <v>0</v>
      </c>
      <c r="X115" s="545" t="s">
        <v>19</v>
      </c>
      <c r="Y115" s="544">
        <v>0</v>
      </c>
      <c r="Z115" s="518">
        <v>1</v>
      </c>
      <c r="AA115" s="545">
        <v>11745</v>
      </c>
      <c r="AB115" s="558">
        <v>0.01</v>
      </c>
      <c r="AC115" s="559">
        <v>0</v>
      </c>
      <c r="AD115" s="443">
        <f t="shared" si="56"/>
        <v>1</v>
      </c>
      <c r="AE115" s="407">
        <f t="shared" si="57"/>
        <v>278</v>
      </c>
      <c r="AF115" s="408">
        <f t="shared" si="94"/>
        <v>1</v>
      </c>
      <c r="AG115" s="409">
        <f t="shared" si="59"/>
        <v>278</v>
      </c>
      <c r="AH115" s="406">
        <f t="shared" si="95"/>
        <v>1</v>
      </c>
      <c r="AI115" s="409">
        <f t="shared" si="61"/>
        <v>278</v>
      </c>
      <c r="AJ115" s="410" t="str">
        <f t="shared" si="96"/>
        <v>80-100%</v>
      </c>
      <c r="AK115" s="406">
        <f t="shared" si="97"/>
        <v>0</v>
      </c>
      <c r="AL115" s="411">
        <f t="shared" si="98"/>
        <v>0</v>
      </c>
      <c r="AM115" s="409">
        <f t="shared" si="99"/>
        <v>0</v>
      </c>
      <c r="AN115" s="409">
        <f t="shared" si="100"/>
        <v>0</v>
      </c>
      <c r="AO115" s="409">
        <f t="shared" si="67"/>
        <v>2.7800000000000002</v>
      </c>
      <c r="AP115" s="569">
        <v>1</v>
      </c>
      <c r="AQ115" s="567">
        <f t="shared" si="89"/>
        <v>278</v>
      </c>
      <c r="AR115" s="559"/>
      <c r="AS115" s="544">
        <v>12</v>
      </c>
      <c r="AT115" s="518">
        <v>8</v>
      </c>
      <c r="AU115" s="518">
        <v>11</v>
      </c>
      <c r="AV115" s="518" t="s">
        <v>298</v>
      </c>
      <c r="AW115" s="412">
        <f t="shared" si="101"/>
        <v>1</v>
      </c>
      <c r="AX115" s="409">
        <f t="shared" si="69"/>
        <v>278</v>
      </c>
      <c r="AY115" s="412">
        <f t="shared" si="102"/>
        <v>0.20863309352517989</v>
      </c>
      <c r="AZ115" s="409">
        <f t="shared" si="71"/>
        <v>58.000000000000007</v>
      </c>
      <c r="BA115" s="412">
        <f t="shared" si="103"/>
        <v>0.79136690647482011</v>
      </c>
      <c r="BB115" s="409">
        <f t="shared" si="73"/>
        <v>220</v>
      </c>
      <c r="BC115" s="579">
        <v>0</v>
      </c>
      <c r="BD115" s="569">
        <v>1</v>
      </c>
      <c r="BE115" s="413">
        <f t="shared" si="104"/>
        <v>278</v>
      </c>
      <c r="BF115" s="414">
        <f t="shared" si="75"/>
        <v>2.9000000000000004</v>
      </c>
      <c r="BG115" s="518">
        <v>5</v>
      </c>
      <c r="BH115" s="518" t="s">
        <v>91</v>
      </c>
      <c r="BI115" s="412">
        <f t="shared" si="76"/>
        <v>1</v>
      </c>
      <c r="BJ115" s="409">
        <f t="shared" si="77"/>
        <v>278</v>
      </c>
      <c r="BK115" s="414">
        <f t="shared" si="78"/>
        <v>0</v>
      </c>
      <c r="BL115" s="580">
        <v>1</v>
      </c>
      <c r="BM115" s="409">
        <f t="shared" si="79"/>
        <v>278</v>
      </c>
      <c r="BN115" s="518">
        <v>5</v>
      </c>
      <c r="BO115" s="412">
        <f t="shared" si="105"/>
        <v>1</v>
      </c>
      <c r="BP115" s="414">
        <f t="shared" si="106"/>
        <v>0</v>
      </c>
      <c r="BQ115" s="559">
        <v>1</v>
      </c>
      <c r="BR115" s="590"/>
      <c r="BS115" s="595">
        <v>41779</v>
      </c>
      <c r="BT115" s="415" t="str">
        <f t="shared" si="90"/>
        <v>To be realised</v>
      </c>
      <c r="BU115" s="579">
        <v>70</v>
      </c>
      <c r="BV115" s="579">
        <v>6</v>
      </c>
      <c r="BW115" s="416">
        <f t="shared" si="91"/>
        <v>88</v>
      </c>
      <c r="BX115" s="417">
        <f t="shared" si="107"/>
        <v>0</v>
      </c>
      <c r="BY115" s="409">
        <f t="shared" si="108"/>
        <v>0</v>
      </c>
      <c r="BZ115" s="446">
        <f t="shared" si="92"/>
        <v>6</v>
      </c>
      <c r="CA115" s="598"/>
      <c r="CB115" s="559">
        <v>0.6</v>
      </c>
      <c r="CC115" s="451">
        <f t="shared" si="87"/>
        <v>166.79999999999998</v>
      </c>
      <c r="CD115" s="598">
        <v>1</v>
      </c>
      <c r="CE115" s="418" t="str">
        <f t="shared" si="88"/>
        <v>Excellent coverage</v>
      </c>
      <c r="CF115" s="550">
        <v>0</v>
      </c>
      <c r="CG115" s="607" t="s">
        <v>301</v>
      </c>
      <c r="CH115" s="605"/>
    </row>
    <row r="116" spans="2:86" s="40" customFormat="1" ht="30.75" customHeight="1" x14ac:dyDescent="0.25">
      <c r="B116" s="512" t="s">
        <v>223</v>
      </c>
      <c r="C116" s="513" t="s">
        <v>605</v>
      </c>
      <c r="D116" s="514" t="s">
        <v>267</v>
      </c>
      <c r="E116" s="513" t="s">
        <v>202</v>
      </c>
      <c r="F116" s="514">
        <v>96.807353000000006</v>
      </c>
      <c r="G116" s="514">
        <v>24.200367</v>
      </c>
      <c r="H116" s="514" t="s">
        <v>467</v>
      </c>
      <c r="I116" s="514" t="s">
        <v>218</v>
      </c>
      <c r="J116" s="518">
        <v>49</v>
      </c>
      <c r="K116" s="518">
        <v>175</v>
      </c>
      <c r="L116" s="518">
        <v>175</v>
      </c>
      <c r="M116" s="405" t="str">
        <f t="shared" si="93"/>
        <v>1. Small</v>
      </c>
      <c r="N116" s="519" t="s">
        <v>235</v>
      </c>
      <c r="O116" s="533" t="s">
        <v>237</v>
      </c>
      <c r="P116" s="439" t="str">
        <f t="shared" si="54"/>
        <v>Covered</v>
      </c>
      <c r="Q116" s="534" t="s">
        <v>656</v>
      </c>
      <c r="R116" s="514"/>
      <c r="S116" s="534"/>
      <c r="T116" s="536" t="s">
        <v>260</v>
      </c>
      <c r="U116" s="436" t="str">
        <f t="shared" si="55"/>
        <v>Documented</v>
      </c>
      <c r="V116" s="544">
        <v>0</v>
      </c>
      <c r="W116" s="518">
        <v>0</v>
      </c>
      <c r="X116" s="545" t="s">
        <v>19</v>
      </c>
      <c r="Y116" s="544">
        <v>0</v>
      </c>
      <c r="Z116" s="518">
        <v>3</v>
      </c>
      <c r="AA116" s="545">
        <v>4000</v>
      </c>
      <c r="AB116" s="558">
        <v>0.02</v>
      </c>
      <c r="AC116" s="559">
        <v>0.21</v>
      </c>
      <c r="AD116" s="443">
        <f t="shared" si="56"/>
        <v>1</v>
      </c>
      <c r="AE116" s="407">
        <f t="shared" si="57"/>
        <v>175</v>
      </c>
      <c r="AF116" s="408">
        <f t="shared" si="94"/>
        <v>1</v>
      </c>
      <c r="AG116" s="409">
        <f t="shared" si="59"/>
        <v>175</v>
      </c>
      <c r="AH116" s="406">
        <f t="shared" si="95"/>
        <v>1</v>
      </c>
      <c r="AI116" s="409">
        <f t="shared" si="61"/>
        <v>175</v>
      </c>
      <c r="AJ116" s="410" t="str">
        <f t="shared" si="96"/>
        <v>80-100%</v>
      </c>
      <c r="AK116" s="406">
        <f t="shared" si="97"/>
        <v>0</v>
      </c>
      <c r="AL116" s="411">
        <f t="shared" si="98"/>
        <v>0</v>
      </c>
      <c r="AM116" s="409">
        <f t="shared" si="99"/>
        <v>0</v>
      </c>
      <c r="AN116" s="409">
        <f t="shared" si="100"/>
        <v>10.29</v>
      </c>
      <c r="AO116" s="409">
        <f t="shared" si="67"/>
        <v>3.5</v>
      </c>
      <c r="AP116" s="569">
        <v>1</v>
      </c>
      <c r="AQ116" s="567">
        <f t="shared" si="89"/>
        <v>175</v>
      </c>
      <c r="AR116" s="559"/>
      <c r="AS116" s="544">
        <v>14</v>
      </c>
      <c r="AT116" s="518">
        <v>12</v>
      </c>
      <c r="AU116" s="518">
        <v>18</v>
      </c>
      <c r="AV116" s="518" t="s">
        <v>300</v>
      </c>
      <c r="AW116" s="412">
        <f t="shared" si="101"/>
        <v>1</v>
      </c>
      <c r="AX116" s="409">
        <f t="shared" si="69"/>
        <v>175</v>
      </c>
      <c r="AY116" s="412">
        <f t="shared" si="102"/>
        <v>0</v>
      </c>
      <c r="AZ116" s="409">
        <f t="shared" si="71"/>
        <v>0</v>
      </c>
      <c r="BA116" s="412">
        <f t="shared" si="103"/>
        <v>1</v>
      </c>
      <c r="BB116" s="409">
        <f t="shared" si="73"/>
        <v>175</v>
      </c>
      <c r="BC116" s="579">
        <v>0</v>
      </c>
      <c r="BD116" s="569">
        <v>1</v>
      </c>
      <c r="BE116" s="413">
        <f t="shared" si="104"/>
        <v>175</v>
      </c>
      <c r="BF116" s="414">
        <f t="shared" si="75"/>
        <v>0</v>
      </c>
      <c r="BG116" s="518">
        <v>4</v>
      </c>
      <c r="BH116" s="518" t="s">
        <v>91</v>
      </c>
      <c r="BI116" s="412">
        <f t="shared" si="76"/>
        <v>1</v>
      </c>
      <c r="BJ116" s="409">
        <f t="shared" si="77"/>
        <v>175</v>
      </c>
      <c r="BK116" s="414">
        <f t="shared" si="78"/>
        <v>0</v>
      </c>
      <c r="BL116" s="580">
        <v>1</v>
      </c>
      <c r="BM116" s="409">
        <f t="shared" si="79"/>
        <v>175</v>
      </c>
      <c r="BN116" s="518">
        <v>2</v>
      </c>
      <c r="BO116" s="412">
        <f t="shared" si="105"/>
        <v>1</v>
      </c>
      <c r="BP116" s="414">
        <f t="shared" si="106"/>
        <v>0</v>
      </c>
      <c r="BQ116" s="559">
        <v>1</v>
      </c>
      <c r="BR116" s="590"/>
      <c r="BS116" s="595">
        <v>41779</v>
      </c>
      <c r="BT116" s="415" t="str">
        <f t="shared" si="90"/>
        <v>To be realised</v>
      </c>
      <c r="BU116" s="579">
        <v>54</v>
      </c>
      <c r="BV116" s="579">
        <v>6</v>
      </c>
      <c r="BW116" s="416">
        <f t="shared" si="91"/>
        <v>49</v>
      </c>
      <c r="BX116" s="417">
        <f t="shared" si="107"/>
        <v>0</v>
      </c>
      <c r="BY116" s="409">
        <f t="shared" si="108"/>
        <v>0</v>
      </c>
      <c r="BZ116" s="446">
        <f t="shared" si="92"/>
        <v>6</v>
      </c>
      <c r="CA116" s="598"/>
      <c r="CB116" s="559">
        <v>0.65</v>
      </c>
      <c r="CC116" s="451">
        <f t="shared" si="87"/>
        <v>113.75</v>
      </c>
      <c r="CD116" s="598">
        <v>1</v>
      </c>
      <c r="CE116" s="418" t="str">
        <f t="shared" si="88"/>
        <v>Excellent coverage</v>
      </c>
      <c r="CF116" s="550">
        <v>0</v>
      </c>
      <c r="CG116" s="607" t="s">
        <v>65</v>
      </c>
      <c r="CH116" s="605"/>
    </row>
    <row r="117" spans="2:86" s="40" customFormat="1" ht="30.75" customHeight="1" x14ac:dyDescent="0.2">
      <c r="B117" s="512" t="s">
        <v>180</v>
      </c>
      <c r="C117" s="513" t="s">
        <v>527</v>
      </c>
      <c r="D117" s="514" t="s">
        <v>267</v>
      </c>
      <c r="E117" s="513" t="s">
        <v>281</v>
      </c>
      <c r="F117" s="514">
        <v>97.238829999999993</v>
      </c>
      <c r="G117" s="514">
        <v>24.260719999999999</v>
      </c>
      <c r="H117" s="514" t="s">
        <v>467</v>
      </c>
      <c r="I117" s="514" t="s">
        <v>218</v>
      </c>
      <c r="J117" s="515">
        <v>206</v>
      </c>
      <c r="K117" s="515">
        <v>940</v>
      </c>
      <c r="L117" s="515">
        <v>940</v>
      </c>
      <c r="M117" s="405" t="str">
        <f t="shared" si="93"/>
        <v>2. Medium</v>
      </c>
      <c r="N117" s="516" t="s">
        <v>235</v>
      </c>
      <c r="O117" s="530" t="s">
        <v>238</v>
      </c>
      <c r="P117" s="439" t="str">
        <f t="shared" si="54"/>
        <v>Covered</v>
      </c>
      <c r="Q117" s="531">
        <v>42247</v>
      </c>
      <c r="R117" s="532"/>
      <c r="S117" s="531"/>
      <c r="T117" s="516" t="s">
        <v>260</v>
      </c>
      <c r="U117" s="436" t="str">
        <f t="shared" si="55"/>
        <v>Documented</v>
      </c>
      <c r="V117" s="542">
        <v>0</v>
      </c>
      <c r="W117" s="515">
        <v>0</v>
      </c>
      <c r="X117" s="543" t="s">
        <v>19</v>
      </c>
      <c r="Y117" s="542">
        <v>0</v>
      </c>
      <c r="Z117" s="550">
        <v>8</v>
      </c>
      <c r="AA117" s="551">
        <v>34200</v>
      </c>
      <c r="AB117" s="560">
        <v>0.93</v>
      </c>
      <c r="AC117" s="561">
        <f>128/J117</f>
        <v>0.62135922330097082</v>
      </c>
      <c r="AD117" s="443">
        <f t="shared" si="56"/>
        <v>1</v>
      </c>
      <c r="AE117" s="407">
        <f t="shared" si="57"/>
        <v>940</v>
      </c>
      <c r="AF117" s="408">
        <f t="shared" si="94"/>
        <v>1</v>
      </c>
      <c r="AG117" s="409">
        <f t="shared" si="59"/>
        <v>940</v>
      </c>
      <c r="AH117" s="406">
        <f t="shared" si="95"/>
        <v>1</v>
      </c>
      <c r="AI117" s="409">
        <f t="shared" si="61"/>
        <v>940</v>
      </c>
      <c r="AJ117" s="410" t="str">
        <f t="shared" si="96"/>
        <v>80-100%</v>
      </c>
      <c r="AK117" s="406">
        <f t="shared" si="97"/>
        <v>0</v>
      </c>
      <c r="AL117" s="411">
        <f t="shared" si="98"/>
        <v>0</v>
      </c>
      <c r="AM117" s="409">
        <f t="shared" si="99"/>
        <v>0</v>
      </c>
      <c r="AN117" s="409">
        <f t="shared" si="100"/>
        <v>127.99999999999999</v>
      </c>
      <c r="AO117" s="409">
        <f t="shared" si="67"/>
        <v>874.2</v>
      </c>
      <c r="AP117" s="566">
        <v>1</v>
      </c>
      <c r="AQ117" s="567">
        <f t="shared" si="89"/>
        <v>940</v>
      </c>
      <c r="AR117" s="551"/>
      <c r="AS117" s="552">
        <v>25</v>
      </c>
      <c r="AT117" s="515">
        <v>1</v>
      </c>
      <c r="AU117" s="515">
        <v>24</v>
      </c>
      <c r="AV117" s="515" t="s">
        <v>298</v>
      </c>
      <c r="AW117" s="412">
        <f t="shared" si="101"/>
        <v>0.53191489361702127</v>
      </c>
      <c r="AX117" s="409">
        <f t="shared" si="69"/>
        <v>500</v>
      </c>
      <c r="AY117" s="412">
        <f t="shared" si="102"/>
        <v>2.1276595744680882E-2</v>
      </c>
      <c r="AZ117" s="409">
        <f t="shared" si="71"/>
        <v>20.000000000000028</v>
      </c>
      <c r="BA117" s="412">
        <f t="shared" si="103"/>
        <v>0.51063829787234039</v>
      </c>
      <c r="BB117" s="409">
        <f t="shared" si="73"/>
        <v>479.99999999999994</v>
      </c>
      <c r="BC117" s="550">
        <v>0</v>
      </c>
      <c r="BD117" s="571">
        <v>0.62</v>
      </c>
      <c r="BE117" s="413">
        <f t="shared" si="104"/>
        <v>582.79999999999995</v>
      </c>
      <c r="BF117" s="414">
        <f t="shared" si="75"/>
        <v>23</v>
      </c>
      <c r="BG117" s="515">
        <v>2</v>
      </c>
      <c r="BH117" s="550" t="s">
        <v>300</v>
      </c>
      <c r="BI117" s="412">
        <f t="shared" si="76"/>
        <v>0.21276595744680851</v>
      </c>
      <c r="BJ117" s="409">
        <f t="shared" si="77"/>
        <v>200</v>
      </c>
      <c r="BK117" s="414">
        <f t="shared" si="78"/>
        <v>7.4</v>
      </c>
      <c r="BL117" s="571">
        <v>0.21</v>
      </c>
      <c r="BM117" s="409">
        <f t="shared" si="79"/>
        <v>197.4</v>
      </c>
      <c r="BN117" s="515">
        <v>4</v>
      </c>
      <c r="BO117" s="412">
        <f t="shared" si="105"/>
        <v>0.42553191489361702</v>
      </c>
      <c r="BP117" s="414">
        <f t="shared" si="106"/>
        <v>5.4</v>
      </c>
      <c r="BQ117" s="557">
        <v>0.43</v>
      </c>
      <c r="BR117" s="589" t="s">
        <v>856</v>
      </c>
      <c r="BS117" s="593">
        <v>41788</v>
      </c>
      <c r="BT117" s="415" t="str">
        <f t="shared" si="90"/>
        <v>To be realised</v>
      </c>
      <c r="BU117" s="515">
        <v>212</v>
      </c>
      <c r="BV117" s="515">
        <v>6</v>
      </c>
      <c r="BW117" s="416">
        <f t="shared" si="91"/>
        <v>206</v>
      </c>
      <c r="BX117" s="417">
        <f t="shared" si="107"/>
        <v>0</v>
      </c>
      <c r="BY117" s="409">
        <f t="shared" si="108"/>
        <v>0</v>
      </c>
      <c r="BZ117" s="446">
        <f t="shared" si="92"/>
        <v>5</v>
      </c>
      <c r="CA117" s="542"/>
      <c r="CB117" s="557">
        <v>1</v>
      </c>
      <c r="CC117" s="451">
        <f t="shared" si="87"/>
        <v>940</v>
      </c>
      <c r="CD117" s="542">
        <v>5</v>
      </c>
      <c r="CE117" s="418" t="str">
        <f t="shared" si="88"/>
        <v>Excellent coverage</v>
      </c>
      <c r="CF117" s="550">
        <v>0</v>
      </c>
      <c r="CG117" s="551" t="s">
        <v>65</v>
      </c>
      <c r="CH117" s="602"/>
    </row>
    <row r="118" spans="2:86" s="40" customFormat="1" ht="30.75" customHeight="1" x14ac:dyDescent="0.2">
      <c r="B118" s="512" t="s">
        <v>180</v>
      </c>
      <c r="C118" s="513" t="s">
        <v>527</v>
      </c>
      <c r="D118" s="514" t="s">
        <v>267</v>
      </c>
      <c r="E118" s="513" t="s">
        <v>665</v>
      </c>
      <c r="F118" s="514">
        <v>97.243579999999994</v>
      </c>
      <c r="G118" s="514">
        <v>24.260120000000001</v>
      </c>
      <c r="H118" s="514" t="s">
        <v>467</v>
      </c>
      <c r="I118" s="514" t="s">
        <v>218</v>
      </c>
      <c r="J118" s="515">
        <v>83</v>
      </c>
      <c r="K118" s="515">
        <v>435</v>
      </c>
      <c r="L118" s="515">
        <v>435</v>
      </c>
      <c r="M118" s="405" t="str">
        <f t="shared" si="93"/>
        <v>2. Medium</v>
      </c>
      <c r="N118" s="516" t="s">
        <v>235</v>
      </c>
      <c r="O118" s="530" t="s">
        <v>238</v>
      </c>
      <c r="P118" s="439" t="str">
        <f t="shared" si="54"/>
        <v>Covered</v>
      </c>
      <c r="Q118" s="531">
        <v>42247</v>
      </c>
      <c r="R118" s="532"/>
      <c r="S118" s="531"/>
      <c r="T118" s="516" t="s">
        <v>260</v>
      </c>
      <c r="U118" s="436" t="str">
        <f t="shared" si="55"/>
        <v>Documented</v>
      </c>
      <c r="V118" s="542">
        <v>0</v>
      </c>
      <c r="W118" s="515">
        <v>0</v>
      </c>
      <c r="X118" s="543" t="s">
        <v>19</v>
      </c>
      <c r="Y118" s="542">
        <v>0</v>
      </c>
      <c r="Z118" s="550">
        <v>1</v>
      </c>
      <c r="AA118" s="551">
        <v>3600</v>
      </c>
      <c r="AB118" s="560">
        <v>0.16</v>
      </c>
      <c r="AC118" s="561">
        <v>0.45</v>
      </c>
      <c r="AD118" s="443">
        <f t="shared" si="56"/>
        <v>1</v>
      </c>
      <c r="AE118" s="407">
        <f t="shared" si="57"/>
        <v>435</v>
      </c>
      <c r="AF118" s="408">
        <f t="shared" si="94"/>
        <v>1</v>
      </c>
      <c r="AG118" s="409">
        <f t="shared" si="59"/>
        <v>435</v>
      </c>
      <c r="AH118" s="406">
        <f t="shared" si="95"/>
        <v>1</v>
      </c>
      <c r="AI118" s="409">
        <f t="shared" si="61"/>
        <v>435</v>
      </c>
      <c r="AJ118" s="410" t="str">
        <f t="shared" si="96"/>
        <v>80-100%</v>
      </c>
      <c r="AK118" s="406">
        <f t="shared" si="97"/>
        <v>0</v>
      </c>
      <c r="AL118" s="411">
        <f t="shared" si="98"/>
        <v>0</v>
      </c>
      <c r="AM118" s="409">
        <f t="shared" si="99"/>
        <v>8.7499999999999911E-2</v>
      </c>
      <c r="AN118" s="409">
        <f t="shared" si="100"/>
        <v>37.35</v>
      </c>
      <c r="AO118" s="409">
        <f t="shared" si="67"/>
        <v>69.600000000000009</v>
      </c>
      <c r="AP118" s="566">
        <v>1</v>
      </c>
      <c r="AQ118" s="567">
        <f t="shared" si="89"/>
        <v>435</v>
      </c>
      <c r="AR118" s="551"/>
      <c r="AS118" s="552">
        <v>0</v>
      </c>
      <c r="AT118" s="515">
        <v>5</v>
      </c>
      <c r="AU118" s="515">
        <v>8</v>
      </c>
      <c r="AV118" s="515" t="s">
        <v>298</v>
      </c>
      <c r="AW118" s="412">
        <f t="shared" si="101"/>
        <v>0.5977011494252874</v>
      </c>
      <c r="AX118" s="409">
        <f t="shared" si="69"/>
        <v>260</v>
      </c>
      <c r="AY118" s="412">
        <f t="shared" si="102"/>
        <v>0.22988505747126442</v>
      </c>
      <c r="AZ118" s="409">
        <f t="shared" si="71"/>
        <v>100.00000000000003</v>
      </c>
      <c r="BA118" s="412">
        <f t="shared" si="103"/>
        <v>0.36781609195402298</v>
      </c>
      <c r="BB118" s="409">
        <f t="shared" si="73"/>
        <v>160</v>
      </c>
      <c r="BC118" s="550">
        <v>0</v>
      </c>
      <c r="BD118" s="571">
        <v>0.6</v>
      </c>
      <c r="BE118" s="413">
        <f t="shared" si="104"/>
        <v>261</v>
      </c>
      <c r="BF118" s="414">
        <f t="shared" si="75"/>
        <v>13.75</v>
      </c>
      <c r="BG118" s="515">
        <v>1</v>
      </c>
      <c r="BH118" s="550" t="s">
        <v>300</v>
      </c>
      <c r="BI118" s="412">
        <f t="shared" si="76"/>
        <v>0.22988505747126436</v>
      </c>
      <c r="BJ118" s="409">
        <f t="shared" si="77"/>
        <v>100</v>
      </c>
      <c r="BK118" s="414">
        <f t="shared" si="78"/>
        <v>3.3499999999999996</v>
      </c>
      <c r="BL118" s="571">
        <v>0.23</v>
      </c>
      <c r="BM118" s="409">
        <f t="shared" si="79"/>
        <v>100.05000000000001</v>
      </c>
      <c r="BN118" s="515">
        <v>3</v>
      </c>
      <c r="BO118" s="412">
        <f t="shared" si="105"/>
        <v>0.68965517241379315</v>
      </c>
      <c r="BP118" s="414">
        <f t="shared" si="106"/>
        <v>1.3499999999999996</v>
      </c>
      <c r="BQ118" s="557">
        <v>0.69</v>
      </c>
      <c r="BR118" s="589"/>
      <c r="BS118" s="593">
        <v>41788</v>
      </c>
      <c r="BT118" s="415" t="str">
        <f t="shared" si="90"/>
        <v>To be realised</v>
      </c>
      <c r="BU118" s="515">
        <v>78</v>
      </c>
      <c r="BV118" s="515">
        <v>6</v>
      </c>
      <c r="BW118" s="416">
        <f t="shared" si="91"/>
        <v>83</v>
      </c>
      <c r="BX118" s="417">
        <f t="shared" si="107"/>
        <v>0</v>
      </c>
      <c r="BY118" s="409">
        <f t="shared" si="108"/>
        <v>0</v>
      </c>
      <c r="BZ118" s="446">
        <f t="shared" si="92"/>
        <v>5</v>
      </c>
      <c r="CA118" s="542"/>
      <c r="CB118" s="557">
        <v>1</v>
      </c>
      <c r="CC118" s="451">
        <f t="shared" si="87"/>
        <v>435</v>
      </c>
      <c r="CD118" s="542">
        <v>2</v>
      </c>
      <c r="CE118" s="418" t="str">
        <f t="shared" si="88"/>
        <v>Excellent coverage</v>
      </c>
      <c r="CF118" s="550">
        <v>0</v>
      </c>
      <c r="CG118" s="551" t="s">
        <v>65</v>
      </c>
      <c r="CH118" s="602"/>
    </row>
    <row r="119" spans="2:86" s="40" customFormat="1" ht="30.75" customHeight="1" x14ac:dyDescent="0.2">
      <c r="B119" s="512" t="s">
        <v>180</v>
      </c>
      <c r="C119" s="513" t="s">
        <v>533</v>
      </c>
      <c r="D119" s="514" t="s">
        <v>267</v>
      </c>
      <c r="E119" s="513" t="s">
        <v>707</v>
      </c>
      <c r="F119" s="514">
        <v>97.252650000000003</v>
      </c>
      <c r="G119" s="514">
        <v>24.222349999999999</v>
      </c>
      <c r="H119" s="514" t="s">
        <v>467</v>
      </c>
      <c r="I119" s="514" t="s">
        <v>218</v>
      </c>
      <c r="J119" s="518">
        <v>170</v>
      </c>
      <c r="K119" s="518">
        <v>817</v>
      </c>
      <c r="L119" s="518">
        <v>817</v>
      </c>
      <c r="M119" s="405" t="str">
        <f t="shared" si="93"/>
        <v>2. Medium</v>
      </c>
      <c r="N119" s="516" t="s">
        <v>239</v>
      </c>
      <c r="O119" s="530" t="s">
        <v>238</v>
      </c>
      <c r="P119" s="439" t="str">
        <f t="shared" si="54"/>
        <v>Covered</v>
      </c>
      <c r="Q119" s="531">
        <v>42247</v>
      </c>
      <c r="R119" s="532"/>
      <c r="S119" s="531"/>
      <c r="T119" s="516" t="s">
        <v>260</v>
      </c>
      <c r="U119" s="436" t="str">
        <f t="shared" si="55"/>
        <v>Documented</v>
      </c>
      <c r="V119" s="542">
        <v>0</v>
      </c>
      <c r="W119" s="515">
        <v>0</v>
      </c>
      <c r="X119" s="543" t="s">
        <v>19</v>
      </c>
      <c r="Y119" s="542">
        <v>0</v>
      </c>
      <c r="Z119" s="550">
        <v>3</v>
      </c>
      <c r="AA119" s="551">
        <v>54000</v>
      </c>
      <c r="AB119" s="560">
        <v>0</v>
      </c>
      <c r="AC119" s="561">
        <v>0.81</v>
      </c>
      <c r="AD119" s="443">
        <f t="shared" si="56"/>
        <v>1</v>
      </c>
      <c r="AE119" s="407">
        <f t="shared" si="57"/>
        <v>817</v>
      </c>
      <c r="AF119" s="408">
        <f t="shared" si="94"/>
        <v>1</v>
      </c>
      <c r="AG119" s="409">
        <f t="shared" si="59"/>
        <v>817</v>
      </c>
      <c r="AH119" s="406">
        <f t="shared" si="95"/>
        <v>1</v>
      </c>
      <c r="AI119" s="409">
        <f t="shared" si="61"/>
        <v>817</v>
      </c>
      <c r="AJ119" s="410" t="str">
        <f t="shared" si="96"/>
        <v>80-100%</v>
      </c>
      <c r="AK119" s="406">
        <f t="shared" si="97"/>
        <v>0</v>
      </c>
      <c r="AL119" s="411">
        <f t="shared" si="98"/>
        <v>0</v>
      </c>
      <c r="AM119" s="409">
        <f t="shared" si="99"/>
        <v>0</v>
      </c>
      <c r="AN119" s="409">
        <f t="shared" si="100"/>
        <v>137.70000000000002</v>
      </c>
      <c r="AO119" s="409">
        <f t="shared" si="67"/>
        <v>0</v>
      </c>
      <c r="AP119" s="566">
        <v>1</v>
      </c>
      <c r="AQ119" s="567">
        <f t="shared" si="89"/>
        <v>817</v>
      </c>
      <c r="AR119" s="551"/>
      <c r="AS119" s="552">
        <v>34</v>
      </c>
      <c r="AT119" s="515">
        <v>32</v>
      </c>
      <c r="AU119" s="515">
        <v>6</v>
      </c>
      <c r="AV119" s="515" t="s">
        <v>91</v>
      </c>
      <c r="AW119" s="412">
        <f t="shared" si="101"/>
        <v>0.93023255813953487</v>
      </c>
      <c r="AX119" s="409">
        <f t="shared" si="69"/>
        <v>760</v>
      </c>
      <c r="AY119" s="412">
        <f t="shared" si="102"/>
        <v>0.78335373317013457</v>
      </c>
      <c r="AZ119" s="409">
        <f t="shared" si="71"/>
        <v>640</v>
      </c>
      <c r="BA119" s="412">
        <f t="shared" si="103"/>
        <v>0.14687882496940025</v>
      </c>
      <c r="BB119" s="409">
        <f t="shared" si="73"/>
        <v>120</v>
      </c>
      <c r="BC119" s="550">
        <v>0</v>
      </c>
      <c r="BD119" s="571">
        <v>1</v>
      </c>
      <c r="BE119" s="413">
        <f t="shared" si="104"/>
        <v>817</v>
      </c>
      <c r="BF119" s="414">
        <f t="shared" si="75"/>
        <v>34.85</v>
      </c>
      <c r="BG119" s="515">
        <v>7</v>
      </c>
      <c r="BH119" s="550" t="s">
        <v>299</v>
      </c>
      <c r="BI119" s="412">
        <f t="shared" si="76"/>
        <v>0.85679314565483478</v>
      </c>
      <c r="BJ119" s="409">
        <f t="shared" si="77"/>
        <v>700</v>
      </c>
      <c r="BK119" s="414">
        <f t="shared" si="78"/>
        <v>1.17</v>
      </c>
      <c r="BL119" s="571">
        <v>0.86</v>
      </c>
      <c r="BM119" s="409">
        <f t="shared" si="79"/>
        <v>702.62</v>
      </c>
      <c r="BN119" s="515">
        <v>18</v>
      </c>
      <c r="BO119" s="412">
        <f t="shared" si="105"/>
        <v>1</v>
      </c>
      <c r="BP119" s="414">
        <f t="shared" si="106"/>
        <v>0</v>
      </c>
      <c r="BQ119" s="557">
        <v>1</v>
      </c>
      <c r="BR119" s="589" t="s">
        <v>857</v>
      </c>
      <c r="BS119" s="593">
        <v>41787</v>
      </c>
      <c r="BT119" s="415" t="str">
        <f t="shared" si="90"/>
        <v>To be realised</v>
      </c>
      <c r="BU119" s="515">
        <v>178</v>
      </c>
      <c r="BV119" s="515">
        <v>6</v>
      </c>
      <c r="BW119" s="416">
        <f t="shared" si="91"/>
        <v>170</v>
      </c>
      <c r="BX119" s="417">
        <f t="shared" si="107"/>
        <v>0</v>
      </c>
      <c r="BY119" s="409">
        <f t="shared" si="108"/>
        <v>0</v>
      </c>
      <c r="BZ119" s="446">
        <f t="shared" si="92"/>
        <v>5</v>
      </c>
      <c r="CA119" s="542"/>
      <c r="CB119" s="557">
        <v>1</v>
      </c>
      <c r="CC119" s="451">
        <f t="shared" si="87"/>
        <v>817</v>
      </c>
      <c r="CD119" s="542">
        <v>7</v>
      </c>
      <c r="CE119" s="418" t="str">
        <f t="shared" si="88"/>
        <v>Excellent coverage</v>
      </c>
      <c r="CF119" s="550">
        <v>0</v>
      </c>
      <c r="CG119" s="551" t="s">
        <v>65</v>
      </c>
      <c r="CH119" s="602"/>
    </row>
    <row r="120" spans="2:86" s="40" customFormat="1" ht="30.75" customHeight="1" x14ac:dyDescent="0.2">
      <c r="B120" s="512" t="s">
        <v>180</v>
      </c>
      <c r="C120" s="513" t="s">
        <v>534</v>
      </c>
      <c r="D120" s="514" t="s">
        <v>267</v>
      </c>
      <c r="E120" s="513" t="s">
        <v>283</v>
      </c>
      <c r="F120" s="514">
        <v>97.228769999999997</v>
      </c>
      <c r="G120" s="514">
        <v>24.26502</v>
      </c>
      <c r="H120" s="514" t="s">
        <v>467</v>
      </c>
      <c r="I120" s="514" t="s">
        <v>218</v>
      </c>
      <c r="J120" s="518">
        <v>620</v>
      </c>
      <c r="K120" s="518">
        <v>3805</v>
      </c>
      <c r="L120" s="518">
        <v>3805</v>
      </c>
      <c r="M120" s="405" t="str">
        <f t="shared" si="93"/>
        <v>4. Big</v>
      </c>
      <c r="N120" s="516" t="s">
        <v>239</v>
      </c>
      <c r="O120" s="530" t="s">
        <v>238</v>
      </c>
      <c r="P120" s="439" t="str">
        <f t="shared" si="54"/>
        <v>Covered</v>
      </c>
      <c r="Q120" s="531">
        <v>42247</v>
      </c>
      <c r="R120" s="532"/>
      <c r="S120" s="531"/>
      <c r="T120" s="516" t="s">
        <v>260</v>
      </c>
      <c r="U120" s="436" t="str">
        <f t="shared" si="55"/>
        <v>Documented</v>
      </c>
      <c r="V120" s="542">
        <v>0</v>
      </c>
      <c r="W120" s="515">
        <v>0</v>
      </c>
      <c r="X120" s="543" t="s">
        <v>19</v>
      </c>
      <c r="Y120" s="542">
        <v>0</v>
      </c>
      <c r="Z120" s="550">
        <v>23</v>
      </c>
      <c r="AA120" s="551">
        <v>86400</v>
      </c>
      <c r="AB120" s="560">
        <v>0.89</v>
      </c>
      <c r="AC120" s="561">
        <v>0.72</v>
      </c>
      <c r="AD120" s="443">
        <f t="shared" si="56"/>
        <v>1</v>
      </c>
      <c r="AE120" s="407">
        <f t="shared" si="57"/>
        <v>3805</v>
      </c>
      <c r="AF120" s="408">
        <f t="shared" si="94"/>
        <v>1</v>
      </c>
      <c r="AG120" s="409">
        <f t="shared" si="59"/>
        <v>3805</v>
      </c>
      <c r="AH120" s="406">
        <f t="shared" si="95"/>
        <v>1</v>
      </c>
      <c r="AI120" s="409">
        <f t="shared" si="61"/>
        <v>3805</v>
      </c>
      <c r="AJ120" s="410" t="str">
        <f t="shared" si="96"/>
        <v>80-100%</v>
      </c>
      <c r="AK120" s="406">
        <f t="shared" si="97"/>
        <v>0</v>
      </c>
      <c r="AL120" s="411">
        <f t="shared" si="98"/>
        <v>0</v>
      </c>
      <c r="AM120" s="409">
        <f t="shared" si="99"/>
        <v>0</v>
      </c>
      <c r="AN120" s="409">
        <f t="shared" si="100"/>
        <v>446.4</v>
      </c>
      <c r="AO120" s="409">
        <f t="shared" si="67"/>
        <v>3386.4500000000003</v>
      </c>
      <c r="AP120" s="566">
        <v>1</v>
      </c>
      <c r="AQ120" s="567">
        <f t="shared" si="89"/>
        <v>3805</v>
      </c>
      <c r="AR120" s="551"/>
      <c r="AS120" s="552">
        <v>113</v>
      </c>
      <c r="AT120" s="515">
        <v>48</v>
      </c>
      <c r="AU120" s="515">
        <v>98</v>
      </c>
      <c r="AV120" s="515" t="s">
        <v>91</v>
      </c>
      <c r="AW120" s="412">
        <f t="shared" si="101"/>
        <v>0.76741130091984233</v>
      </c>
      <c r="AX120" s="409">
        <f t="shared" si="69"/>
        <v>2920</v>
      </c>
      <c r="AY120" s="412">
        <f t="shared" si="102"/>
        <v>0.25229960578186594</v>
      </c>
      <c r="AZ120" s="409">
        <f t="shared" si="71"/>
        <v>959.99999999999989</v>
      </c>
      <c r="BA120" s="412">
        <f t="shared" si="103"/>
        <v>0.51511169513797639</v>
      </c>
      <c r="BB120" s="409">
        <f t="shared" si="73"/>
        <v>1960.0000000000002</v>
      </c>
      <c r="BC120" s="550">
        <v>4</v>
      </c>
      <c r="BD120" s="571">
        <v>0.87</v>
      </c>
      <c r="BE120" s="413">
        <f t="shared" si="104"/>
        <v>3310.35</v>
      </c>
      <c r="BF120" s="414">
        <f t="shared" si="75"/>
        <v>96.25</v>
      </c>
      <c r="BG120" s="515">
        <v>10</v>
      </c>
      <c r="BH120" s="550" t="s">
        <v>300</v>
      </c>
      <c r="BI120" s="412">
        <f t="shared" si="76"/>
        <v>0.26281208935611039</v>
      </c>
      <c r="BJ120" s="409">
        <f t="shared" si="77"/>
        <v>1000</v>
      </c>
      <c r="BK120" s="414">
        <f t="shared" si="78"/>
        <v>28.049999999999997</v>
      </c>
      <c r="BL120" s="571">
        <v>0.26</v>
      </c>
      <c r="BM120" s="409">
        <f t="shared" si="79"/>
        <v>989.30000000000007</v>
      </c>
      <c r="BN120" s="515">
        <v>30</v>
      </c>
      <c r="BO120" s="412">
        <f t="shared" si="105"/>
        <v>0.78843626806833111</v>
      </c>
      <c r="BP120" s="414">
        <f t="shared" si="106"/>
        <v>8.0499999999999972</v>
      </c>
      <c r="BQ120" s="557">
        <v>0.79</v>
      </c>
      <c r="BR120" s="589" t="s">
        <v>858</v>
      </c>
      <c r="BS120" s="593">
        <v>41768</v>
      </c>
      <c r="BT120" s="415" t="str">
        <f t="shared" si="90"/>
        <v>To be realised</v>
      </c>
      <c r="BU120" s="515">
        <v>649</v>
      </c>
      <c r="BV120" s="515">
        <v>6</v>
      </c>
      <c r="BW120" s="416">
        <f t="shared" si="91"/>
        <v>620</v>
      </c>
      <c r="BX120" s="417">
        <f t="shared" si="107"/>
        <v>0</v>
      </c>
      <c r="BY120" s="409">
        <f t="shared" si="108"/>
        <v>0</v>
      </c>
      <c r="BZ120" s="446">
        <f t="shared" si="92"/>
        <v>6</v>
      </c>
      <c r="CA120" s="542"/>
      <c r="CB120" s="557">
        <v>1</v>
      </c>
      <c r="CC120" s="451">
        <f t="shared" si="87"/>
        <v>3805</v>
      </c>
      <c r="CD120" s="542">
        <v>11</v>
      </c>
      <c r="CE120" s="418" t="str">
        <f t="shared" si="88"/>
        <v>Excellent coverage</v>
      </c>
      <c r="CF120" s="550">
        <v>0</v>
      </c>
      <c r="CG120" s="551" t="s">
        <v>65</v>
      </c>
      <c r="CH120" s="602"/>
    </row>
    <row r="121" spans="2:86" s="40" customFormat="1" ht="30.75" customHeight="1" x14ac:dyDescent="0.2">
      <c r="B121" s="512" t="s">
        <v>180</v>
      </c>
      <c r="C121" s="513" t="s">
        <v>535</v>
      </c>
      <c r="D121" s="514" t="s">
        <v>267</v>
      </c>
      <c r="E121" s="513" t="s">
        <v>184</v>
      </c>
      <c r="F121" s="514">
        <v>97.227789999999999</v>
      </c>
      <c r="G121" s="514">
        <v>24.29138</v>
      </c>
      <c r="H121" s="514" t="s">
        <v>467</v>
      </c>
      <c r="I121" s="514" t="s">
        <v>218</v>
      </c>
      <c r="J121" s="518">
        <v>37</v>
      </c>
      <c r="K121" s="518">
        <v>166</v>
      </c>
      <c r="L121" s="518">
        <v>166</v>
      </c>
      <c r="M121" s="405" t="str">
        <f t="shared" si="93"/>
        <v>1. Small</v>
      </c>
      <c r="N121" s="516" t="s">
        <v>284</v>
      </c>
      <c r="O121" s="530" t="s">
        <v>238</v>
      </c>
      <c r="P121" s="439" t="str">
        <f t="shared" si="54"/>
        <v>Covered</v>
      </c>
      <c r="Q121" s="531">
        <v>42247</v>
      </c>
      <c r="R121" s="532"/>
      <c r="S121" s="531"/>
      <c r="T121" s="516" t="s">
        <v>260</v>
      </c>
      <c r="U121" s="436" t="str">
        <f t="shared" si="55"/>
        <v>Documented</v>
      </c>
      <c r="V121" s="542">
        <v>0</v>
      </c>
      <c r="W121" s="515">
        <v>0</v>
      </c>
      <c r="X121" s="543" t="s">
        <v>19</v>
      </c>
      <c r="Y121" s="542">
        <v>0</v>
      </c>
      <c r="Z121" s="550">
        <v>4</v>
      </c>
      <c r="AA121" s="551">
        <v>43200</v>
      </c>
      <c r="AB121" s="560">
        <v>0</v>
      </c>
      <c r="AC121" s="561">
        <v>0.76</v>
      </c>
      <c r="AD121" s="443">
        <f t="shared" si="56"/>
        <v>1</v>
      </c>
      <c r="AE121" s="407">
        <f t="shared" si="57"/>
        <v>166</v>
      </c>
      <c r="AF121" s="408">
        <f t="shared" si="94"/>
        <v>1</v>
      </c>
      <c r="AG121" s="409">
        <f t="shared" si="59"/>
        <v>166</v>
      </c>
      <c r="AH121" s="406">
        <f t="shared" si="95"/>
        <v>1</v>
      </c>
      <c r="AI121" s="409">
        <f t="shared" si="61"/>
        <v>166</v>
      </c>
      <c r="AJ121" s="410" t="str">
        <f t="shared" si="96"/>
        <v>80-100%</v>
      </c>
      <c r="AK121" s="406">
        <f t="shared" si="97"/>
        <v>0</v>
      </c>
      <c r="AL121" s="411">
        <f t="shared" si="98"/>
        <v>0</v>
      </c>
      <c r="AM121" s="409">
        <f t="shared" si="99"/>
        <v>0</v>
      </c>
      <c r="AN121" s="409">
        <f t="shared" si="100"/>
        <v>28.12</v>
      </c>
      <c r="AO121" s="409">
        <f t="shared" si="67"/>
        <v>0</v>
      </c>
      <c r="AP121" s="566">
        <v>1</v>
      </c>
      <c r="AQ121" s="567">
        <f t="shared" si="89"/>
        <v>166</v>
      </c>
      <c r="AR121" s="551"/>
      <c r="AS121" s="552">
        <v>4</v>
      </c>
      <c r="AT121" s="515">
        <v>8</v>
      </c>
      <c r="AU121" s="515">
        <v>10</v>
      </c>
      <c r="AV121" s="515" t="s">
        <v>298</v>
      </c>
      <c r="AW121" s="412">
        <f t="shared" si="101"/>
        <v>1</v>
      </c>
      <c r="AX121" s="409">
        <f t="shared" si="69"/>
        <v>166</v>
      </c>
      <c r="AY121" s="412">
        <f t="shared" si="102"/>
        <v>0</v>
      </c>
      <c r="AZ121" s="409">
        <f t="shared" si="71"/>
        <v>0</v>
      </c>
      <c r="BA121" s="412">
        <f t="shared" si="103"/>
        <v>1</v>
      </c>
      <c r="BB121" s="409">
        <f t="shared" si="73"/>
        <v>166</v>
      </c>
      <c r="BC121" s="550">
        <v>0</v>
      </c>
      <c r="BD121" s="571">
        <v>1</v>
      </c>
      <c r="BE121" s="413">
        <f t="shared" si="104"/>
        <v>166</v>
      </c>
      <c r="BF121" s="414">
        <f t="shared" si="75"/>
        <v>0</v>
      </c>
      <c r="BG121" s="515">
        <v>3</v>
      </c>
      <c r="BH121" s="550" t="s">
        <v>299</v>
      </c>
      <c r="BI121" s="412">
        <f t="shared" si="76"/>
        <v>1</v>
      </c>
      <c r="BJ121" s="409">
        <f t="shared" si="77"/>
        <v>166</v>
      </c>
      <c r="BK121" s="414">
        <f t="shared" si="78"/>
        <v>0</v>
      </c>
      <c r="BL121" s="571">
        <v>1</v>
      </c>
      <c r="BM121" s="409">
        <f t="shared" si="79"/>
        <v>166</v>
      </c>
      <c r="BN121" s="515">
        <v>3</v>
      </c>
      <c r="BO121" s="412">
        <f t="shared" si="105"/>
        <v>1</v>
      </c>
      <c r="BP121" s="414">
        <f t="shared" si="106"/>
        <v>0</v>
      </c>
      <c r="BQ121" s="557">
        <v>1</v>
      </c>
      <c r="BR121" s="589"/>
      <c r="BS121" s="593">
        <v>41800</v>
      </c>
      <c r="BT121" s="415">
        <f t="shared" si="90"/>
        <v>42165</v>
      </c>
      <c r="BU121" s="515">
        <v>42</v>
      </c>
      <c r="BV121" s="515">
        <v>6</v>
      </c>
      <c r="BW121" s="416">
        <f t="shared" si="91"/>
        <v>0</v>
      </c>
      <c r="BX121" s="417">
        <f t="shared" si="107"/>
        <v>1</v>
      </c>
      <c r="BY121" s="409">
        <f t="shared" si="108"/>
        <v>166</v>
      </c>
      <c r="BZ121" s="446">
        <f t="shared" si="92"/>
        <v>5</v>
      </c>
      <c r="CA121" s="542"/>
      <c r="CB121" s="557">
        <v>1</v>
      </c>
      <c r="CC121" s="451">
        <f t="shared" si="87"/>
        <v>166</v>
      </c>
      <c r="CD121" s="542">
        <v>2</v>
      </c>
      <c r="CE121" s="418" t="str">
        <f t="shared" si="88"/>
        <v>Excellent coverage</v>
      </c>
      <c r="CF121" s="550">
        <v>0</v>
      </c>
      <c r="CG121" s="551" t="s">
        <v>65</v>
      </c>
      <c r="CH121" s="602"/>
    </row>
    <row r="122" spans="2:86" s="40" customFormat="1" ht="30.75" customHeight="1" x14ac:dyDescent="0.2">
      <c r="B122" s="512" t="s">
        <v>188</v>
      </c>
      <c r="C122" s="513" t="s">
        <v>586</v>
      </c>
      <c r="D122" s="514" t="s">
        <v>268</v>
      </c>
      <c r="E122" s="513" t="s">
        <v>203</v>
      </c>
      <c r="F122" s="514">
        <v>97.568282999999994</v>
      </c>
      <c r="G122" s="514">
        <v>24.688167</v>
      </c>
      <c r="H122" s="514" t="s">
        <v>467</v>
      </c>
      <c r="I122" s="514" t="s">
        <v>226</v>
      </c>
      <c r="J122" s="518">
        <v>1701</v>
      </c>
      <c r="K122" s="518">
        <v>7108</v>
      </c>
      <c r="L122" s="518">
        <v>6516</v>
      </c>
      <c r="M122" s="405" t="str">
        <f t="shared" si="93"/>
        <v>5. Massive</v>
      </c>
      <c r="N122" s="516" t="s">
        <v>235</v>
      </c>
      <c r="O122" s="530" t="s">
        <v>239</v>
      </c>
      <c r="P122" s="439" t="str">
        <f t="shared" si="54"/>
        <v>Covered</v>
      </c>
      <c r="Q122" s="531">
        <v>42247</v>
      </c>
      <c r="R122" s="532" t="s">
        <v>238</v>
      </c>
      <c r="S122" s="531">
        <v>42247</v>
      </c>
      <c r="T122" s="516" t="s">
        <v>260</v>
      </c>
      <c r="U122" s="436" t="str">
        <f t="shared" si="55"/>
        <v>Documented</v>
      </c>
      <c r="V122" s="542">
        <v>0</v>
      </c>
      <c r="W122" s="515">
        <v>0</v>
      </c>
      <c r="X122" s="543" t="s">
        <v>19</v>
      </c>
      <c r="Y122" s="542">
        <v>5</v>
      </c>
      <c r="Z122" s="550">
        <v>0</v>
      </c>
      <c r="AA122" s="551">
        <v>23721</v>
      </c>
      <c r="AB122" s="560">
        <v>0</v>
      </c>
      <c r="AC122" s="561">
        <v>0.5</v>
      </c>
      <c r="AD122" s="443">
        <f t="shared" si="56"/>
        <v>0.5496316758747698</v>
      </c>
      <c r="AE122" s="407">
        <f t="shared" si="57"/>
        <v>3581.4</v>
      </c>
      <c r="AF122" s="408">
        <f t="shared" si="94"/>
        <v>0.5496316758747698</v>
      </c>
      <c r="AG122" s="409">
        <f t="shared" si="59"/>
        <v>3581.4</v>
      </c>
      <c r="AH122" s="406">
        <f t="shared" si="95"/>
        <v>0.5496316758747698</v>
      </c>
      <c r="AI122" s="409">
        <f t="shared" si="61"/>
        <v>3581.4</v>
      </c>
      <c r="AJ122" s="410" t="str">
        <f t="shared" si="96"/>
        <v>45-60%</v>
      </c>
      <c r="AK122" s="406">
        <f t="shared" si="97"/>
        <v>0</v>
      </c>
      <c r="AL122" s="411">
        <f t="shared" si="98"/>
        <v>0</v>
      </c>
      <c r="AM122" s="409">
        <f t="shared" si="99"/>
        <v>11.29</v>
      </c>
      <c r="AN122" s="409">
        <f t="shared" si="100"/>
        <v>850.5</v>
      </c>
      <c r="AO122" s="409">
        <f t="shared" si="67"/>
        <v>0</v>
      </c>
      <c r="AP122" s="566">
        <v>0.5</v>
      </c>
      <c r="AQ122" s="567">
        <f t="shared" si="89"/>
        <v>3258</v>
      </c>
      <c r="AR122" s="570" t="s">
        <v>843</v>
      </c>
      <c r="AS122" s="552">
        <v>573</v>
      </c>
      <c r="AT122" s="515">
        <v>23</v>
      </c>
      <c r="AU122" s="515">
        <v>500</v>
      </c>
      <c r="AV122" s="515" t="s">
        <v>91</v>
      </c>
      <c r="AW122" s="412">
        <f t="shared" si="101"/>
        <v>1</v>
      </c>
      <c r="AX122" s="409">
        <f t="shared" si="69"/>
        <v>6516</v>
      </c>
      <c r="AY122" s="412">
        <f t="shared" si="102"/>
        <v>0</v>
      </c>
      <c r="AZ122" s="409">
        <f t="shared" si="71"/>
        <v>0</v>
      </c>
      <c r="BA122" s="412">
        <f t="shared" si="103"/>
        <v>1</v>
      </c>
      <c r="BB122" s="409">
        <f t="shared" si="73"/>
        <v>6516</v>
      </c>
      <c r="BC122" s="550">
        <v>0</v>
      </c>
      <c r="BD122" s="571">
        <v>1</v>
      </c>
      <c r="BE122" s="413">
        <f t="shared" si="104"/>
        <v>6516</v>
      </c>
      <c r="BF122" s="414">
        <f t="shared" si="75"/>
        <v>0</v>
      </c>
      <c r="BG122" s="515">
        <v>49</v>
      </c>
      <c r="BH122" s="550" t="s">
        <v>91</v>
      </c>
      <c r="BI122" s="412">
        <f t="shared" si="76"/>
        <v>0.75199508901166356</v>
      </c>
      <c r="BJ122" s="409">
        <f t="shared" si="77"/>
        <v>4900</v>
      </c>
      <c r="BK122" s="414">
        <f t="shared" si="78"/>
        <v>22.08</v>
      </c>
      <c r="BL122" s="571">
        <v>0.69</v>
      </c>
      <c r="BM122" s="409">
        <f t="shared" si="79"/>
        <v>4496.04</v>
      </c>
      <c r="BN122" s="515">
        <v>82</v>
      </c>
      <c r="BO122" s="412">
        <f t="shared" si="105"/>
        <v>1</v>
      </c>
      <c r="BP122" s="414">
        <f t="shared" si="106"/>
        <v>0</v>
      </c>
      <c r="BQ122" s="557">
        <v>1</v>
      </c>
      <c r="BR122" s="589"/>
      <c r="BS122" s="593">
        <v>41557</v>
      </c>
      <c r="BT122" s="415" t="str">
        <f t="shared" si="90"/>
        <v>To be realised</v>
      </c>
      <c r="BU122" s="515">
        <v>1646</v>
      </c>
      <c r="BV122" s="515">
        <v>5</v>
      </c>
      <c r="BW122" s="416">
        <f t="shared" si="91"/>
        <v>1701</v>
      </c>
      <c r="BX122" s="417">
        <f t="shared" si="107"/>
        <v>0</v>
      </c>
      <c r="BY122" s="409">
        <f t="shared" si="108"/>
        <v>0</v>
      </c>
      <c r="BZ122" s="446">
        <f t="shared" si="92"/>
        <v>14</v>
      </c>
      <c r="CA122" s="542" t="s">
        <v>834</v>
      </c>
      <c r="CB122" s="557">
        <v>1</v>
      </c>
      <c r="CC122" s="451">
        <f t="shared" si="87"/>
        <v>6516</v>
      </c>
      <c r="CD122" s="542">
        <v>17</v>
      </c>
      <c r="CE122" s="418" t="str">
        <f t="shared" si="88"/>
        <v>Excellent coverage</v>
      </c>
      <c r="CF122" s="550">
        <v>0</v>
      </c>
      <c r="CG122" s="551" t="s">
        <v>65</v>
      </c>
      <c r="CH122" s="602"/>
    </row>
    <row r="123" spans="2:86" s="40" customFormat="1" ht="30.75" customHeight="1" x14ac:dyDescent="0.2">
      <c r="B123" s="512" t="s">
        <v>188</v>
      </c>
      <c r="C123" s="513" t="s">
        <v>588</v>
      </c>
      <c r="D123" s="514" t="s">
        <v>273</v>
      </c>
      <c r="E123" s="513" t="s">
        <v>192</v>
      </c>
      <c r="F123" s="514">
        <v>97.718582999999995</v>
      </c>
      <c r="G123" s="514">
        <v>24.200972</v>
      </c>
      <c r="H123" s="514" t="s">
        <v>467</v>
      </c>
      <c r="I123" s="514" t="s">
        <v>218</v>
      </c>
      <c r="J123" s="518">
        <v>30</v>
      </c>
      <c r="K123" s="518">
        <v>174</v>
      </c>
      <c r="L123" s="518">
        <v>174</v>
      </c>
      <c r="M123" s="405" t="str">
        <f t="shared" si="93"/>
        <v>1. Small</v>
      </c>
      <c r="N123" s="516" t="s">
        <v>239</v>
      </c>
      <c r="O123" s="530" t="s">
        <v>238</v>
      </c>
      <c r="P123" s="439" t="str">
        <f t="shared" si="54"/>
        <v>Covered</v>
      </c>
      <c r="Q123" s="531">
        <v>42247</v>
      </c>
      <c r="R123" s="532"/>
      <c r="S123" s="531"/>
      <c r="T123" s="516" t="s">
        <v>260</v>
      </c>
      <c r="U123" s="436" t="str">
        <f t="shared" si="55"/>
        <v>Documented</v>
      </c>
      <c r="V123" s="542">
        <v>0</v>
      </c>
      <c r="W123" s="515">
        <v>0</v>
      </c>
      <c r="X123" s="543" t="s">
        <v>19</v>
      </c>
      <c r="Y123" s="542">
        <v>0</v>
      </c>
      <c r="Z123" s="550">
        <v>1</v>
      </c>
      <c r="AA123" s="551">
        <v>5670</v>
      </c>
      <c r="AB123" s="560">
        <v>0</v>
      </c>
      <c r="AC123" s="561">
        <v>0.73</v>
      </c>
      <c r="AD123" s="443">
        <f t="shared" si="56"/>
        <v>1</v>
      </c>
      <c r="AE123" s="407">
        <f t="shared" si="57"/>
        <v>174</v>
      </c>
      <c r="AF123" s="408">
        <f t="shared" si="94"/>
        <v>1</v>
      </c>
      <c r="AG123" s="409">
        <f t="shared" si="59"/>
        <v>174</v>
      </c>
      <c r="AH123" s="406">
        <f t="shared" si="95"/>
        <v>1</v>
      </c>
      <c r="AI123" s="409">
        <f t="shared" si="61"/>
        <v>174</v>
      </c>
      <c r="AJ123" s="410" t="str">
        <f t="shared" si="96"/>
        <v>80-100%</v>
      </c>
      <c r="AK123" s="406">
        <f t="shared" si="97"/>
        <v>0</v>
      </c>
      <c r="AL123" s="411">
        <f t="shared" si="98"/>
        <v>0</v>
      </c>
      <c r="AM123" s="409">
        <f t="shared" si="99"/>
        <v>0</v>
      </c>
      <c r="AN123" s="409">
        <f t="shared" si="100"/>
        <v>21.9</v>
      </c>
      <c r="AO123" s="409">
        <f t="shared" si="67"/>
        <v>0</v>
      </c>
      <c r="AP123" s="566">
        <v>1</v>
      </c>
      <c r="AQ123" s="567">
        <f t="shared" si="89"/>
        <v>174</v>
      </c>
      <c r="AR123" s="551"/>
      <c r="AS123" s="552">
        <v>0</v>
      </c>
      <c r="AT123" s="518">
        <v>0</v>
      </c>
      <c r="AU123" s="518">
        <v>13</v>
      </c>
      <c r="AV123" s="515" t="s">
        <v>711</v>
      </c>
      <c r="AW123" s="412">
        <f t="shared" si="101"/>
        <v>1</v>
      </c>
      <c r="AX123" s="409">
        <f t="shared" si="69"/>
        <v>174</v>
      </c>
      <c r="AY123" s="412">
        <f t="shared" si="102"/>
        <v>0</v>
      </c>
      <c r="AZ123" s="409">
        <f t="shared" si="71"/>
        <v>0</v>
      </c>
      <c r="BA123" s="412">
        <f t="shared" si="103"/>
        <v>1</v>
      </c>
      <c r="BB123" s="409">
        <f t="shared" si="73"/>
        <v>174</v>
      </c>
      <c r="BC123" s="550">
        <v>0</v>
      </c>
      <c r="BD123" s="571">
        <v>1</v>
      </c>
      <c r="BE123" s="413">
        <f t="shared" si="104"/>
        <v>174</v>
      </c>
      <c r="BF123" s="414">
        <f t="shared" si="75"/>
        <v>0</v>
      </c>
      <c r="BG123" s="515">
        <v>1</v>
      </c>
      <c r="BH123" s="550" t="s">
        <v>299</v>
      </c>
      <c r="BI123" s="412">
        <f t="shared" si="76"/>
        <v>0.57471264367816088</v>
      </c>
      <c r="BJ123" s="409">
        <f t="shared" si="77"/>
        <v>100</v>
      </c>
      <c r="BK123" s="414">
        <f t="shared" si="78"/>
        <v>0.74</v>
      </c>
      <c r="BL123" s="571">
        <v>0.56999999999999995</v>
      </c>
      <c r="BM123" s="409">
        <f t="shared" si="79"/>
        <v>99.179999999999993</v>
      </c>
      <c r="BN123" s="515">
        <v>6</v>
      </c>
      <c r="BO123" s="412">
        <f t="shared" si="105"/>
        <v>1</v>
      </c>
      <c r="BP123" s="414">
        <f t="shared" si="106"/>
        <v>0</v>
      </c>
      <c r="BQ123" s="557">
        <v>1</v>
      </c>
      <c r="BR123" s="589"/>
      <c r="BS123" s="593">
        <v>41794</v>
      </c>
      <c r="BT123" s="415">
        <f t="shared" si="90"/>
        <v>42159</v>
      </c>
      <c r="BU123" s="515">
        <v>29</v>
      </c>
      <c r="BV123" s="515">
        <v>6</v>
      </c>
      <c r="BW123" s="416">
        <f t="shared" si="91"/>
        <v>1</v>
      </c>
      <c r="BX123" s="417">
        <f t="shared" si="107"/>
        <v>0.96666666666666667</v>
      </c>
      <c r="BY123" s="409">
        <f t="shared" si="108"/>
        <v>168.2</v>
      </c>
      <c r="BZ123" s="446">
        <f t="shared" si="92"/>
        <v>5</v>
      </c>
      <c r="CA123" s="542"/>
      <c r="CB123" s="557">
        <v>1</v>
      </c>
      <c r="CC123" s="451">
        <f t="shared" si="87"/>
        <v>174</v>
      </c>
      <c r="CD123" s="542">
        <v>1</v>
      </c>
      <c r="CE123" s="418" t="str">
        <f t="shared" si="88"/>
        <v>Excellent coverage</v>
      </c>
      <c r="CF123" s="550">
        <v>0</v>
      </c>
      <c r="CG123" s="551" t="s">
        <v>65</v>
      </c>
      <c r="CH123" s="602"/>
    </row>
    <row r="124" spans="2:86" s="40" customFormat="1" ht="30.75" customHeight="1" x14ac:dyDescent="0.2">
      <c r="B124" s="512" t="s">
        <v>188</v>
      </c>
      <c r="C124" s="513" t="s">
        <v>589</v>
      </c>
      <c r="D124" s="514" t="s">
        <v>273</v>
      </c>
      <c r="E124" s="513" t="s">
        <v>193</v>
      </c>
      <c r="F124" s="514">
        <v>97.724566999999993</v>
      </c>
      <c r="G124" s="514">
        <v>24.205417000000001</v>
      </c>
      <c r="H124" s="514" t="s">
        <v>467</v>
      </c>
      <c r="I124" s="514" t="s">
        <v>218</v>
      </c>
      <c r="J124" s="518">
        <v>69</v>
      </c>
      <c r="K124" s="518">
        <v>368</v>
      </c>
      <c r="L124" s="518">
        <v>368</v>
      </c>
      <c r="M124" s="405" t="str">
        <f t="shared" si="93"/>
        <v>2. Medium</v>
      </c>
      <c r="N124" s="516" t="s">
        <v>235</v>
      </c>
      <c r="O124" s="530" t="s">
        <v>238</v>
      </c>
      <c r="P124" s="439" t="str">
        <f t="shared" si="54"/>
        <v>Covered</v>
      </c>
      <c r="Q124" s="531">
        <v>42247</v>
      </c>
      <c r="R124" s="532"/>
      <c r="S124" s="531"/>
      <c r="T124" s="516" t="s">
        <v>260</v>
      </c>
      <c r="U124" s="436" t="str">
        <f t="shared" si="55"/>
        <v>Documented</v>
      </c>
      <c r="V124" s="542">
        <v>0</v>
      </c>
      <c r="W124" s="515">
        <v>0</v>
      </c>
      <c r="X124" s="543" t="s">
        <v>19</v>
      </c>
      <c r="Y124" s="542">
        <v>0</v>
      </c>
      <c r="Z124" s="550">
        <v>1</v>
      </c>
      <c r="AA124" s="551">
        <v>21600</v>
      </c>
      <c r="AB124" s="560">
        <v>0.2</v>
      </c>
      <c r="AC124" s="561">
        <v>0.54</v>
      </c>
      <c r="AD124" s="443">
        <f t="shared" si="56"/>
        <v>1</v>
      </c>
      <c r="AE124" s="407">
        <f t="shared" si="57"/>
        <v>368</v>
      </c>
      <c r="AF124" s="408">
        <f t="shared" si="94"/>
        <v>1</v>
      </c>
      <c r="AG124" s="409">
        <f t="shared" si="59"/>
        <v>368</v>
      </c>
      <c r="AH124" s="406">
        <f t="shared" si="95"/>
        <v>1</v>
      </c>
      <c r="AI124" s="409">
        <f t="shared" si="61"/>
        <v>368</v>
      </c>
      <c r="AJ124" s="410" t="str">
        <f t="shared" si="96"/>
        <v>80-100%</v>
      </c>
      <c r="AK124" s="406">
        <f t="shared" si="97"/>
        <v>0</v>
      </c>
      <c r="AL124" s="411">
        <f t="shared" si="98"/>
        <v>0</v>
      </c>
      <c r="AM124" s="409">
        <f t="shared" si="99"/>
        <v>0</v>
      </c>
      <c r="AN124" s="409">
        <f t="shared" si="100"/>
        <v>37.260000000000005</v>
      </c>
      <c r="AO124" s="409">
        <f t="shared" si="67"/>
        <v>73.600000000000009</v>
      </c>
      <c r="AP124" s="566">
        <v>1</v>
      </c>
      <c r="AQ124" s="567">
        <f t="shared" si="89"/>
        <v>368</v>
      </c>
      <c r="AR124" s="551"/>
      <c r="AS124" s="552">
        <v>16</v>
      </c>
      <c r="AT124" s="518">
        <v>6</v>
      </c>
      <c r="AU124" s="518">
        <v>5</v>
      </c>
      <c r="AV124" s="515" t="s">
        <v>298</v>
      </c>
      <c r="AW124" s="412">
        <f t="shared" si="101"/>
        <v>0.59782608695652173</v>
      </c>
      <c r="AX124" s="409">
        <f t="shared" si="69"/>
        <v>220</v>
      </c>
      <c r="AY124" s="412">
        <f t="shared" si="102"/>
        <v>0.32608695652173914</v>
      </c>
      <c r="AZ124" s="409">
        <f t="shared" si="71"/>
        <v>120</v>
      </c>
      <c r="BA124" s="412">
        <f t="shared" si="103"/>
        <v>0.27173913043478259</v>
      </c>
      <c r="BB124" s="409">
        <f t="shared" si="73"/>
        <v>100</v>
      </c>
      <c r="BC124" s="550">
        <v>0</v>
      </c>
      <c r="BD124" s="571">
        <v>0.6</v>
      </c>
      <c r="BE124" s="413">
        <f t="shared" si="104"/>
        <v>220.79999999999998</v>
      </c>
      <c r="BF124" s="414">
        <f t="shared" si="75"/>
        <v>13.399999999999999</v>
      </c>
      <c r="BG124" s="515">
        <v>2</v>
      </c>
      <c r="BH124" s="550" t="s">
        <v>91</v>
      </c>
      <c r="BI124" s="412">
        <f t="shared" si="76"/>
        <v>0.54347826086956519</v>
      </c>
      <c r="BJ124" s="409">
        <f t="shared" si="77"/>
        <v>200</v>
      </c>
      <c r="BK124" s="414">
        <f t="shared" si="78"/>
        <v>1.6800000000000002</v>
      </c>
      <c r="BL124" s="571">
        <v>0.54</v>
      </c>
      <c r="BM124" s="409">
        <f t="shared" si="79"/>
        <v>198.72000000000003</v>
      </c>
      <c r="BN124" s="515">
        <v>5</v>
      </c>
      <c r="BO124" s="412">
        <f t="shared" si="105"/>
        <v>1</v>
      </c>
      <c r="BP124" s="414">
        <f t="shared" si="106"/>
        <v>0</v>
      </c>
      <c r="BQ124" s="557">
        <v>1</v>
      </c>
      <c r="BR124" s="589" t="s">
        <v>859</v>
      </c>
      <c r="BS124" s="593">
        <v>41794</v>
      </c>
      <c r="BT124" s="415">
        <f t="shared" si="90"/>
        <v>42159</v>
      </c>
      <c r="BU124" s="515">
        <v>55</v>
      </c>
      <c r="BV124" s="515">
        <v>6</v>
      </c>
      <c r="BW124" s="416">
        <f t="shared" si="91"/>
        <v>14</v>
      </c>
      <c r="BX124" s="417">
        <f t="shared" si="107"/>
        <v>0.79710144927536231</v>
      </c>
      <c r="BY124" s="409">
        <f t="shared" si="108"/>
        <v>293.33333333333331</v>
      </c>
      <c r="BZ124" s="446">
        <f t="shared" si="92"/>
        <v>5</v>
      </c>
      <c r="CA124" s="542"/>
      <c r="CB124" s="557">
        <v>1</v>
      </c>
      <c r="CC124" s="451">
        <f t="shared" si="87"/>
        <v>368</v>
      </c>
      <c r="CD124" s="542">
        <v>3</v>
      </c>
      <c r="CE124" s="418" t="str">
        <f t="shared" si="88"/>
        <v>Excellent coverage</v>
      </c>
      <c r="CF124" s="550">
        <v>0</v>
      </c>
      <c r="CG124" s="551" t="s">
        <v>65</v>
      </c>
      <c r="CH124" s="602"/>
    </row>
    <row r="125" spans="2:86" s="40" customFormat="1" ht="30.75" customHeight="1" x14ac:dyDescent="0.2">
      <c r="B125" s="512" t="s">
        <v>188</v>
      </c>
      <c r="C125" s="513" t="s">
        <v>590</v>
      </c>
      <c r="D125" s="514" t="s">
        <v>273</v>
      </c>
      <c r="E125" s="513" t="s">
        <v>666</v>
      </c>
      <c r="F125" s="514">
        <v>97.717133000000004</v>
      </c>
      <c r="G125" s="514">
        <v>24.200433</v>
      </c>
      <c r="H125" s="514" t="s">
        <v>467</v>
      </c>
      <c r="I125" s="514" t="s">
        <v>218</v>
      </c>
      <c r="J125" s="518">
        <v>75</v>
      </c>
      <c r="K125" s="518">
        <v>437</v>
      </c>
      <c r="L125" s="518">
        <v>437</v>
      </c>
      <c r="M125" s="405" t="str">
        <f t="shared" si="93"/>
        <v>2. Medium</v>
      </c>
      <c r="N125" s="516" t="s">
        <v>239</v>
      </c>
      <c r="O125" s="530" t="s">
        <v>238</v>
      </c>
      <c r="P125" s="439" t="str">
        <f t="shared" si="54"/>
        <v>Covered</v>
      </c>
      <c r="Q125" s="531">
        <v>42247</v>
      </c>
      <c r="R125" s="532"/>
      <c r="S125" s="531"/>
      <c r="T125" s="516" t="s">
        <v>260</v>
      </c>
      <c r="U125" s="436" t="str">
        <f t="shared" si="55"/>
        <v>Documented</v>
      </c>
      <c r="V125" s="542">
        <v>0</v>
      </c>
      <c r="W125" s="515">
        <v>0</v>
      </c>
      <c r="X125" s="543" t="s">
        <v>19</v>
      </c>
      <c r="Y125" s="542">
        <v>0</v>
      </c>
      <c r="Z125" s="550">
        <v>2</v>
      </c>
      <c r="AA125" s="551">
        <v>25340</v>
      </c>
      <c r="AB125" s="560">
        <v>0</v>
      </c>
      <c r="AC125" s="561">
        <v>0.89</v>
      </c>
      <c r="AD125" s="443">
        <f t="shared" si="56"/>
        <v>1</v>
      </c>
      <c r="AE125" s="407">
        <f t="shared" si="57"/>
        <v>437</v>
      </c>
      <c r="AF125" s="408">
        <f t="shared" si="94"/>
        <v>1</v>
      </c>
      <c r="AG125" s="409">
        <f t="shared" si="59"/>
        <v>437</v>
      </c>
      <c r="AH125" s="406">
        <f t="shared" si="95"/>
        <v>1</v>
      </c>
      <c r="AI125" s="409">
        <f t="shared" si="61"/>
        <v>437</v>
      </c>
      <c r="AJ125" s="410" t="str">
        <f t="shared" si="96"/>
        <v>80-100%</v>
      </c>
      <c r="AK125" s="406">
        <f t="shared" si="97"/>
        <v>0</v>
      </c>
      <c r="AL125" s="411">
        <f t="shared" si="98"/>
        <v>0</v>
      </c>
      <c r="AM125" s="409">
        <f t="shared" si="99"/>
        <v>0</v>
      </c>
      <c r="AN125" s="409">
        <f t="shared" si="100"/>
        <v>66.75</v>
      </c>
      <c r="AO125" s="409">
        <f t="shared" si="67"/>
        <v>0</v>
      </c>
      <c r="AP125" s="566">
        <v>1</v>
      </c>
      <c r="AQ125" s="567">
        <f t="shared" si="89"/>
        <v>437</v>
      </c>
      <c r="AR125" s="551"/>
      <c r="AS125" s="552">
        <v>15</v>
      </c>
      <c r="AT125" s="518">
        <v>0</v>
      </c>
      <c r="AU125" s="518">
        <v>12</v>
      </c>
      <c r="AV125" s="515" t="s">
        <v>298</v>
      </c>
      <c r="AW125" s="412">
        <f t="shared" si="101"/>
        <v>0.54919908466819223</v>
      </c>
      <c r="AX125" s="409">
        <f t="shared" si="69"/>
        <v>240</v>
      </c>
      <c r="AY125" s="412">
        <f t="shared" si="102"/>
        <v>0</v>
      </c>
      <c r="AZ125" s="409">
        <f t="shared" si="71"/>
        <v>0</v>
      </c>
      <c r="BA125" s="412">
        <f t="shared" si="103"/>
        <v>0.54919908466819223</v>
      </c>
      <c r="BB125" s="409">
        <f t="shared" si="73"/>
        <v>240</v>
      </c>
      <c r="BC125" s="550">
        <v>0</v>
      </c>
      <c r="BD125" s="571">
        <v>0.55000000000000004</v>
      </c>
      <c r="BE125" s="413">
        <f t="shared" si="104"/>
        <v>240.35000000000002</v>
      </c>
      <c r="BF125" s="414">
        <f t="shared" si="75"/>
        <v>9.8500000000000014</v>
      </c>
      <c r="BG125" s="515">
        <v>1</v>
      </c>
      <c r="BH125" s="550" t="s">
        <v>91</v>
      </c>
      <c r="BI125" s="412">
        <f t="shared" si="76"/>
        <v>0.2288329519450801</v>
      </c>
      <c r="BJ125" s="409">
        <f t="shared" si="77"/>
        <v>100</v>
      </c>
      <c r="BK125" s="414">
        <f t="shared" si="78"/>
        <v>3.37</v>
      </c>
      <c r="BL125" s="571">
        <v>0.23</v>
      </c>
      <c r="BM125" s="409">
        <f t="shared" si="79"/>
        <v>100.51</v>
      </c>
      <c r="BN125" s="515">
        <v>4</v>
      </c>
      <c r="BO125" s="412">
        <f t="shared" si="105"/>
        <v>0.91533180778032042</v>
      </c>
      <c r="BP125" s="414">
        <f t="shared" si="106"/>
        <v>0.37000000000000011</v>
      </c>
      <c r="BQ125" s="557">
        <v>0.92</v>
      </c>
      <c r="BR125" s="589"/>
      <c r="BS125" s="593">
        <v>41796</v>
      </c>
      <c r="BT125" s="415">
        <f t="shared" si="90"/>
        <v>42161</v>
      </c>
      <c r="BU125" s="515">
        <v>113</v>
      </c>
      <c r="BV125" s="515">
        <v>6</v>
      </c>
      <c r="BW125" s="416">
        <f t="shared" si="91"/>
        <v>0</v>
      </c>
      <c r="BX125" s="417">
        <f t="shared" si="107"/>
        <v>1</v>
      </c>
      <c r="BY125" s="409">
        <f t="shared" si="108"/>
        <v>437</v>
      </c>
      <c r="BZ125" s="446">
        <f t="shared" si="92"/>
        <v>5</v>
      </c>
      <c r="CA125" s="542"/>
      <c r="CB125" s="557">
        <v>1</v>
      </c>
      <c r="CC125" s="451">
        <f t="shared" si="87"/>
        <v>437</v>
      </c>
      <c r="CD125" s="542">
        <v>4</v>
      </c>
      <c r="CE125" s="418" t="str">
        <f t="shared" si="88"/>
        <v>Excellent coverage</v>
      </c>
      <c r="CF125" s="550">
        <v>0</v>
      </c>
      <c r="CG125" s="551" t="s">
        <v>65</v>
      </c>
      <c r="CH125" s="602"/>
    </row>
    <row r="126" spans="2:86" s="40" customFormat="1" ht="30.75" customHeight="1" x14ac:dyDescent="0.2">
      <c r="B126" s="512" t="s">
        <v>188</v>
      </c>
      <c r="C126" s="513" t="s">
        <v>590</v>
      </c>
      <c r="D126" s="514" t="s">
        <v>273</v>
      </c>
      <c r="E126" s="513" t="s">
        <v>667</v>
      </c>
      <c r="F126" s="514">
        <v>97.715400000000002</v>
      </c>
      <c r="G126" s="514">
        <v>24.20083</v>
      </c>
      <c r="H126" s="514" t="s">
        <v>467</v>
      </c>
      <c r="I126" s="514" t="s">
        <v>218</v>
      </c>
      <c r="J126" s="518">
        <v>35</v>
      </c>
      <c r="K126" s="518">
        <v>202</v>
      </c>
      <c r="L126" s="518">
        <v>202</v>
      </c>
      <c r="M126" s="405" t="str">
        <f t="shared" si="93"/>
        <v>1. Small</v>
      </c>
      <c r="N126" s="516" t="s">
        <v>239</v>
      </c>
      <c r="O126" s="530" t="s">
        <v>238</v>
      </c>
      <c r="P126" s="439" t="str">
        <f t="shared" si="54"/>
        <v>Covered</v>
      </c>
      <c r="Q126" s="531">
        <v>42247</v>
      </c>
      <c r="R126" s="532"/>
      <c r="S126" s="531"/>
      <c r="T126" s="516" t="s">
        <v>260</v>
      </c>
      <c r="U126" s="436" t="str">
        <f t="shared" si="55"/>
        <v>Documented</v>
      </c>
      <c r="V126" s="542">
        <v>0</v>
      </c>
      <c r="W126" s="515">
        <v>0</v>
      </c>
      <c r="X126" s="543" t="s">
        <v>19</v>
      </c>
      <c r="Y126" s="542">
        <v>0</v>
      </c>
      <c r="Z126" s="550">
        <v>1</v>
      </c>
      <c r="AA126" s="551">
        <v>1000</v>
      </c>
      <c r="AB126" s="560">
        <v>0</v>
      </c>
      <c r="AC126" s="561">
        <v>0.56999999999999995</v>
      </c>
      <c r="AD126" s="443">
        <f t="shared" si="56"/>
        <v>1</v>
      </c>
      <c r="AE126" s="407">
        <f t="shared" si="57"/>
        <v>202</v>
      </c>
      <c r="AF126" s="408">
        <f t="shared" si="94"/>
        <v>1</v>
      </c>
      <c r="AG126" s="409">
        <f t="shared" si="59"/>
        <v>202</v>
      </c>
      <c r="AH126" s="406">
        <f t="shared" si="95"/>
        <v>1</v>
      </c>
      <c r="AI126" s="409">
        <f t="shared" si="61"/>
        <v>202</v>
      </c>
      <c r="AJ126" s="410" t="str">
        <f t="shared" si="96"/>
        <v>80-100%</v>
      </c>
      <c r="AK126" s="406">
        <f t="shared" si="97"/>
        <v>0</v>
      </c>
      <c r="AL126" s="411">
        <f t="shared" si="98"/>
        <v>0</v>
      </c>
      <c r="AM126" s="409">
        <f t="shared" si="99"/>
        <v>0</v>
      </c>
      <c r="AN126" s="409">
        <f t="shared" si="100"/>
        <v>19.95</v>
      </c>
      <c r="AO126" s="409">
        <f t="shared" si="67"/>
        <v>0</v>
      </c>
      <c r="AP126" s="566">
        <v>1</v>
      </c>
      <c r="AQ126" s="567">
        <f t="shared" si="89"/>
        <v>202</v>
      </c>
      <c r="AR126" s="551"/>
      <c r="AS126" s="552">
        <v>0</v>
      </c>
      <c r="AT126" s="518">
        <v>2</v>
      </c>
      <c r="AU126" s="518">
        <v>10</v>
      </c>
      <c r="AV126" s="515" t="s">
        <v>298</v>
      </c>
      <c r="AW126" s="412">
        <f t="shared" si="101"/>
        <v>1</v>
      </c>
      <c r="AX126" s="409">
        <f t="shared" si="69"/>
        <v>202</v>
      </c>
      <c r="AY126" s="412">
        <f t="shared" si="102"/>
        <v>9.9009900990099098E-3</v>
      </c>
      <c r="AZ126" s="409">
        <f t="shared" si="71"/>
        <v>2.0000000000000018</v>
      </c>
      <c r="BA126" s="412">
        <f t="shared" si="103"/>
        <v>0.99009900990099009</v>
      </c>
      <c r="BB126" s="409">
        <f t="shared" si="73"/>
        <v>200</v>
      </c>
      <c r="BC126" s="550">
        <v>0</v>
      </c>
      <c r="BD126" s="571">
        <v>1</v>
      </c>
      <c r="BE126" s="413">
        <f t="shared" si="104"/>
        <v>202</v>
      </c>
      <c r="BF126" s="414">
        <f t="shared" si="75"/>
        <v>9.9999999999999645E-2</v>
      </c>
      <c r="BG126" s="515">
        <v>1</v>
      </c>
      <c r="BH126" s="550" t="s">
        <v>91</v>
      </c>
      <c r="BI126" s="412">
        <f t="shared" si="76"/>
        <v>0.49504950495049505</v>
      </c>
      <c r="BJ126" s="409">
        <f t="shared" si="77"/>
        <v>100</v>
      </c>
      <c r="BK126" s="414">
        <f t="shared" si="78"/>
        <v>1.02</v>
      </c>
      <c r="BL126" s="571">
        <v>0.5</v>
      </c>
      <c r="BM126" s="409">
        <f t="shared" si="79"/>
        <v>101</v>
      </c>
      <c r="BN126" s="515">
        <v>4</v>
      </c>
      <c r="BO126" s="412">
        <f t="shared" si="105"/>
        <v>1</v>
      </c>
      <c r="BP126" s="414">
        <f t="shared" si="106"/>
        <v>0</v>
      </c>
      <c r="BQ126" s="557">
        <v>1</v>
      </c>
      <c r="BR126" s="589"/>
      <c r="BS126" s="593">
        <v>41796</v>
      </c>
      <c r="BT126" s="415">
        <f t="shared" si="90"/>
        <v>42161</v>
      </c>
      <c r="BU126" s="515">
        <v>35</v>
      </c>
      <c r="BV126" s="515">
        <v>6</v>
      </c>
      <c r="BW126" s="416">
        <f t="shared" si="91"/>
        <v>0</v>
      </c>
      <c r="BX126" s="417">
        <f t="shared" si="107"/>
        <v>1</v>
      </c>
      <c r="BY126" s="409">
        <f t="shared" si="108"/>
        <v>202</v>
      </c>
      <c r="BZ126" s="446">
        <f t="shared" si="92"/>
        <v>5</v>
      </c>
      <c r="CA126" s="542"/>
      <c r="CB126" s="557">
        <v>1</v>
      </c>
      <c r="CC126" s="451">
        <f t="shared" si="87"/>
        <v>202</v>
      </c>
      <c r="CD126" s="542">
        <v>1</v>
      </c>
      <c r="CE126" s="418" t="str">
        <f t="shared" si="88"/>
        <v>Excellent coverage</v>
      </c>
      <c r="CF126" s="550">
        <v>0</v>
      </c>
      <c r="CG126" s="551" t="s">
        <v>65</v>
      </c>
      <c r="CH126" s="602"/>
    </row>
    <row r="127" spans="2:86" s="40" customFormat="1" ht="30.75" customHeight="1" x14ac:dyDescent="0.2">
      <c r="B127" s="512" t="s">
        <v>188</v>
      </c>
      <c r="C127" s="513" t="s">
        <v>590</v>
      </c>
      <c r="D127" s="514" t="s">
        <v>273</v>
      </c>
      <c r="E127" s="513" t="s">
        <v>668</v>
      </c>
      <c r="F127" s="514">
        <v>97.716260000000005</v>
      </c>
      <c r="G127" s="514">
        <v>24.20411</v>
      </c>
      <c r="H127" s="514" t="s">
        <v>467</v>
      </c>
      <c r="I127" s="514" t="s">
        <v>218</v>
      </c>
      <c r="J127" s="518">
        <v>22</v>
      </c>
      <c r="K127" s="518">
        <v>82</v>
      </c>
      <c r="L127" s="518">
        <v>82</v>
      </c>
      <c r="M127" s="405" t="str">
        <f t="shared" si="93"/>
        <v>1. Small</v>
      </c>
      <c r="N127" s="516" t="s">
        <v>239</v>
      </c>
      <c r="O127" s="530" t="s">
        <v>238</v>
      </c>
      <c r="P127" s="439" t="str">
        <f t="shared" si="54"/>
        <v>Covered</v>
      </c>
      <c r="Q127" s="531">
        <v>42247</v>
      </c>
      <c r="R127" s="532"/>
      <c r="S127" s="531"/>
      <c r="T127" s="516" t="s">
        <v>260</v>
      </c>
      <c r="U127" s="436" t="str">
        <f t="shared" si="55"/>
        <v>Documented</v>
      </c>
      <c r="V127" s="542">
        <v>0</v>
      </c>
      <c r="W127" s="515">
        <v>0</v>
      </c>
      <c r="X127" s="543" t="s">
        <v>19</v>
      </c>
      <c r="Y127" s="542">
        <v>0</v>
      </c>
      <c r="Z127" s="550">
        <v>1</v>
      </c>
      <c r="AA127" s="551">
        <v>2000</v>
      </c>
      <c r="AB127" s="560">
        <v>0</v>
      </c>
      <c r="AC127" s="561">
        <v>0.95</v>
      </c>
      <c r="AD127" s="443">
        <f t="shared" si="56"/>
        <v>1</v>
      </c>
      <c r="AE127" s="407">
        <f t="shared" si="57"/>
        <v>82</v>
      </c>
      <c r="AF127" s="408">
        <f t="shared" si="94"/>
        <v>1</v>
      </c>
      <c r="AG127" s="409">
        <f t="shared" si="59"/>
        <v>82</v>
      </c>
      <c r="AH127" s="406">
        <f t="shared" si="95"/>
        <v>1</v>
      </c>
      <c r="AI127" s="409">
        <f t="shared" si="61"/>
        <v>82</v>
      </c>
      <c r="AJ127" s="410" t="str">
        <f t="shared" si="96"/>
        <v>80-100%</v>
      </c>
      <c r="AK127" s="406">
        <f t="shared" si="97"/>
        <v>0</v>
      </c>
      <c r="AL127" s="411">
        <f t="shared" si="98"/>
        <v>0</v>
      </c>
      <c r="AM127" s="409">
        <f t="shared" si="99"/>
        <v>0</v>
      </c>
      <c r="AN127" s="409">
        <f t="shared" si="100"/>
        <v>20.9</v>
      </c>
      <c r="AO127" s="409">
        <f t="shared" si="67"/>
        <v>0</v>
      </c>
      <c r="AP127" s="566">
        <v>1</v>
      </c>
      <c r="AQ127" s="567">
        <f t="shared" si="89"/>
        <v>82</v>
      </c>
      <c r="AR127" s="551"/>
      <c r="AS127" s="552">
        <v>0</v>
      </c>
      <c r="AT127" s="518">
        <v>2</v>
      </c>
      <c r="AU127" s="518">
        <v>3</v>
      </c>
      <c r="AV127" s="515" t="s">
        <v>298</v>
      </c>
      <c r="AW127" s="412">
        <f t="shared" si="101"/>
        <v>1</v>
      </c>
      <c r="AX127" s="409">
        <f t="shared" si="69"/>
        <v>82</v>
      </c>
      <c r="AY127" s="412">
        <f t="shared" si="102"/>
        <v>0.26829268292682928</v>
      </c>
      <c r="AZ127" s="409">
        <f t="shared" si="71"/>
        <v>22</v>
      </c>
      <c r="BA127" s="412">
        <f t="shared" si="103"/>
        <v>0.73170731707317072</v>
      </c>
      <c r="BB127" s="409">
        <f t="shared" si="73"/>
        <v>60</v>
      </c>
      <c r="BC127" s="550">
        <v>0</v>
      </c>
      <c r="BD127" s="571">
        <v>1</v>
      </c>
      <c r="BE127" s="413">
        <f t="shared" si="104"/>
        <v>82</v>
      </c>
      <c r="BF127" s="414">
        <f t="shared" si="75"/>
        <v>1.0999999999999996</v>
      </c>
      <c r="BG127" s="515">
        <v>1</v>
      </c>
      <c r="BH127" s="550" t="s">
        <v>91</v>
      </c>
      <c r="BI127" s="412">
        <f t="shared" si="76"/>
        <v>1</v>
      </c>
      <c r="BJ127" s="409">
        <f t="shared" si="77"/>
        <v>82</v>
      </c>
      <c r="BK127" s="414">
        <f t="shared" si="78"/>
        <v>0</v>
      </c>
      <c r="BL127" s="571">
        <v>1</v>
      </c>
      <c r="BM127" s="409">
        <f t="shared" si="79"/>
        <v>82</v>
      </c>
      <c r="BN127" s="515">
        <v>1</v>
      </c>
      <c r="BO127" s="412">
        <f t="shared" si="105"/>
        <v>1</v>
      </c>
      <c r="BP127" s="414">
        <f t="shared" si="106"/>
        <v>0</v>
      </c>
      <c r="BQ127" s="557">
        <v>1</v>
      </c>
      <c r="BR127" s="589" t="s">
        <v>860</v>
      </c>
      <c r="BS127" s="593">
        <v>41796</v>
      </c>
      <c r="BT127" s="415">
        <f t="shared" si="90"/>
        <v>42161</v>
      </c>
      <c r="BU127" s="515">
        <v>22</v>
      </c>
      <c r="BV127" s="515">
        <v>6</v>
      </c>
      <c r="BW127" s="416">
        <f t="shared" si="91"/>
        <v>0</v>
      </c>
      <c r="BX127" s="417">
        <f t="shared" si="107"/>
        <v>1</v>
      </c>
      <c r="BY127" s="409">
        <f t="shared" si="108"/>
        <v>82</v>
      </c>
      <c r="BZ127" s="446">
        <f t="shared" si="92"/>
        <v>5</v>
      </c>
      <c r="CA127" s="542"/>
      <c r="CB127" s="557">
        <v>1</v>
      </c>
      <c r="CC127" s="451">
        <f t="shared" si="87"/>
        <v>82</v>
      </c>
      <c r="CD127" s="542">
        <v>1</v>
      </c>
      <c r="CE127" s="418" t="str">
        <f t="shared" si="88"/>
        <v>Excellent coverage</v>
      </c>
      <c r="CF127" s="550">
        <v>0</v>
      </c>
      <c r="CG127" s="551" t="s">
        <v>65</v>
      </c>
      <c r="CH127" s="602"/>
    </row>
    <row r="128" spans="2:86" s="40" customFormat="1" ht="30.75" customHeight="1" x14ac:dyDescent="0.25">
      <c r="B128" s="512" t="s">
        <v>188</v>
      </c>
      <c r="C128" s="513" t="s">
        <v>590</v>
      </c>
      <c r="D128" s="514" t="s">
        <v>273</v>
      </c>
      <c r="E128" s="513" t="s">
        <v>811</v>
      </c>
      <c r="F128" s="514">
        <v>97.714839999999995</v>
      </c>
      <c r="G128" s="514">
        <v>24.20757</v>
      </c>
      <c r="H128" s="514" t="s">
        <v>467</v>
      </c>
      <c r="I128" s="514" t="s">
        <v>218</v>
      </c>
      <c r="J128" s="518">
        <v>47</v>
      </c>
      <c r="K128" s="518">
        <v>237</v>
      </c>
      <c r="L128" s="518">
        <v>237</v>
      </c>
      <c r="M128" s="405" t="str">
        <f t="shared" si="93"/>
        <v>1. Small</v>
      </c>
      <c r="N128" s="519" t="s">
        <v>239</v>
      </c>
      <c r="O128" s="533" t="s">
        <v>238</v>
      </c>
      <c r="P128" s="439" t="str">
        <f t="shared" si="54"/>
        <v>Covered</v>
      </c>
      <c r="Q128" s="534">
        <v>42247</v>
      </c>
      <c r="R128" s="514"/>
      <c r="S128" s="535"/>
      <c r="T128" s="536" t="s">
        <v>260</v>
      </c>
      <c r="U128" s="436" t="str">
        <f t="shared" si="55"/>
        <v>Documented</v>
      </c>
      <c r="V128" s="542">
        <v>0</v>
      </c>
      <c r="W128" s="515">
        <v>0</v>
      </c>
      <c r="X128" s="545" t="s">
        <v>19</v>
      </c>
      <c r="Y128" s="544">
        <v>0</v>
      </c>
      <c r="Z128" s="518">
        <v>1</v>
      </c>
      <c r="AA128" s="545">
        <v>2000</v>
      </c>
      <c r="AB128" s="558">
        <v>0</v>
      </c>
      <c r="AC128" s="559">
        <v>0.55000000000000004</v>
      </c>
      <c r="AD128" s="443">
        <f t="shared" si="56"/>
        <v>1</v>
      </c>
      <c r="AE128" s="407">
        <f t="shared" si="57"/>
        <v>237</v>
      </c>
      <c r="AF128" s="408">
        <f t="shared" si="94"/>
        <v>1</v>
      </c>
      <c r="AG128" s="409">
        <f t="shared" si="59"/>
        <v>237</v>
      </c>
      <c r="AH128" s="406">
        <f t="shared" si="95"/>
        <v>1</v>
      </c>
      <c r="AI128" s="409">
        <f t="shared" si="61"/>
        <v>237</v>
      </c>
      <c r="AJ128" s="410" t="str">
        <f t="shared" si="96"/>
        <v>80-100%</v>
      </c>
      <c r="AK128" s="406">
        <f t="shared" si="97"/>
        <v>0</v>
      </c>
      <c r="AL128" s="411">
        <f t="shared" si="98"/>
        <v>0</v>
      </c>
      <c r="AM128" s="409">
        <f t="shared" si="99"/>
        <v>0</v>
      </c>
      <c r="AN128" s="409">
        <f t="shared" si="100"/>
        <v>25.85</v>
      </c>
      <c r="AO128" s="409">
        <f t="shared" si="67"/>
        <v>0</v>
      </c>
      <c r="AP128" s="569">
        <v>1</v>
      </c>
      <c r="AQ128" s="567">
        <f t="shared" si="89"/>
        <v>237</v>
      </c>
      <c r="AR128" s="551"/>
      <c r="AS128" s="544">
        <v>0</v>
      </c>
      <c r="AT128" s="518">
        <v>0</v>
      </c>
      <c r="AU128" s="518">
        <v>10</v>
      </c>
      <c r="AV128" s="515" t="s">
        <v>91</v>
      </c>
      <c r="AW128" s="412">
        <f t="shared" si="101"/>
        <v>0.84388185654008441</v>
      </c>
      <c r="AX128" s="409">
        <f t="shared" si="69"/>
        <v>200</v>
      </c>
      <c r="AY128" s="412">
        <f t="shared" si="102"/>
        <v>0</v>
      </c>
      <c r="AZ128" s="409">
        <f t="shared" si="71"/>
        <v>0</v>
      </c>
      <c r="BA128" s="412">
        <f t="shared" si="103"/>
        <v>0.84388185654008441</v>
      </c>
      <c r="BB128" s="409">
        <f t="shared" si="73"/>
        <v>200</v>
      </c>
      <c r="BC128" s="579"/>
      <c r="BD128" s="569">
        <v>0.84</v>
      </c>
      <c r="BE128" s="413">
        <f t="shared" si="104"/>
        <v>199.07999999999998</v>
      </c>
      <c r="BF128" s="414">
        <f t="shared" si="75"/>
        <v>1.8499999999999996</v>
      </c>
      <c r="BG128" s="518">
        <v>2</v>
      </c>
      <c r="BH128" s="518"/>
      <c r="BI128" s="412">
        <f t="shared" si="76"/>
        <v>0.84388185654008441</v>
      </c>
      <c r="BJ128" s="409">
        <f t="shared" si="77"/>
        <v>200</v>
      </c>
      <c r="BK128" s="414">
        <f t="shared" si="78"/>
        <v>0.37000000000000011</v>
      </c>
      <c r="BL128" s="580">
        <v>0.84</v>
      </c>
      <c r="BM128" s="409">
        <f t="shared" si="79"/>
        <v>199.07999999999998</v>
      </c>
      <c r="BN128" s="518">
        <v>2</v>
      </c>
      <c r="BO128" s="412">
        <f t="shared" si="105"/>
        <v>0.84388185654008441</v>
      </c>
      <c r="BP128" s="414">
        <f t="shared" si="106"/>
        <v>0.37000000000000011</v>
      </c>
      <c r="BQ128" s="581">
        <v>0.84</v>
      </c>
      <c r="BR128" s="590"/>
      <c r="BS128" s="595">
        <v>41796</v>
      </c>
      <c r="BT128" s="415">
        <f t="shared" si="90"/>
        <v>42161</v>
      </c>
      <c r="BU128" s="579">
        <v>47</v>
      </c>
      <c r="BV128" s="579">
        <v>6</v>
      </c>
      <c r="BW128" s="416">
        <f t="shared" si="91"/>
        <v>0</v>
      </c>
      <c r="BX128" s="417">
        <f t="shared" si="107"/>
        <v>1</v>
      </c>
      <c r="BY128" s="409">
        <f t="shared" si="108"/>
        <v>237</v>
      </c>
      <c r="BZ128" s="446">
        <f t="shared" si="92"/>
        <v>5</v>
      </c>
      <c r="CA128" s="597"/>
      <c r="CB128" s="559">
        <v>1</v>
      </c>
      <c r="CC128" s="451">
        <f t="shared" si="87"/>
        <v>237</v>
      </c>
      <c r="CD128" s="598">
        <v>1</v>
      </c>
      <c r="CE128" s="418" t="str">
        <f t="shared" si="88"/>
        <v>Excellent coverage</v>
      </c>
      <c r="CF128" s="550">
        <v>0</v>
      </c>
      <c r="CG128" s="551" t="s">
        <v>65</v>
      </c>
      <c r="CH128" s="604"/>
    </row>
    <row r="129" spans="2:86" s="40" customFormat="1" ht="30.75" customHeight="1" x14ac:dyDescent="0.2">
      <c r="B129" s="512" t="s">
        <v>188</v>
      </c>
      <c r="C129" s="513" t="s">
        <v>732</v>
      </c>
      <c r="D129" s="514" t="s">
        <v>273</v>
      </c>
      <c r="E129" s="513" t="s">
        <v>327</v>
      </c>
      <c r="F129" s="514">
        <v>97.724483000000006</v>
      </c>
      <c r="G129" s="514">
        <v>24.205417000000001</v>
      </c>
      <c r="H129" s="514" t="s">
        <v>467</v>
      </c>
      <c r="I129" s="514" t="s">
        <v>218</v>
      </c>
      <c r="J129" s="518">
        <v>50</v>
      </c>
      <c r="K129" s="518">
        <v>295</v>
      </c>
      <c r="L129" s="515">
        <v>295</v>
      </c>
      <c r="M129" s="405" t="str">
        <f t="shared" si="93"/>
        <v>1. Small</v>
      </c>
      <c r="N129" s="516" t="s">
        <v>239</v>
      </c>
      <c r="O129" s="530" t="s">
        <v>238</v>
      </c>
      <c r="P129" s="439" t="str">
        <f t="shared" si="54"/>
        <v>Covered</v>
      </c>
      <c r="Q129" s="531">
        <v>42247</v>
      </c>
      <c r="R129" s="532"/>
      <c r="S129" s="531"/>
      <c r="T129" s="516" t="s">
        <v>260</v>
      </c>
      <c r="U129" s="436" t="str">
        <f t="shared" si="55"/>
        <v>Documented</v>
      </c>
      <c r="V129" s="542">
        <v>0</v>
      </c>
      <c r="W129" s="515">
        <v>0</v>
      </c>
      <c r="X129" s="543" t="s">
        <v>19</v>
      </c>
      <c r="Y129" s="542">
        <v>1</v>
      </c>
      <c r="Z129" s="550">
        <v>1</v>
      </c>
      <c r="AA129" s="551">
        <v>11790</v>
      </c>
      <c r="AB129" s="560">
        <v>0</v>
      </c>
      <c r="AC129" s="561">
        <v>0.92</v>
      </c>
      <c r="AD129" s="443">
        <f t="shared" si="56"/>
        <v>1</v>
      </c>
      <c r="AE129" s="407">
        <f t="shared" si="57"/>
        <v>295</v>
      </c>
      <c r="AF129" s="408">
        <f t="shared" si="94"/>
        <v>1</v>
      </c>
      <c r="AG129" s="409">
        <f t="shared" si="59"/>
        <v>295</v>
      </c>
      <c r="AH129" s="406">
        <f t="shared" si="95"/>
        <v>1</v>
      </c>
      <c r="AI129" s="409">
        <f t="shared" si="61"/>
        <v>295</v>
      </c>
      <c r="AJ129" s="410" t="str">
        <f t="shared" si="96"/>
        <v>80-100%</v>
      </c>
      <c r="AK129" s="406">
        <f t="shared" si="97"/>
        <v>0</v>
      </c>
      <c r="AL129" s="411">
        <f t="shared" si="98"/>
        <v>0</v>
      </c>
      <c r="AM129" s="409">
        <f t="shared" si="99"/>
        <v>0</v>
      </c>
      <c r="AN129" s="409">
        <f t="shared" si="100"/>
        <v>46</v>
      </c>
      <c r="AO129" s="409">
        <f t="shared" si="67"/>
        <v>0</v>
      </c>
      <c r="AP129" s="566">
        <v>1</v>
      </c>
      <c r="AQ129" s="567">
        <f t="shared" si="89"/>
        <v>295</v>
      </c>
      <c r="AR129" s="551"/>
      <c r="AS129" s="552">
        <v>21</v>
      </c>
      <c r="AT129" s="518">
        <v>10</v>
      </c>
      <c r="AU129" s="518">
        <v>4</v>
      </c>
      <c r="AV129" s="515" t="s">
        <v>298</v>
      </c>
      <c r="AW129" s="412">
        <f t="shared" si="101"/>
        <v>0.94915254237288138</v>
      </c>
      <c r="AX129" s="409">
        <f t="shared" si="69"/>
        <v>280</v>
      </c>
      <c r="AY129" s="412">
        <f t="shared" si="102"/>
        <v>0.67796610169491522</v>
      </c>
      <c r="AZ129" s="409">
        <f t="shared" si="71"/>
        <v>200</v>
      </c>
      <c r="BA129" s="412">
        <f t="shared" si="103"/>
        <v>0.2711864406779661</v>
      </c>
      <c r="BB129" s="409">
        <f t="shared" si="73"/>
        <v>80</v>
      </c>
      <c r="BC129" s="550">
        <v>0</v>
      </c>
      <c r="BD129" s="571">
        <v>1</v>
      </c>
      <c r="BE129" s="413">
        <f t="shared" si="104"/>
        <v>295</v>
      </c>
      <c r="BF129" s="414">
        <f t="shared" si="75"/>
        <v>10.75</v>
      </c>
      <c r="BG129" s="515">
        <v>3</v>
      </c>
      <c r="BH129" s="550" t="s">
        <v>299</v>
      </c>
      <c r="BI129" s="412">
        <f t="shared" si="76"/>
        <v>1</v>
      </c>
      <c r="BJ129" s="409">
        <f t="shared" si="77"/>
        <v>295</v>
      </c>
      <c r="BK129" s="414">
        <f t="shared" si="78"/>
        <v>0</v>
      </c>
      <c r="BL129" s="571">
        <v>1</v>
      </c>
      <c r="BM129" s="409">
        <f t="shared" si="79"/>
        <v>295</v>
      </c>
      <c r="BN129" s="515">
        <v>4</v>
      </c>
      <c r="BO129" s="412">
        <f t="shared" si="105"/>
        <v>1</v>
      </c>
      <c r="BP129" s="414">
        <f t="shared" si="106"/>
        <v>0</v>
      </c>
      <c r="BQ129" s="557">
        <v>1</v>
      </c>
      <c r="BR129" s="589" t="s">
        <v>861</v>
      </c>
      <c r="BS129" s="593">
        <v>41795</v>
      </c>
      <c r="BT129" s="415">
        <f t="shared" si="90"/>
        <v>42160</v>
      </c>
      <c r="BU129" s="515">
        <v>48</v>
      </c>
      <c r="BV129" s="515">
        <v>6</v>
      </c>
      <c r="BW129" s="416">
        <f t="shared" si="91"/>
        <v>2</v>
      </c>
      <c r="BX129" s="417">
        <f t="shared" si="107"/>
        <v>0.96</v>
      </c>
      <c r="BY129" s="409">
        <f t="shared" si="108"/>
        <v>283.2</v>
      </c>
      <c r="BZ129" s="446">
        <f t="shared" si="92"/>
        <v>5</v>
      </c>
      <c r="CA129" s="542"/>
      <c r="CB129" s="557">
        <v>1</v>
      </c>
      <c r="CC129" s="451">
        <f t="shared" si="87"/>
        <v>295</v>
      </c>
      <c r="CD129" s="542">
        <v>2</v>
      </c>
      <c r="CE129" s="418" t="str">
        <f t="shared" si="88"/>
        <v>Excellent coverage</v>
      </c>
      <c r="CF129" s="550">
        <v>0</v>
      </c>
      <c r="CG129" s="551" t="s">
        <v>65</v>
      </c>
      <c r="CH129" s="602"/>
    </row>
    <row r="130" spans="2:86" s="40" customFormat="1" ht="30.75" customHeight="1" x14ac:dyDescent="0.2">
      <c r="B130" s="512" t="s">
        <v>188</v>
      </c>
      <c r="C130" s="513" t="s">
        <v>589</v>
      </c>
      <c r="D130" s="514" t="s">
        <v>273</v>
      </c>
      <c r="E130" s="513" t="s">
        <v>501</v>
      </c>
      <c r="F130" s="514">
        <v>97.724000000000004</v>
      </c>
      <c r="G130" s="514">
        <v>24.204999999999998</v>
      </c>
      <c r="H130" s="514" t="s">
        <v>468</v>
      </c>
      <c r="I130" s="514" t="s">
        <v>218</v>
      </c>
      <c r="J130" s="515">
        <v>40</v>
      </c>
      <c r="K130" s="515">
        <v>136</v>
      </c>
      <c r="L130" s="515">
        <v>136</v>
      </c>
      <c r="M130" s="405" t="str">
        <f t="shared" si="93"/>
        <v>1. Small</v>
      </c>
      <c r="N130" s="516" t="s">
        <v>235</v>
      </c>
      <c r="O130" s="530" t="s">
        <v>238</v>
      </c>
      <c r="P130" s="439" t="str">
        <f t="shared" si="54"/>
        <v>Covered</v>
      </c>
      <c r="Q130" s="531">
        <v>42247</v>
      </c>
      <c r="R130" s="532"/>
      <c r="S130" s="531"/>
      <c r="T130" s="516" t="s">
        <v>260</v>
      </c>
      <c r="U130" s="436" t="str">
        <f t="shared" si="55"/>
        <v>Documented</v>
      </c>
      <c r="V130" s="542">
        <v>0</v>
      </c>
      <c r="W130" s="515">
        <v>0</v>
      </c>
      <c r="X130" s="543" t="s">
        <v>19</v>
      </c>
      <c r="Y130" s="542">
        <v>2</v>
      </c>
      <c r="Z130" s="550">
        <v>1</v>
      </c>
      <c r="AA130" s="551">
        <v>2720</v>
      </c>
      <c r="AB130" s="560">
        <v>0</v>
      </c>
      <c r="AC130" s="561">
        <v>0</v>
      </c>
      <c r="AD130" s="443">
        <f t="shared" si="56"/>
        <v>1</v>
      </c>
      <c r="AE130" s="407">
        <f t="shared" si="57"/>
        <v>136</v>
      </c>
      <c r="AF130" s="408">
        <f t="shared" si="94"/>
        <v>1</v>
      </c>
      <c r="AG130" s="409">
        <f t="shared" si="59"/>
        <v>136</v>
      </c>
      <c r="AH130" s="406">
        <f t="shared" si="95"/>
        <v>1</v>
      </c>
      <c r="AI130" s="409">
        <f t="shared" si="61"/>
        <v>136</v>
      </c>
      <c r="AJ130" s="410" t="str">
        <f t="shared" si="96"/>
        <v>80-100%</v>
      </c>
      <c r="AK130" s="406">
        <f t="shared" si="97"/>
        <v>0</v>
      </c>
      <c r="AL130" s="411">
        <f t="shared" si="98"/>
        <v>0</v>
      </c>
      <c r="AM130" s="409">
        <f t="shared" si="99"/>
        <v>0</v>
      </c>
      <c r="AN130" s="409">
        <f t="shared" si="100"/>
        <v>0</v>
      </c>
      <c r="AO130" s="409">
        <f t="shared" si="67"/>
        <v>0</v>
      </c>
      <c r="AP130" s="566">
        <v>1</v>
      </c>
      <c r="AQ130" s="567">
        <f t="shared" si="89"/>
        <v>136</v>
      </c>
      <c r="AR130" s="551"/>
      <c r="AS130" s="552">
        <v>9</v>
      </c>
      <c r="AT130" s="515">
        <v>9</v>
      </c>
      <c r="AU130" s="515">
        <v>0</v>
      </c>
      <c r="AV130" s="515" t="s">
        <v>91</v>
      </c>
      <c r="AW130" s="412">
        <f t="shared" si="101"/>
        <v>1</v>
      </c>
      <c r="AX130" s="409">
        <f t="shared" si="69"/>
        <v>136</v>
      </c>
      <c r="AY130" s="412">
        <f t="shared" si="102"/>
        <v>1</v>
      </c>
      <c r="AZ130" s="409">
        <f t="shared" si="71"/>
        <v>136</v>
      </c>
      <c r="BA130" s="412">
        <f t="shared" si="103"/>
        <v>0</v>
      </c>
      <c r="BB130" s="409">
        <f t="shared" si="73"/>
        <v>0</v>
      </c>
      <c r="BC130" s="550">
        <v>0</v>
      </c>
      <c r="BD130" s="571">
        <v>1</v>
      </c>
      <c r="BE130" s="413">
        <f t="shared" si="104"/>
        <v>136</v>
      </c>
      <c r="BF130" s="414">
        <f t="shared" si="75"/>
        <v>6.8</v>
      </c>
      <c r="BG130" s="515">
        <v>1</v>
      </c>
      <c r="BH130" s="550" t="s">
        <v>91</v>
      </c>
      <c r="BI130" s="412">
        <f t="shared" si="76"/>
        <v>0.73529411764705888</v>
      </c>
      <c r="BJ130" s="409">
        <f t="shared" si="77"/>
        <v>100</v>
      </c>
      <c r="BK130" s="414">
        <f t="shared" si="78"/>
        <v>0.3600000000000001</v>
      </c>
      <c r="BL130" s="571">
        <v>0.74</v>
      </c>
      <c r="BM130" s="409">
        <f t="shared" si="79"/>
        <v>100.64</v>
      </c>
      <c r="BN130" s="515">
        <v>0</v>
      </c>
      <c r="BO130" s="412">
        <f t="shared" si="105"/>
        <v>0</v>
      </c>
      <c r="BP130" s="414">
        <f t="shared" si="106"/>
        <v>1.36</v>
      </c>
      <c r="BQ130" s="557">
        <v>0</v>
      </c>
      <c r="BR130" s="589"/>
      <c r="BS130" s="593">
        <v>41584</v>
      </c>
      <c r="BT130" s="415" t="str">
        <f t="shared" si="90"/>
        <v>To be realised</v>
      </c>
      <c r="BU130" s="515">
        <v>5</v>
      </c>
      <c r="BV130" s="515">
        <v>3</v>
      </c>
      <c r="BW130" s="416">
        <f t="shared" si="91"/>
        <v>40</v>
      </c>
      <c r="BX130" s="417">
        <f t="shared" si="107"/>
        <v>0</v>
      </c>
      <c r="BY130" s="409">
        <f t="shared" si="108"/>
        <v>0</v>
      </c>
      <c r="BZ130" s="446">
        <f t="shared" si="92"/>
        <v>15</v>
      </c>
      <c r="CA130" s="542"/>
      <c r="CB130" s="557">
        <v>0</v>
      </c>
      <c r="CC130" s="451">
        <f t="shared" si="87"/>
        <v>0</v>
      </c>
      <c r="CD130" s="542">
        <v>0</v>
      </c>
      <c r="CE130" s="418" t="str">
        <f t="shared" si="88"/>
        <v>No coverage</v>
      </c>
      <c r="CF130" s="550">
        <v>0</v>
      </c>
      <c r="CG130" s="551" t="s">
        <v>66</v>
      </c>
      <c r="CH130" s="602"/>
    </row>
    <row r="131" spans="2:86" s="40" customFormat="1" ht="30.75" customHeight="1" x14ac:dyDescent="0.2">
      <c r="B131" s="512" t="s">
        <v>188</v>
      </c>
      <c r="C131" s="513" t="s">
        <v>733</v>
      </c>
      <c r="D131" s="514" t="s">
        <v>273</v>
      </c>
      <c r="E131" s="513" t="s">
        <v>328</v>
      </c>
      <c r="F131" s="514">
        <v>97.710864000000001</v>
      </c>
      <c r="G131" s="514">
        <v>24.207332999999998</v>
      </c>
      <c r="H131" s="514" t="s">
        <v>467</v>
      </c>
      <c r="I131" s="514" t="s">
        <v>218</v>
      </c>
      <c r="J131" s="518">
        <v>39</v>
      </c>
      <c r="K131" s="518">
        <v>236</v>
      </c>
      <c r="L131" s="515">
        <v>236</v>
      </c>
      <c r="M131" s="405" t="str">
        <f t="shared" ref="M131:M162" si="109">IF(J131&gt;50,IF(J131&gt;250,IF(J131&gt;500,IF(J131&gt;1000,"5. Massive","4. Big"),"3. Large"),"2. Medium"),"1. Small")</f>
        <v>1. Small</v>
      </c>
      <c r="N131" s="516" t="s">
        <v>239</v>
      </c>
      <c r="O131" s="530" t="s">
        <v>238</v>
      </c>
      <c r="P131" s="439" t="str">
        <f t="shared" si="54"/>
        <v>Covered</v>
      </c>
      <c r="Q131" s="531">
        <v>42247</v>
      </c>
      <c r="R131" s="532"/>
      <c r="S131" s="531"/>
      <c r="T131" s="516" t="s">
        <v>260</v>
      </c>
      <c r="U131" s="436" t="str">
        <f t="shared" si="55"/>
        <v>Documented</v>
      </c>
      <c r="V131" s="542">
        <v>0</v>
      </c>
      <c r="W131" s="515">
        <v>0</v>
      </c>
      <c r="X131" s="543" t="s">
        <v>19</v>
      </c>
      <c r="Y131" s="542">
        <v>1</v>
      </c>
      <c r="Z131" s="550">
        <v>1</v>
      </c>
      <c r="AA131" s="551">
        <v>6120</v>
      </c>
      <c r="AB131" s="560">
        <v>0</v>
      </c>
      <c r="AC131" s="561">
        <v>1</v>
      </c>
      <c r="AD131" s="443">
        <f t="shared" ref="AD131:AD179" si="110">IF((((V131/15)+((W131/30)/15)+Y131*400+Z131*500+(AA131/15))/L131)&gt;1,1,(((V131/15)+((W131/30)/15)+Y131*400+Z131*500+(AA131/15))/L131))</f>
        <v>1</v>
      </c>
      <c r="AE131" s="407">
        <f t="shared" si="57"/>
        <v>236</v>
      </c>
      <c r="AF131" s="408">
        <f t="shared" ref="AF131:AF162" si="111">IF(((Y131*400+Z131*500+(AA131/15))/L131)&gt;1,1,(Y131*400+Z131*500+(AA131/15))/L131)</f>
        <v>1</v>
      </c>
      <c r="AG131" s="409">
        <f t="shared" si="59"/>
        <v>236</v>
      </c>
      <c r="AH131" s="406">
        <f t="shared" ref="AH131:AH162" si="112">IF(AC131=0,AD131,IF(AC131&lt;AD131,AD131,AC131))</f>
        <v>1</v>
      </c>
      <c r="AI131" s="409">
        <f t="shared" si="61"/>
        <v>236</v>
      </c>
      <c r="AJ131" s="410" t="str">
        <f t="shared" ref="AJ131:AJ162" si="113">IF(AD131&gt;0.15,IF(AD131&gt;0.3,IF(AD131&gt;0.45,IF(AD131&gt;0.6,IF(AD131&gt;0.8,"80-100%","60-80%"),"45-60%"),"30-45%"),"15-30%"),"0-10%")</f>
        <v>80-100%</v>
      </c>
      <c r="AK131" s="406">
        <f t="shared" ref="AK131:AK162" si="114">IF((AD131-AF131)&lt; 0, 0, AD131-AF131)</f>
        <v>0</v>
      </c>
      <c r="AL131" s="411">
        <f t="shared" ref="AL131:AL162" si="115">AK131*L131</f>
        <v>0</v>
      </c>
      <c r="AM131" s="409">
        <f t="shared" ref="AM131:AM162" si="116">IF(L131/400-(Y131+Z131)&lt;0,0,L131/400-(Y131+Z131))</f>
        <v>0</v>
      </c>
      <c r="AN131" s="409">
        <f t="shared" ref="AN131:AN162" si="117">AC131*J131</f>
        <v>39</v>
      </c>
      <c r="AO131" s="409">
        <f t="shared" si="67"/>
        <v>0</v>
      </c>
      <c r="AP131" s="566">
        <v>1</v>
      </c>
      <c r="AQ131" s="567">
        <f t="shared" si="89"/>
        <v>236</v>
      </c>
      <c r="AR131" s="551"/>
      <c r="AS131" s="552">
        <v>0</v>
      </c>
      <c r="AT131" s="518">
        <v>0</v>
      </c>
      <c r="AU131" s="518">
        <v>22</v>
      </c>
      <c r="AV131" s="515" t="s">
        <v>298</v>
      </c>
      <c r="AW131" s="412">
        <f t="shared" ref="AW131:AW157" si="118">IF((((AT131+AU131)*20)/L131)&gt;1,1,(((AT131+AU131)*20)/L131))</f>
        <v>1</v>
      </c>
      <c r="AX131" s="409">
        <f t="shared" si="69"/>
        <v>236</v>
      </c>
      <c r="AY131" s="412">
        <f t="shared" ref="AY131:AY157" si="119">AW131-BA131</f>
        <v>0</v>
      </c>
      <c r="AZ131" s="409">
        <f t="shared" si="71"/>
        <v>0</v>
      </c>
      <c r="BA131" s="412">
        <f t="shared" ref="BA131:BA157" si="120">IF(((AU131*20)/L131)&gt;1,1,((AU131*20)/L131))</f>
        <v>1</v>
      </c>
      <c r="BB131" s="409">
        <f t="shared" si="73"/>
        <v>236</v>
      </c>
      <c r="BC131" s="550">
        <v>0</v>
      </c>
      <c r="BD131" s="571">
        <v>1</v>
      </c>
      <c r="BE131" s="413">
        <f t="shared" ref="BE131:BE162" si="121">BD131*L131</f>
        <v>236</v>
      </c>
      <c r="BF131" s="414">
        <f t="shared" si="75"/>
        <v>0</v>
      </c>
      <c r="BG131" s="515">
        <v>3</v>
      </c>
      <c r="BH131" s="550" t="s">
        <v>299</v>
      </c>
      <c r="BI131" s="412">
        <f t="shared" si="76"/>
        <v>1</v>
      </c>
      <c r="BJ131" s="409">
        <f t="shared" si="77"/>
        <v>236</v>
      </c>
      <c r="BK131" s="414">
        <f t="shared" si="78"/>
        <v>0</v>
      </c>
      <c r="BL131" s="571">
        <v>1</v>
      </c>
      <c r="BM131" s="409">
        <f t="shared" si="79"/>
        <v>236</v>
      </c>
      <c r="BN131" s="515">
        <v>11</v>
      </c>
      <c r="BO131" s="412">
        <f t="shared" ref="BO131:BO157" si="122">IF((BN131*100/L131)&gt;1,1,(BN131*100/L131))</f>
        <v>1</v>
      </c>
      <c r="BP131" s="414">
        <f t="shared" ref="BP131:BP157" si="123">IF(K131/100-BN131&lt;0,0,K131/100-BN131)</f>
        <v>0</v>
      </c>
      <c r="BQ131" s="557">
        <v>1</v>
      </c>
      <c r="BR131" s="589"/>
      <c r="BS131" s="593">
        <v>41795</v>
      </c>
      <c r="BT131" s="415">
        <f t="shared" si="90"/>
        <v>42160</v>
      </c>
      <c r="BU131" s="515">
        <v>33</v>
      </c>
      <c r="BV131" s="515">
        <v>6</v>
      </c>
      <c r="BW131" s="416">
        <f t="shared" si="91"/>
        <v>6</v>
      </c>
      <c r="BX131" s="417">
        <f t="shared" ref="BX131:BX159" si="124">IF(BW131=0,1,(J131-BW131)/J131)</f>
        <v>0.84615384615384615</v>
      </c>
      <c r="BY131" s="409">
        <f t="shared" ref="BY131:BY159" si="125">BX131*L131</f>
        <v>199.69230769230768</v>
      </c>
      <c r="BZ131" s="446">
        <f t="shared" si="92"/>
        <v>5</v>
      </c>
      <c r="CA131" s="542"/>
      <c r="CB131" s="557">
        <v>1</v>
      </c>
      <c r="CC131" s="451">
        <f t="shared" si="87"/>
        <v>236</v>
      </c>
      <c r="CD131" s="542">
        <v>1</v>
      </c>
      <c r="CE131" s="418" t="str">
        <f t="shared" si="88"/>
        <v>Excellent coverage</v>
      </c>
      <c r="CF131" s="550">
        <v>0</v>
      </c>
      <c r="CG131" s="551" t="s">
        <v>65</v>
      </c>
      <c r="CH131" s="602"/>
    </row>
    <row r="132" spans="2:86" s="40" customFormat="1" ht="30.75" customHeight="1" x14ac:dyDescent="0.2">
      <c r="B132" s="512" t="s">
        <v>188</v>
      </c>
      <c r="C132" s="513" t="s">
        <v>595</v>
      </c>
      <c r="D132" s="514" t="s">
        <v>267</v>
      </c>
      <c r="E132" s="513" t="s">
        <v>483</v>
      </c>
      <c r="F132" s="514">
        <v>97.337649999999996</v>
      </c>
      <c r="G132" s="514">
        <v>24.242049999999999</v>
      </c>
      <c r="H132" s="514" t="s">
        <v>467</v>
      </c>
      <c r="I132" s="514" t="s">
        <v>218</v>
      </c>
      <c r="J132" s="518">
        <v>72</v>
      </c>
      <c r="K132" s="518">
        <v>373</v>
      </c>
      <c r="L132" s="515">
        <v>373</v>
      </c>
      <c r="M132" s="405" t="str">
        <f t="shared" si="109"/>
        <v>2. Medium</v>
      </c>
      <c r="N132" s="516" t="s">
        <v>239</v>
      </c>
      <c r="O132" s="530" t="s">
        <v>238</v>
      </c>
      <c r="P132" s="439" t="str">
        <f t="shared" ref="P132:P180" si="126">IF(O132="None","Not covered","Covered")</f>
        <v>Covered</v>
      </c>
      <c r="Q132" s="531">
        <v>42247</v>
      </c>
      <c r="R132" s="532"/>
      <c r="S132" s="531"/>
      <c r="T132" s="516" t="s">
        <v>260</v>
      </c>
      <c r="U132" s="436" t="str">
        <f t="shared" ref="U132:U180" si="127">IF(T132="Not documented","Not documented","Documented")</f>
        <v>Documented</v>
      </c>
      <c r="V132" s="542">
        <v>0</v>
      </c>
      <c r="W132" s="515">
        <v>0</v>
      </c>
      <c r="X132" s="543" t="s">
        <v>19</v>
      </c>
      <c r="Y132" s="542">
        <v>0</v>
      </c>
      <c r="Z132" s="550">
        <v>1</v>
      </c>
      <c r="AA132" s="551">
        <v>1000</v>
      </c>
      <c r="AB132" s="560">
        <v>1</v>
      </c>
      <c r="AC132" s="561">
        <v>0.77</v>
      </c>
      <c r="AD132" s="443">
        <f t="shared" si="110"/>
        <v>1</v>
      </c>
      <c r="AE132" s="407">
        <f t="shared" ref="AE132:AE179" si="128">AD132*L132</f>
        <v>373</v>
      </c>
      <c r="AF132" s="408">
        <f t="shared" si="111"/>
        <v>1</v>
      </c>
      <c r="AG132" s="409">
        <f t="shared" ref="AG132:AG179" si="129">AF132*L132</f>
        <v>373</v>
      </c>
      <c r="AH132" s="406">
        <f t="shared" si="112"/>
        <v>1</v>
      </c>
      <c r="AI132" s="409">
        <f t="shared" ref="AI132:AI179" si="130">AH132*L132</f>
        <v>373</v>
      </c>
      <c r="AJ132" s="410" t="str">
        <f t="shared" si="113"/>
        <v>80-100%</v>
      </c>
      <c r="AK132" s="406">
        <f t="shared" si="114"/>
        <v>0</v>
      </c>
      <c r="AL132" s="411">
        <f t="shared" si="115"/>
        <v>0</v>
      </c>
      <c r="AM132" s="409">
        <f t="shared" si="116"/>
        <v>0</v>
      </c>
      <c r="AN132" s="409">
        <f t="shared" si="117"/>
        <v>55.44</v>
      </c>
      <c r="AO132" s="409">
        <f t="shared" ref="AO132:AO179" si="131">AB132*L132</f>
        <v>373</v>
      </c>
      <c r="AP132" s="566">
        <v>1</v>
      </c>
      <c r="AQ132" s="567">
        <f t="shared" si="89"/>
        <v>373</v>
      </c>
      <c r="AR132" s="551"/>
      <c r="AS132" s="552">
        <v>0</v>
      </c>
      <c r="AT132" s="518">
        <v>0</v>
      </c>
      <c r="AU132" s="518">
        <v>15</v>
      </c>
      <c r="AV132" s="515" t="s">
        <v>91</v>
      </c>
      <c r="AW132" s="412">
        <f t="shared" si="118"/>
        <v>0.80428954423592491</v>
      </c>
      <c r="AX132" s="409">
        <f t="shared" ref="AX132:AX157" si="132">AW132*L132</f>
        <v>300</v>
      </c>
      <c r="AY132" s="412">
        <f t="shared" si="119"/>
        <v>0</v>
      </c>
      <c r="AZ132" s="409">
        <f t="shared" ref="AZ132:AZ157" si="133">AY132*L132</f>
        <v>0</v>
      </c>
      <c r="BA132" s="412">
        <f t="shared" si="120"/>
        <v>0.80428954423592491</v>
      </c>
      <c r="BB132" s="409">
        <f t="shared" ref="BB132:BB157" si="134">BA132*L132</f>
        <v>300</v>
      </c>
      <c r="BC132" s="550">
        <v>0</v>
      </c>
      <c r="BD132" s="571">
        <v>0.8</v>
      </c>
      <c r="BE132" s="413">
        <f t="shared" si="121"/>
        <v>298.40000000000003</v>
      </c>
      <c r="BF132" s="414">
        <f t="shared" ref="BF132:BF179" si="135">IF((L132/20-AU132+BC132)&lt;0,0,(L132/20-AU132+BC132))</f>
        <v>3.6499999999999986</v>
      </c>
      <c r="BG132" s="515">
        <v>3</v>
      </c>
      <c r="BH132" s="550" t="s">
        <v>299</v>
      </c>
      <c r="BI132" s="412">
        <f t="shared" ref="BI132:BI157" si="136">IF((BG132*100/L132)&gt;1,1,(BG132*100/L132))</f>
        <v>0.80428954423592491</v>
      </c>
      <c r="BJ132" s="409">
        <f t="shared" ref="BJ132:BJ157" si="137">BI132*L132</f>
        <v>300</v>
      </c>
      <c r="BK132" s="414">
        <f t="shared" ref="BK132:BK157" si="138">IF(K132/100-BG132&lt;0,0,K132/100-BG132)</f>
        <v>0.73</v>
      </c>
      <c r="BL132" s="571">
        <v>0.8</v>
      </c>
      <c r="BM132" s="409">
        <f t="shared" ref="BM132:BM156" si="139">BL132*L132</f>
        <v>298.40000000000003</v>
      </c>
      <c r="BN132" s="515">
        <v>5</v>
      </c>
      <c r="BO132" s="412">
        <f t="shared" si="122"/>
        <v>1</v>
      </c>
      <c r="BP132" s="414">
        <f t="shared" si="123"/>
        <v>0</v>
      </c>
      <c r="BQ132" s="557">
        <v>1</v>
      </c>
      <c r="BR132" s="589"/>
      <c r="BS132" s="593">
        <v>41745</v>
      </c>
      <c r="BT132" s="415" t="str">
        <f t="shared" si="90"/>
        <v>To be realised</v>
      </c>
      <c r="BU132" s="515">
        <v>9</v>
      </c>
      <c r="BV132" s="515">
        <v>6</v>
      </c>
      <c r="BW132" s="416">
        <f t="shared" si="91"/>
        <v>72</v>
      </c>
      <c r="BX132" s="417">
        <f t="shared" si="124"/>
        <v>0</v>
      </c>
      <c r="BY132" s="409">
        <f t="shared" si="125"/>
        <v>0</v>
      </c>
      <c r="BZ132" s="446">
        <f t="shared" si="92"/>
        <v>7</v>
      </c>
      <c r="CA132" s="542"/>
      <c r="CB132" s="557">
        <v>1</v>
      </c>
      <c r="CC132" s="451">
        <f t="shared" ref="CC132:CC180" si="140">CB132*L132</f>
        <v>373</v>
      </c>
      <c r="CD132" s="542">
        <v>3</v>
      </c>
      <c r="CE132" s="418" t="str">
        <f t="shared" ref="CE132:CE180" si="141">IF(CD132=0,"No coverage",IF(L132/CD132&gt;1000,"Low coverage",IF(L132/CD132&gt;750,"Average coverage",IF(L132/CD132&gt;500,"Good coverage","Excellent coverage"))))</f>
        <v>Excellent coverage</v>
      </c>
      <c r="CF132" s="550">
        <v>0</v>
      </c>
      <c r="CG132" s="551" t="s">
        <v>65</v>
      </c>
      <c r="CH132" s="602"/>
    </row>
    <row r="133" spans="2:86" s="40" customFormat="1" ht="30.75" customHeight="1" x14ac:dyDescent="0.2">
      <c r="B133" s="512" t="s">
        <v>188</v>
      </c>
      <c r="C133" s="513" t="s">
        <v>597</v>
      </c>
      <c r="D133" s="514" t="s">
        <v>267</v>
      </c>
      <c r="E133" s="513" t="s">
        <v>199</v>
      </c>
      <c r="F133" s="514">
        <v>97.347740000000002</v>
      </c>
      <c r="G133" s="514">
        <v>24.253769999999999</v>
      </c>
      <c r="H133" s="514" t="s">
        <v>467</v>
      </c>
      <c r="I133" s="514" t="s">
        <v>218</v>
      </c>
      <c r="J133" s="518">
        <v>25</v>
      </c>
      <c r="K133" s="518">
        <v>92</v>
      </c>
      <c r="L133" s="515">
        <v>92</v>
      </c>
      <c r="M133" s="405" t="str">
        <f t="shared" si="109"/>
        <v>1. Small</v>
      </c>
      <c r="N133" s="516" t="s">
        <v>284</v>
      </c>
      <c r="O133" s="530" t="s">
        <v>238</v>
      </c>
      <c r="P133" s="439" t="str">
        <f t="shared" si="126"/>
        <v>Covered</v>
      </c>
      <c r="Q133" s="531">
        <v>42247</v>
      </c>
      <c r="R133" s="532"/>
      <c r="S133" s="531"/>
      <c r="T133" s="516" t="s">
        <v>260</v>
      </c>
      <c r="U133" s="436" t="str">
        <f t="shared" si="127"/>
        <v>Documented</v>
      </c>
      <c r="V133" s="542">
        <v>0</v>
      </c>
      <c r="W133" s="515">
        <v>0</v>
      </c>
      <c r="X133" s="543" t="s">
        <v>19</v>
      </c>
      <c r="Y133" s="542">
        <v>0</v>
      </c>
      <c r="Z133" s="550">
        <v>0</v>
      </c>
      <c r="AA133" s="551">
        <v>920</v>
      </c>
      <c r="AB133" s="560">
        <v>0</v>
      </c>
      <c r="AC133" s="561">
        <v>1</v>
      </c>
      <c r="AD133" s="443">
        <f t="shared" si="110"/>
        <v>0.66666666666666674</v>
      </c>
      <c r="AE133" s="407">
        <f t="shared" si="128"/>
        <v>61.333333333333343</v>
      </c>
      <c r="AF133" s="408">
        <f t="shared" si="111"/>
        <v>0.66666666666666674</v>
      </c>
      <c r="AG133" s="409">
        <f t="shared" si="129"/>
        <v>61.333333333333343</v>
      </c>
      <c r="AH133" s="406">
        <f t="shared" si="112"/>
        <v>1</v>
      </c>
      <c r="AI133" s="409">
        <f t="shared" si="130"/>
        <v>92</v>
      </c>
      <c r="AJ133" s="410" t="str">
        <f t="shared" si="113"/>
        <v>60-80%</v>
      </c>
      <c r="AK133" s="406">
        <f t="shared" si="114"/>
        <v>0</v>
      </c>
      <c r="AL133" s="411">
        <f t="shared" si="115"/>
        <v>0</v>
      </c>
      <c r="AM133" s="409">
        <f t="shared" si="116"/>
        <v>0.23</v>
      </c>
      <c r="AN133" s="409">
        <f t="shared" si="117"/>
        <v>25</v>
      </c>
      <c r="AO133" s="409">
        <f t="shared" si="131"/>
        <v>0</v>
      </c>
      <c r="AP133" s="566">
        <v>0.67</v>
      </c>
      <c r="AQ133" s="567">
        <f t="shared" si="89"/>
        <v>61.64</v>
      </c>
      <c r="AR133" s="551"/>
      <c r="AS133" s="552">
        <v>4</v>
      </c>
      <c r="AT133" s="518">
        <v>4</v>
      </c>
      <c r="AU133" s="518">
        <v>1</v>
      </c>
      <c r="AV133" s="515" t="s">
        <v>299</v>
      </c>
      <c r="AW133" s="412">
        <f t="shared" si="118"/>
        <v>1</v>
      </c>
      <c r="AX133" s="409">
        <f t="shared" si="132"/>
        <v>92</v>
      </c>
      <c r="AY133" s="412">
        <f t="shared" si="119"/>
        <v>0.78260869565217395</v>
      </c>
      <c r="AZ133" s="409">
        <f t="shared" si="133"/>
        <v>72</v>
      </c>
      <c r="BA133" s="412">
        <f t="shared" si="120"/>
        <v>0.21739130434782608</v>
      </c>
      <c r="BB133" s="409">
        <f t="shared" si="134"/>
        <v>20</v>
      </c>
      <c r="BC133" s="550">
        <v>0</v>
      </c>
      <c r="BD133" s="571">
        <v>1</v>
      </c>
      <c r="BE133" s="413">
        <f t="shared" si="121"/>
        <v>92</v>
      </c>
      <c r="BF133" s="414">
        <f t="shared" si="135"/>
        <v>3.5999999999999996</v>
      </c>
      <c r="BG133" s="515">
        <v>1</v>
      </c>
      <c r="BH133" s="550" t="s">
        <v>91</v>
      </c>
      <c r="BI133" s="412">
        <f t="shared" si="136"/>
        <v>1</v>
      </c>
      <c r="BJ133" s="409">
        <f t="shared" si="137"/>
        <v>92</v>
      </c>
      <c r="BK133" s="414">
        <f t="shared" si="138"/>
        <v>0</v>
      </c>
      <c r="BL133" s="571">
        <v>1</v>
      </c>
      <c r="BM133" s="409">
        <f t="shared" si="139"/>
        <v>92</v>
      </c>
      <c r="BN133" s="515">
        <v>2</v>
      </c>
      <c r="BO133" s="412">
        <f t="shared" si="122"/>
        <v>1</v>
      </c>
      <c r="BP133" s="414">
        <f t="shared" si="123"/>
        <v>0</v>
      </c>
      <c r="BQ133" s="557">
        <v>1</v>
      </c>
      <c r="BR133" s="589" t="s">
        <v>862</v>
      </c>
      <c r="BS133" s="593">
        <v>41785</v>
      </c>
      <c r="BT133" s="415" t="str">
        <f t="shared" si="90"/>
        <v>To be realised</v>
      </c>
      <c r="BU133" s="515">
        <v>23</v>
      </c>
      <c r="BV133" s="515">
        <v>6</v>
      </c>
      <c r="BW133" s="416">
        <f t="shared" si="91"/>
        <v>25</v>
      </c>
      <c r="BX133" s="417">
        <f t="shared" si="124"/>
        <v>0</v>
      </c>
      <c r="BY133" s="409">
        <f t="shared" si="125"/>
        <v>0</v>
      </c>
      <c r="BZ133" s="446">
        <f t="shared" si="92"/>
        <v>5</v>
      </c>
      <c r="CA133" s="542"/>
      <c r="CB133" s="557">
        <v>1</v>
      </c>
      <c r="CC133" s="451">
        <f t="shared" si="140"/>
        <v>92</v>
      </c>
      <c r="CD133" s="542">
        <v>1</v>
      </c>
      <c r="CE133" s="418" t="str">
        <f t="shared" si="141"/>
        <v>Excellent coverage</v>
      </c>
      <c r="CF133" s="550">
        <v>0</v>
      </c>
      <c r="CG133" s="551" t="s">
        <v>65</v>
      </c>
      <c r="CH133" s="602"/>
    </row>
    <row r="134" spans="2:86" s="40" customFormat="1" ht="30.75" customHeight="1" x14ac:dyDescent="0.2">
      <c r="B134" s="512" t="s">
        <v>158</v>
      </c>
      <c r="C134" s="513" t="s">
        <v>611</v>
      </c>
      <c r="D134" s="514" t="s">
        <v>268</v>
      </c>
      <c r="E134" s="513" t="s">
        <v>161</v>
      </c>
      <c r="F134" s="514">
        <v>97.551716999999996</v>
      </c>
      <c r="G134" s="514">
        <v>24.746817</v>
      </c>
      <c r="H134" s="514" t="s">
        <v>467</v>
      </c>
      <c r="I134" s="514" t="s">
        <v>226</v>
      </c>
      <c r="J134" s="518">
        <v>555</v>
      </c>
      <c r="K134" s="518">
        <v>2326</v>
      </c>
      <c r="L134" s="515">
        <v>421</v>
      </c>
      <c r="M134" s="405" t="str">
        <f t="shared" si="109"/>
        <v>4. Big</v>
      </c>
      <c r="N134" s="516" t="s">
        <v>285</v>
      </c>
      <c r="O134" s="530" t="s">
        <v>239</v>
      </c>
      <c r="P134" s="439" t="str">
        <f t="shared" si="126"/>
        <v>Covered</v>
      </c>
      <c r="Q134" s="531">
        <v>42247</v>
      </c>
      <c r="R134" s="532" t="s">
        <v>238</v>
      </c>
      <c r="S134" s="531">
        <v>42247</v>
      </c>
      <c r="T134" s="516" t="s">
        <v>260</v>
      </c>
      <c r="U134" s="436" t="str">
        <f t="shared" si="127"/>
        <v>Documented</v>
      </c>
      <c r="V134" s="542">
        <v>0</v>
      </c>
      <c r="W134" s="515">
        <v>0</v>
      </c>
      <c r="X134" s="543" t="s">
        <v>19</v>
      </c>
      <c r="Y134" s="542">
        <v>1</v>
      </c>
      <c r="Z134" s="550">
        <v>0</v>
      </c>
      <c r="AA134" s="551">
        <v>30000</v>
      </c>
      <c r="AB134" s="560">
        <v>0</v>
      </c>
      <c r="AC134" s="561">
        <v>0.31</v>
      </c>
      <c r="AD134" s="443">
        <f t="shared" si="110"/>
        <v>1</v>
      </c>
      <c r="AE134" s="407">
        <f t="shared" si="128"/>
        <v>421</v>
      </c>
      <c r="AF134" s="408">
        <f t="shared" si="111"/>
        <v>1</v>
      </c>
      <c r="AG134" s="409">
        <f t="shared" si="129"/>
        <v>421</v>
      </c>
      <c r="AH134" s="406">
        <f t="shared" si="112"/>
        <v>1</v>
      </c>
      <c r="AI134" s="409">
        <f t="shared" si="130"/>
        <v>421</v>
      </c>
      <c r="AJ134" s="410" t="str">
        <f t="shared" si="113"/>
        <v>80-100%</v>
      </c>
      <c r="AK134" s="406">
        <f t="shared" si="114"/>
        <v>0</v>
      </c>
      <c r="AL134" s="411">
        <f t="shared" si="115"/>
        <v>0</v>
      </c>
      <c r="AM134" s="409">
        <f t="shared" si="116"/>
        <v>5.2499999999999991E-2</v>
      </c>
      <c r="AN134" s="409">
        <f t="shared" si="117"/>
        <v>172.05</v>
      </c>
      <c r="AO134" s="409">
        <f t="shared" si="131"/>
        <v>0</v>
      </c>
      <c r="AP134" s="566">
        <v>1</v>
      </c>
      <c r="AQ134" s="567">
        <f t="shared" ref="AQ134:AQ180" si="142">AP134*L134</f>
        <v>421</v>
      </c>
      <c r="AR134" s="570" t="s">
        <v>774</v>
      </c>
      <c r="AS134" s="552">
        <v>3</v>
      </c>
      <c r="AT134" s="518">
        <v>2</v>
      </c>
      <c r="AU134" s="518">
        <v>4</v>
      </c>
      <c r="AV134" s="515" t="s">
        <v>91</v>
      </c>
      <c r="AW134" s="412">
        <f t="shared" si="118"/>
        <v>0.28503562945368172</v>
      </c>
      <c r="AX134" s="409">
        <f t="shared" si="132"/>
        <v>120</v>
      </c>
      <c r="AY134" s="412">
        <f t="shared" si="119"/>
        <v>9.5011876484560581E-2</v>
      </c>
      <c r="AZ134" s="409">
        <f t="shared" si="133"/>
        <v>40.000000000000007</v>
      </c>
      <c r="BA134" s="412">
        <f t="shared" si="120"/>
        <v>0.19002375296912113</v>
      </c>
      <c r="BB134" s="409">
        <f t="shared" si="134"/>
        <v>80</v>
      </c>
      <c r="BC134" s="550">
        <v>0</v>
      </c>
      <c r="BD134" s="571">
        <v>0.28999999999999998</v>
      </c>
      <c r="BE134" s="413">
        <f t="shared" si="121"/>
        <v>122.08999999999999</v>
      </c>
      <c r="BF134" s="414">
        <f t="shared" si="135"/>
        <v>17.05</v>
      </c>
      <c r="BG134" s="515">
        <v>2</v>
      </c>
      <c r="BH134" s="550" t="s">
        <v>91</v>
      </c>
      <c r="BI134" s="412">
        <f t="shared" si="136"/>
        <v>0.47505938242280282</v>
      </c>
      <c r="BJ134" s="409">
        <f t="shared" si="137"/>
        <v>200</v>
      </c>
      <c r="BK134" s="414">
        <f t="shared" si="138"/>
        <v>21.26</v>
      </c>
      <c r="BL134" s="571">
        <v>0.09</v>
      </c>
      <c r="BM134" s="409">
        <f t="shared" si="139"/>
        <v>37.89</v>
      </c>
      <c r="BN134" s="515">
        <v>1</v>
      </c>
      <c r="BO134" s="412">
        <f t="shared" si="122"/>
        <v>0.23752969121140141</v>
      </c>
      <c r="BP134" s="414">
        <f t="shared" si="123"/>
        <v>22.26</v>
      </c>
      <c r="BQ134" s="557">
        <v>0.04</v>
      </c>
      <c r="BR134" s="589" t="s">
        <v>863</v>
      </c>
      <c r="BS134" s="593">
        <v>41640</v>
      </c>
      <c r="BT134" s="415" t="str">
        <f t="shared" si="90"/>
        <v>To be realised</v>
      </c>
      <c r="BU134" s="515">
        <v>422</v>
      </c>
      <c r="BV134" s="515">
        <v>5</v>
      </c>
      <c r="BW134" s="416">
        <f t="shared" si="91"/>
        <v>555</v>
      </c>
      <c r="BX134" s="417">
        <f t="shared" si="124"/>
        <v>0</v>
      </c>
      <c r="BY134" s="409">
        <f t="shared" si="125"/>
        <v>0</v>
      </c>
      <c r="BZ134" s="446">
        <f t="shared" si="92"/>
        <v>11</v>
      </c>
      <c r="CA134" s="542" t="s">
        <v>834</v>
      </c>
      <c r="CB134" s="557">
        <v>1</v>
      </c>
      <c r="CC134" s="451">
        <f t="shared" si="140"/>
        <v>421</v>
      </c>
      <c r="CD134" s="542">
        <v>2</v>
      </c>
      <c r="CE134" s="418" t="str">
        <f t="shared" si="141"/>
        <v>Excellent coverage</v>
      </c>
      <c r="CF134" s="550">
        <v>0</v>
      </c>
      <c r="CG134" s="568" t="s">
        <v>835</v>
      </c>
      <c r="CH134" s="602"/>
    </row>
    <row r="135" spans="2:86" s="40" customFormat="1" ht="30.75" customHeight="1" x14ac:dyDescent="0.25">
      <c r="B135" s="512" t="s">
        <v>186</v>
      </c>
      <c r="C135" s="513" t="s">
        <v>736</v>
      </c>
      <c r="D135" s="514" t="s">
        <v>267</v>
      </c>
      <c r="E135" s="513" t="s">
        <v>816</v>
      </c>
      <c r="F135" s="514">
        <v>97.291820000000001</v>
      </c>
      <c r="G135" s="514">
        <v>24.129059999999999</v>
      </c>
      <c r="H135" s="514" t="s">
        <v>478</v>
      </c>
      <c r="I135" s="514" t="s">
        <v>218</v>
      </c>
      <c r="J135" s="518">
        <v>135</v>
      </c>
      <c r="K135" s="518">
        <v>499</v>
      </c>
      <c r="L135" s="518">
        <v>499</v>
      </c>
      <c r="M135" s="405" t="str">
        <f t="shared" si="109"/>
        <v>2. Medium</v>
      </c>
      <c r="N135" s="519" t="s">
        <v>239</v>
      </c>
      <c r="O135" s="533" t="s">
        <v>308</v>
      </c>
      <c r="P135" s="439" t="str">
        <f t="shared" si="126"/>
        <v>Not covered</v>
      </c>
      <c r="Q135" s="534"/>
      <c r="R135" s="514"/>
      <c r="S135" s="534"/>
      <c r="T135" s="536" t="s">
        <v>262</v>
      </c>
      <c r="U135" s="436" t="str">
        <f t="shared" si="127"/>
        <v>Not documented</v>
      </c>
      <c r="V135" s="544">
        <v>0</v>
      </c>
      <c r="W135" s="518">
        <v>0</v>
      </c>
      <c r="X135" s="545" t="s">
        <v>19</v>
      </c>
      <c r="Y135" s="544">
        <v>0</v>
      </c>
      <c r="Z135" s="518">
        <v>0</v>
      </c>
      <c r="AA135" s="545">
        <v>0</v>
      </c>
      <c r="AB135" s="558">
        <v>0</v>
      </c>
      <c r="AC135" s="559">
        <v>0</v>
      </c>
      <c r="AD135" s="443">
        <f t="shared" si="110"/>
        <v>0</v>
      </c>
      <c r="AE135" s="407">
        <f t="shared" si="128"/>
        <v>0</v>
      </c>
      <c r="AF135" s="408">
        <f t="shared" si="111"/>
        <v>0</v>
      </c>
      <c r="AG135" s="409">
        <f t="shared" si="129"/>
        <v>0</v>
      </c>
      <c r="AH135" s="406">
        <f t="shared" si="112"/>
        <v>0</v>
      </c>
      <c r="AI135" s="409">
        <f t="shared" si="130"/>
        <v>0</v>
      </c>
      <c r="AJ135" s="410" t="str">
        <f t="shared" si="113"/>
        <v>0-10%</v>
      </c>
      <c r="AK135" s="406">
        <f t="shared" si="114"/>
        <v>0</v>
      </c>
      <c r="AL135" s="411">
        <f t="shared" si="115"/>
        <v>0</v>
      </c>
      <c r="AM135" s="409">
        <f t="shared" si="116"/>
        <v>1.2475000000000001</v>
      </c>
      <c r="AN135" s="409">
        <f t="shared" si="117"/>
        <v>0</v>
      </c>
      <c r="AO135" s="409">
        <f t="shared" si="131"/>
        <v>0</v>
      </c>
      <c r="AP135" s="569">
        <v>1</v>
      </c>
      <c r="AQ135" s="567">
        <f t="shared" si="142"/>
        <v>499</v>
      </c>
      <c r="AR135" s="559" t="s">
        <v>489</v>
      </c>
      <c r="AS135" s="544">
        <v>0</v>
      </c>
      <c r="AT135" s="518">
        <v>0</v>
      </c>
      <c r="AU135" s="518">
        <v>0</v>
      </c>
      <c r="AV135" s="518" t="s">
        <v>91</v>
      </c>
      <c r="AW135" s="412">
        <f t="shared" si="118"/>
        <v>0</v>
      </c>
      <c r="AX135" s="409">
        <f t="shared" si="132"/>
        <v>0</v>
      </c>
      <c r="AY135" s="412">
        <f t="shared" si="119"/>
        <v>0</v>
      </c>
      <c r="AZ135" s="409">
        <f t="shared" si="133"/>
        <v>0</v>
      </c>
      <c r="BA135" s="412">
        <f t="shared" si="120"/>
        <v>0</v>
      </c>
      <c r="BB135" s="409">
        <f t="shared" si="134"/>
        <v>0</v>
      </c>
      <c r="BC135" s="579">
        <v>0</v>
      </c>
      <c r="BD135" s="569">
        <v>0</v>
      </c>
      <c r="BE135" s="413">
        <f t="shared" si="121"/>
        <v>0</v>
      </c>
      <c r="BF135" s="414">
        <f t="shared" si="135"/>
        <v>24.95</v>
      </c>
      <c r="BG135" s="518">
        <v>0</v>
      </c>
      <c r="BH135" s="518" t="s">
        <v>91</v>
      </c>
      <c r="BI135" s="412">
        <f t="shared" si="136"/>
        <v>0</v>
      </c>
      <c r="BJ135" s="409">
        <f t="shared" si="137"/>
        <v>0</v>
      </c>
      <c r="BK135" s="414">
        <f t="shared" si="138"/>
        <v>4.99</v>
      </c>
      <c r="BL135" s="580">
        <v>0</v>
      </c>
      <c r="BM135" s="409">
        <f t="shared" si="139"/>
        <v>0</v>
      </c>
      <c r="BN135" s="518">
        <v>0</v>
      </c>
      <c r="BO135" s="412">
        <f t="shared" si="122"/>
        <v>0</v>
      </c>
      <c r="BP135" s="414">
        <f t="shared" si="123"/>
        <v>4.99</v>
      </c>
      <c r="BQ135" s="559">
        <v>0</v>
      </c>
      <c r="BR135" s="590"/>
      <c r="BS135" s="595">
        <v>41744</v>
      </c>
      <c r="BT135" s="415" t="str">
        <f t="shared" si="90"/>
        <v>To be realised</v>
      </c>
      <c r="BU135" s="579">
        <v>20</v>
      </c>
      <c r="BV135" s="579">
        <v>0</v>
      </c>
      <c r="BW135" s="416">
        <f t="shared" si="91"/>
        <v>135</v>
      </c>
      <c r="BX135" s="417">
        <f t="shared" si="124"/>
        <v>0</v>
      </c>
      <c r="BY135" s="409">
        <f t="shared" si="125"/>
        <v>0</v>
      </c>
      <c r="BZ135" s="446">
        <f t="shared" si="92"/>
        <v>13</v>
      </c>
      <c r="CA135" s="598"/>
      <c r="CB135" s="559">
        <v>0</v>
      </c>
      <c r="CC135" s="451">
        <f t="shared" si="140"/>
        <v>0</v>
      </c>
      <c r="CD135" s="598">
        <v>0</v>
      </c>
      <c r="CE135" s="418" t="str">
        <f t="shared" si="141"/>
        <v>No coverage</v>
      </c>
      <c r="CF135" s="550">
        <v>0</v>
      </c>
      <c r="CG135" s="607" t="s">
        <v>66</v>
      </c>
      <c r="CH135" s="605" t="s">
        <v>485</v>
      </c>
    </row>
    <row r="136" spans="2:86" s="40" customFormat="1" ht="30.75" customHeight="1" x14ac:dyDescent="0.25">
      <c r="B136" s="512" t="s">
        <v>188</v>
      </c>
      <c r="C136" s="513" t="s">
        <v>587</v>
      </c>
      <c r="D136" s="514" t="s">
        <v>267</v>
      </c>
      <c r="E136" s="513" t="s">
        <v>230</v>
      </c>
      <c r="F136" s="514">
        <v>97.193340000000006</v>
      </c>
      <c r="G136" s="514">
        <v>24.230450000000001</v>
      </c>
      <c r="H136" s="514" t="s">
        <v>478</v>
      </c>
      <c r="I136" s="514" t="s">
        <v>218</v>
      </c>
      <c r="J136" s="518">
        <v>4</v>
      </c>
      <c r="K136" s="518">
        <v>26</v>
      </c>
      <c r="L136" s="518">
        <v>26</v>
      </c>
      <c r="M136" s="405" t="str">
        <f t="shared" si="109"/>
        <v>1. Small</v>
      </c>
      <c r="N136" s="519"/>
      <c r="O136" s="533" t="s">
        <v>308</v>
      </c>
      <c r="P136" s="439" t="str">
        <f t="shared" si="126"/>
        <v>Not covered</v>
      </c>
      <c r="Q136" s="534"/>
      <c r="R136" s="514"/>
      <c r="S136" s="534"/>
      <c r="T136" s="536" t="s">
        <v>262</v>
      </c>
      <c r="U136" s="436" t="str">
        <f t="shared" si="127"/>
        <v>Not documented</v>
      </c>
      <c r="V136" s="544">
        <v>0</v>
      </c>
      <c r="W136" s="518">
        <v>0</v>
      </c>
      <c r="X136" s="545" t="s">
        <v>19</v>
      </c>
      <c r="Y136" s="544">
        <v>0</v>
      </c>
      <c r="Z136" s="518">
        <v>0</v>
      </c>
      <c r="AA136" s="545">
        <v>0</v>
      </c>
      <c r="AB136" s="558">
        <v>0</v>
      </c>
      <c r="AC136" s="559">
        <v>0</v>
      </c>
      <c r="AD136" s="443">
        <f t="shared" si="110"/>
        <v>0</v>
      </c>
      <c r="AE136" s="407">
        <f t="shared" si="128"/>
        <v>0</v>
      </c>
      <c r="AF136" s="408">
        <f t="shared" si="111"/>
        <v>0</v>
      </c>
      <c r="AG136" s="409">
        <f t="shared" si="129"/>
        <v>0</v>
      </c>
      <c r="AH136" s="406">
        <f t="shared" si="112"/>
        <v>0</v>
      </c>
      <c r="AI136" s="409">
        <f t="shared" si="130"/>
        <v>0</v>
      </c>
      <c r="AJ136" s="410" t="str">
        <f t="shared" si="113"/>
        <v>0-10%</v>
      </c>
      <c r="AK136" s="406">
        <f t="shared" si="114"/>
        <v>0</v>
      </c>
      <c r="AL136" s="411">
        <f t="shared" si="115"/>
        <v>0</v>
      </c>
      <c r="AM136" s="409">
        <f t="shared" si="116"/>
        <v>6.5000000000000002E-2</v>
      </c>
      <c r="AN136" s="409">
        <f t="shared" si="117"/>
        <v>0</v>
      </c>
      <c r="AO136" s="409">
        <f t="shared" si="131"/>
        <v>0</v>
      </c>
      <c r="AP136" s="569">
        <v>1</v>
      </c>
      <c r="AQ136" s="567">
        <f t="shared" si="142"/>
        <v>26</v>
      </c>
      <c r="AR136" s="559"/>
      <c r="AS136" s="544">
        <v>0</v>
      </c>
      <c r="AT136" s="518">
        <v>0</v>
      </c>
      <c r="AU136" s="518">
        <v>0</v>
      </c>
      <c r="AV136" s="518" t="s">
        <v>91</v>
      </c>
      <c r="AW136" s="412">
        <f t="shared" si="118"/>
        <v>0</v>
      </c>
      <c r="AX136" s="409">
        <f t="shared" si="132"/>
        <v>0</v>
      </c>
      <c r="AY136" s="412">
        <f t="shared" si="119"/>
        <v>0</v>
      </c>
      <c r="AZ136" s="409">
        <f t="shared" si="133"/>
        <v>0</v>
      </c>
      <c r="BA136" s="412">
        <f t="shared" si="120"/>
        <v>0</v>
      </c>
      <c r="BB136" s="409">
        <f t="shared" si="134"/>
        <v>0</v>
      </c>
      <c r="BC136" s="579">
        <v>0</v>
      </c>
      <c r="BD136" s="569">
        <v>0</v>
      </c>
      <c r="BE136" s="413">
        <f t="shared" si="121"/>
        <v>0</v>
      </c>
      <c r="BF136" s="414">
        <f t="shared" si="135"/>
        <v>1.3</v>
      </c>
      <c r="BG136" s="518">
        <v>0</v>
      </c>
      <c r="BH136" s="518" t="s">
        <v>91</v>
      </c>
      <c r="BI136" s="412">
        <f t="shared" si="136"/>
        <v>0</v>
      </c>
      <c r="BJ136" s="409">
        <f t="shared" si="137"/>
        <v>0</v>
      </c>
      <c r="BK136" s="414">
        <f t="shared" si="138"/>
        <v>0.26</v>
      </c>
      <c r="BL136" s="580">
        <v>0</v>
      </c>
      <c r="BM136" s="409">
        <f t="shared" si="139"/>
        <v>0</v>
      </c>
      <c r="BN136" s="518">
        <v>0</v>
      </c>
      <c r="BO136" s="412">
        <f t="shared" si="122"/>
        <v>0</v>
      </c>
      <c r="BP136" s="414">
        <f t="shared" si="123"/>
        <v>0.26</v>
      </c>
      <c r="BQ136" s="559">
        <v>0</v>
      </c>
      <c r="BR136" s="590"/>
      <c r="BS136" s="595"/>
      <c r="BT136" s="415" t="str">
        <f t="shared" si="90"/>
        <v>To be realised</v>
      </c>
      <c r="BU136" s="579">
        <v>0</v>
      </c>
      <c r="BV136" s="579">
        <v>0</v>
      </c>
      <c r="BW136" s="416">
        <f t="shared" si="91"/>
        <v>4</v>
      </c>
      <c r="BX136" s="417">
        <f t="shared" si="124"/>
        <v>0</v>
      </c>
      <c r="BY136" s="409">
        <f t="shared" si="125"/>
        <v>0</v>
      </c>
      <c r="BZ136" s="446" t="str">
        <f t="shared" si="92"/>
        <v>Column BN to be completed</v>
      </c>
      <c r="CA136" s="598"/>
      <c r="CB136" s="559">
        <v>0</v>
      </c>
      <c r="CC136" s="451">
        <f t="shared" si="140"/>
        <v>0</v>
      </c>
      <c r="CD136" s="598">
        <v>0</v>
      </c>
      <c r="CE136" s="418" t="str">
        <f t="shared" si="141"/>
        <v>No coverage</v>
      </c>
      <c r="CF136" s="550">
        <v>0</v>
      </c>
      <c r="CG136" s="607" t="s">
        <v>66</v>
      </c>
      <c r="CH136" s="605"/>
    </row>
    <row r="137" spans="2:86" s="40" customFormat="1" ht="30.75" customHeight="1" x14ac:dyDescent="0.25">
      <c r="B137" s="512" t="s">
        <v>188</v>
      </c>
      <c r="C137" s="513" t="s">
        <v>591</v>
      </c>
      <c r="D137" s="514" t="s">
        <v>267</v>
      </c>
      <c r="E137" s="513" t="s">
        <v>194</v>
      </c>
      <c r="F137" s="514">
        <v>97.242360000000005</v>
      </c>
      <c r="G137" s="514">
        <v>24.264130000000002</v>
      </c>
      <c r="H137" s="514" t="s">
        <v>478</v>
      </c>
      <c r="I137" s="514" t="s">
        <v>218</v>
      </c>
      <c r="J137" s="518">
        <v>2</v>
      </c>
      <c r="K137" s="518">
        <v>9</v>
      </c>
      <c r="L137" s="518">
        <v>9</v>
      </c>
      <c r="M137" s="405" t="str">
        <f t="shared" si="109"/>
        <v>1. Small</v>
      </c>
      <c r="N137" s="519"/>
      <c r="O137" s="533" t="s">
        <v>308</v>
      </c>
      <c r="P137" s="439" t="str">
        <f t="shared" si="126"/>
        <v>Not covered</v>
      </c>
      <c r="Q137" s="534"/>
      <c r="R137" s="514"/>
      <c r="S137" s="534"/>
      <c r="T137" s="536" t="s">
        <v>262</v>
      </c>
      <c r="U137" s="436" t="str">
        <f t="shared" si="127"/>
        <v>Not documented</v>
      </c>
      <c r="V137" s="544">
        <v>0</v>
      </c>
      <c r="W137" s="518">
        <v>0</v>
      </c>
      <c r="X137" s="545" t="s">
        <v>19</v>
      </c>
      <c r="Y137" s="544">
        <v>0</v>
      </c>
      <c r="Z137" s="518">
        <v>0</v>
      </c>
      <c r="AA137" s="545">
        <v>0</v>
      </c>
      <c r="AB137" s="558">
        <v>0</v>
      </c>
      <c r="AC137" s="559">
        <v>0</v>
      </c>
      <c r="AD137" s="443">
        <f t="shared" si="110"/>
        <v>0</v>
      </c>
      <c r="AE137" s="407">
        <f t="shared" si="128"/>
        <v>0</v>
      </c>
      <c r="AF137" s="408">
        <f t="shared" si="111"/>
        <v>0</v>
      </c>
      <c r="AG137" s="409">
        <f t="shared" si="129"/>
        <v>0</v>
      </c>
      <c r="AH137" s="406">
        <f t="shared" si="112"/>
        <v>0</v>
      </c>
      <c r="AI137" s="409">
        <f t="shared" si="130"/>
        <v>0</v>
      </c>
      <c r="AJ137" s="410" t="str">
        <f t="shared" si="113"/>
        <v>0-10%</v>
      </c>
      <c r="AK137" s="406">
        <f t="shared" si="114"/>
        <v>0</v>
      </c>
      <c r="AL137" s="411">
        <f t="shared" si="115"/>
        <v>0</v>
      </c>
      <c r="AM137" s="409">
        <f t="shared" si="116"/>
        <v>2.2499999999999999E-2</v>
      </c>
      <c r="AN137" s="409">
        <f t="shared" si="117"/>
        <v>0</v>
      </c>
      <c r="AO137" s="409">
        <f t="shared" si="131"/>
        <v>0</v>
      </c>
      <c r="AP137" s="569">
        <v>1</v>
      </c>
      <c r="AQ137" s="567">
        <f t="shared" si="142"/>
        <v>9</v>
      </c>
      <c r="AR137" s="559"/>
      <c r="AS137" s="544">
        <v>0</v>
      </c>
      <c r="AT137" s="518">
        <v>0</v>
      </c>
      <c r="AU137" s="518">
        <v>0</v>
      </c>
      <c r="AV137" s="518" t="s">
        <v>91</v>
      </c>
      <c r="AW137" s="412">
        <f t="shared" si="118"/>
        <v>0</v>
      </c>
      <c r="AX137" s="409">
        <f t="shared" si="132"/>
        <v>0</v>
      </c>
      <c r="AY137" s="412">
        <f t="shared" si="119"/>
        <v>0</v>
      </c>
      <c r="AZ137" s="409">
        <f t="shared" si="133"/>
        <v>0</v>
      </c>
      <c r="BA137" s="412">
        <f t="shared" si="120"/>
        <v>0</v>
      </c>
      <c r="BB137" s="409">
        <f t="shared" si="134"/>
        <v>0</v>
      </c>
      <c r="BC137" s="579">
        <v>0</v>
      </c>
      <c r="BD137" s="569">
        <v>0</v>
      </c>
      <c r="BE137" s="413">
        <f t="shared" si="121"/>
        <v>0</v>
      </c>
      <c r="BF137" s="414">
        <f t="shared" si="135"/>
        <v>0.45</v>
      </c>
      <c r="BG137" s="518">
        <v>0</v>
      </c>
      <c r="BH137" s="518" t="s">
        <v>91</v>
      </c>
      <c r="BI137" s="412">
        <f t="shared" si="136"/>
        <v>0</v>
      </c>
      <c r="BJ137" s="409">
        <f t="shared" si="137"/>
        <v>0</v>
      </c>
      <c r="BK137" s="414">
        <f t="shared" si="138"/>
        <v>0.09</v>
      </c>
      <c r="BL137" s="580">
        <v>0</v>
      </c>
      <c r="BM137" s="409">
        <f t="shared" si="139"/>
        <v>0</v>
      </c>
      <c r="BN137" s="518">
        <v>0</v>
      </c>
      <c r="BO137" s="412">
        <f t="shared" si="122"/>
        <v>0</v>
      </c>
      <c r="BP137" s="414">
        <f t="shared" si="123"/>
        <v>0.09</v>
      </c>
      <c r="BQ137" s="559">
        <v>0</v>
      </c>
      <c r="BR137" s="590"/>
      <c r="BS137" s="595"/>
      <c r="BT137" s="415" t="str">
        <f t="shared" si="90"/>
        <v>To be realised</v>
      </c>
      <c r="BU137" s="579">
        <v>0</v>
      </c>
      <c r="BV137" s="579">
        <v>0</v>
      </c>
      <c r="BW137" s="416">
        <f t="shared" si="91"/>
        <v>2</v>
      </c>
      <c r="BX137" s="417">
        <f t="shared" si="124"/>
        <v>0</v>
      </c>
      <c r="BY137" s="409">
        <f t="shared" si="125"/>
        <v>0</v>
      </c>
      <c r="BZ137" s="446" t="str">
        <f t="shared" si="92"/>
        <v>Column BN to be completed</v>
      </c>
      <c r="CA137" s="598"/>
      <c r="CB137" s="559">
        <v>0</v>
      </c>
      <c r="CC137" s="451">
        <f t="shared" si="140"/>
        <v>0</v>
      </c>
      <c r="CD137" s="598">
        <v>0</v>
      </c>
      <c r="CE137" s="418" t="str">
        <f t="shared" si="141"/>
        <v>No coverage</v>
      </c>
      <c r="CF137" s="550">
        <v>0</v>
      </c>
      <c r="CG137" s="607" t="s">
        <v>66</v>
      </c>
      <c r="CH137" s="605"/>
    </row>
    <row r="138" spans="2:86" s="40" customFormat="1" ht="30.75" customHeight="1" x14ac:dyDescent="0.25">
      <c r="B138" s="512" t="s">
        <v>188</v>
      </c>
      <c r="C138" s="513" t="s">
        <v>593</v>
      </c>
      <c r="D138" s="514" t="s">
        <v>267</v>
      </c>
      <c r="E138" s="513" t="s">
        <v>195</v>
      </c>
      <c r="F138" s="514">
        <v>97.321659999999994</v>
      </c>
      <c r="G138" s="514">
        <v>24.41</v>
      </c>
      <c r="H138" s="514" t="s">
        <v>478</v>
      </c>
      <c r="I138" s="514" t="s">
        <v>218</v>
      </c>
      <c r="J138" s="518">
        <v>28</v>
      </c>
      <c r="K138" s="518">
        <v>136</v>
      </c>
      <c r="L138" s="518">
        <v>136</v>
      </c>
      <c r="M138" s="405" t="str">
        <f t="shared" si="109"/>
        <v>1. Small</v>
      </c>
      <c r="N138" s="519"/>
      <c r="O138" s="533" t="s">
        <v>308</v>
      </c>
      <c r="P138" s="439" t="str">
        <f t="shared" si="126"/>
        <v>Not covered</v>
      </c>
      <c r="Q138" s="534"/>
      <c r="R138" s="514"/>
      <c r="S138" s="534"/>
      <c r="T138" s="536" t="s">
        <v>262</v>
      </c>
      <c r="U138" s="436" t="str">
        <f t="shared" si="127"/>
        <v>Not documented</v>
      </c>
      <c r="V138" s="544">
        <v>0</v>
      </c>
      <c r="W138" s="518">
        <v>0</v>
      </c>
      <c r="X138" s="545" t="s">
        <v>19</v>
      </c>
      <c r="Y138" s="544">
        <v>0</v>
      </c>
      <c r="Z138" s="518">
        <v>0</v>
      </c>
      <c r="AA138" s="545">
        <v>0</v>
      </c>
      <c r="AB138" s="558">
        <v>0</v>
      </c>
      <c r="AC138" s="559">
        <v>0</v>
      </c>
      <c r="AD138" s="443">
        <f t="shared" si="110"/>
        <v>0</v>
      </c>
      <c r="AE138" s="407">
        <f t="shared" si="128"/>
        <v>0</v>
      </c>
      <c r="AF138" s="408">
        <f t="shared" si="111"/>
        <v>0</v>
      </c>
      <c r="AG138" s="409">
        <f t="shared" si="129"/>
        <v>0</v>
      </c>
      <c r="AH138" s="406">
        <f t="shared" si="112"/>
        <v>0</v>
      </c>
      <c r="AI138" s="409">
        <f t="shared" si="130"/>
        <v>0</v>
      </c>
      <c r="AJ138" s="410" t="str">
        <f t="shared" si="113"/>
        <v>0-10%</v>
      </c>
      <c r="AK138" s="406">
        <f t="shared" si="114"/>
        <v>0</v>
      </c>
      <c r="AL138" s="411">
        <f t="shared" si="115"/>
        <v>0</v>
      </c>
      <c r="AM138" s="409">
        <f t="shared" si="116"/>
        <v>0.34</v>
      </c>
      <c r="AN138" s="409">
        <f t="shared" si="117"/>
        <v>0</v>
      </c>
      <c r="AO138" s="409">
        <f t="shared" si="131"/>
        <v>0</v>
      </c>
      <c r="AP138" s="569">
        <v>1</v>
      </c>
      <c r="AQ138" s="567">
        <f t="shared" si="142"/>
        <v>136</v>
      </c>
      <c r="AR138" s="559"/>
      <c r="AS138" s="544">
        <v>0</v>
      </c>
      <c r="AT138" s="518">
        <v>0</v>
      </c>
      <c r="AU138" s="518">
        <v>0</v>
      </c>
      <c r="AV138" s="518" t="s">
        <v>91</v>
      </c>
      <c r="AW138" s="412">
        <f t="shared" si="118"/>
        <v>0</v>
      </c>
      <c r="AX138" s="409">
        <f t="shared" si="132"/>
        <v>0</v>
      </c>
      <c r="AY138" s="412">
        <f t="shared" si="119"/>
        <v>0</v>
      </c>
      <c r="AZ138" s="409">
        <f t="shared" si="133"/>
        <v>0</v>
      </c>
      <c r="BA138" s="412">
        <f t="shared" si="120"/>
        <v>0</v>
      </c>
      <c r="BB138" s="409">
        <f t="shared" si="134"/>
        <v>0</v>
      </c>
      <c r="BC138" s="579">
        <v>0</v>
      </c>
      <c r="BD138" s="569">
        <v>0</v>
      </c>
      <c r="BE138" s="413">
        <f t="shared" si="121"/>
        <v>0</v>
      </c>
      <c r="BF138" s="414">
        <f t="shared" si="135"/>
        <v>6.8</v>
      </c>
      <c r="BG138" s="518">
        <v>0</v>
      </c>
      <c r="BH138" s="518" t="s">
        <v>91</v>
      </c>
      <c r="BI138" s="412">
        <f t="shared" si="136"/>
        <v>0</v>
      </c>
      <c r="BJ138" s="409">
        <f t="shared" si="137"/>
        <v>0</v>
      </c>
      <c r="BK138" s="414">
        <f t="shared" si="138"/>
        <v>1.36</v>
      </c>
      <c r="BL138" s="580">
        <v>0</v>
      </c>
      <c r="BM138" s="409">
        <f t="shared" si="139"/>
        <v>0</v>
      </c>
      <c r="BN138" s="518">
        <v>0</v>
      </c>
      <c r="BO138" s="412">
        <f t="shared" si="122"/>
        <v>0</v>
      </c>
      <c r="BP138" s="414">
        <f t="shared" si="123"/>
        <v>1.36</v>
      </c>
      <c r="BQ138" s="559">
        <v>0</v>
      </c>
      <c r="BR138" s="590"/>
      <c r="BS138" s="595"/>
      <c r="BT138" s="415" t="str">
        <f t="shared" si="90"/>
        <v>To be realised</v>
      </c>
      <c r="BU138" s="579">
        <v>0</v>
      </c>
      <c r="BV138" s="579">
        <v>0</v>
      </c>
      <c r="BW138" s="416">
        <f t="shared" si="91"/>
        <v>28</v>
      </c>
      <c r="BX138" s="417">
        <f t="shared" si="124"/>
        <v>0</v>
      </c>
      <c r="BY138" s="409">
        <f t="shared" si="125"/>
        <v>0</v>
      </c>
      <c r="BZ138" s="446" t="str">
        <f t="shared" si="92"/>
        <v>Column BN to be completed</v>
      </c>
      <c r="CA138" s="598"/>
      <c r="CB138" s="559">
        <v>0</v>
      </c>
      <c r="CC138" s="451">
        <f t="shared" si="140"/>
        <v>0</v>
      </c>
      <c r="CD138" s="598">
        <v>0</v>
      </c>
      <c r="CE138" s="418" t="str">
        <f t="shared" si="141"/>
        <v>No coverage</v>
      </c>
      <c r="CF138" s="550">
        <v>0</v>
      </c>
      <c r="CG138" s="607" t="s">
        <v>66</v>
      </c>
      <c r="CH138" s="605"/>
    </row>
    <row r="139" spans="2:86" s="40" customFormat="1" ht="30.75" customHeight="1" x14ac:dyDescent="0.25">
      <c r="B139" s="512" t="s">
        <v>188</v>
      </c>
      <c r="C139" s="513" t="s">
        <v>596</v>
      </c>
      <c r="D139" s="514" t="s">
        <v>267</v>
      </c>
      <c r="E139" s="513" t="s">
        <v>198</v>
      </c>
      <c r="F139" s="514">
        <v>97.406239999999997</v>
      </c>
      <c r="G139" s="514">
        <v>24.40457</v>
      </c>
      <c r="H139" s="514" t="s">
        <v>478</v>
      </c>
      <c r="I139" s="514" t="s">
        <v>218</v>
      </c>
      <c r="J139" s="518">
        <v>13</v>
      </c>
      <c r="K139" s="518">
        <v>53</v>
      </c>
      <c r="L139" s="518">
        <v>53</v>
      </c>
      <c r="M139" s="405" t="str">
        <f t="shared" si="109"/>
        <v>1. Small</v>
      </c>
      <c r="N139" s="519"/>
      <c r="O139" s="533" t="s">
        <v>308</v>
      </c>
      <c r="P139" s="439" t="str">
        <f t="shared" si="126"/>
        <v>Not covered</v>
      </c>
      <c r="Q139" s="534"/>
      <c r="R139" s="514"/>
      <c r="S139" s="534"/>
      <c r="T139" s="536" t="s">
        <v>262</v>
      </c>
      <c r="U139" s="436" t="str">
        <f t="shared" si="127"/>
        <v>Not documented</v>
      </c>
      <c r="V139" s="544">
        <v>0</v>
      </c>
      <c r="W139" s="518">
        <v>0</v>
      </c>
      <c r="X139" s="545" t="s">
        <v>19</v>
      </c>
      <c r="Y139" s="544">
        <v>0</v>
      </c>
      <c r="Z139" s="518">
        <v>0</v>
      </c>
      <c r="AA139" s="545">
        <v>0</v>
      </c>
      <c r="AB139" s="558">
        <v>0</v>
      </c>
      <c r="AC139" s="559">
        <v>0</v>
      </c>
      <c r="AD139" s="443">
        <f t="shared" si="110"/>
        <v>0</v>
      </c>
      <c r="AE139" s="407">
        <f t="shared" si="128"/>
        <v>0</v>
      </c>
      <c r="AF139" s="408">
        <f t="shared" si="111"/>
        <v>0</v>
      </c>
      <c r="AG139" s="409">
        <f t="shared" si="129"/>
        <v>0</v>
      </c>
      <c r="AH139" s="406">
        <f t="shared" si="112"/>
        <v>0</v>
      </c>
      <c r="AI139" s="409">
        <f t="shared" si="130"/>
        <v>0</v>
      </c>
      <c r="AJ139" s="410" t="str">
        <f t="shared" si="113"/>
        <v>0-10%</v>
      </c>
      <c r="AK139" s="406">
        <f t="shared" si="114"/>
        <v>0</v>
      </c>
      <c r="AL139" s="411">
        <f t="shared" si="115"/>
        <v>0</v>
      </c>
      <c r="AM139" s="409">
        <f t="shared" si="116"/>
        <v>0.13250000000000001</v>
      </c>
      <c r="AN139" s="409">
        <f t="shared" si="117"/>
        <v>0</v>
      </c>
      <c r="AO139" s="409">
        <f t="shared" si="131"/>
        <v>0</v>
      </c>
      <c r="AP139" s="569">
        <v>1</v>
      </c>
      <c r="AQ139" s="567">
        <f t="shared" si="142"/>
        <v>53</v>
      </c>
      <c r="AR139" s="559"/>
      <c r="AS139" s="544">
        <v>0</v>
      </c>
      <c r="AT139" s="518">
        <v>0</v>
      </c>
      <c r="AU139" s="518">
        <v>0</v>
      </c>
      <c r="AV139" s="518" t="s">
        <v>91</v>
      </c>
      <c r="AW139" s="412">
        <f t="shared" si="118"/>
        <v>0</v>
      </c>
      <c r="AX139" s="409">
        <f t="shared" si="132"/>
        <v>0</v>
      </c>
      <c r="AY139" s="412">
        <f t="shared" si="119"/>
        <v>0</v>
      </c>
      <c r="AZ139" s="409">
        <f t="shared" si="133"/>
        <v>0</v>
      </c>
      <c r="BA139" s="412">
        <f t="shared" si="120"/>
        <v>0</v>
      </c>
      <c r="BB139" s="409">
        <f t="shared" si="134"/>
        <v>0</v>
      </c>
      <c r="BC139" s="579">
        <v>0</v>
      </c>
      <c r="BD139" s="569">
        <v>0</v>
      </c>
      <c r="BE139" s="413">
        <f t="shared" si="121"/>
        <v>0</v>
      </c>
      <c r="BF139" s="414">
        <f t="shared" si="135"/>
        <v>2.65</v>
      </c>
      <c r="BG139" s="518">
        <v>0</v>
      </c>
      <c r="BH139" s="518" t="s">
        <v>91</v>
      </c>
      <c r="BI139" s="412">
        <f t="shared" si="136"/>
        <v>0</v>
      </c>
      <c r="BJ139" s="409">
        <f t="shared" si="137"/>
        <v>0</v>
      </c>
      <c r="BK139" s="414">
        <f t="shared" si="138"/>
        <v>0.53</v>
      </c>
      <c r="BL139" s="580">
        <v>0</v>
      </c>
      <c r="BM139" s="409">
        <f t="shared" si="139"/>
        <v>0</v>
      </c>
      <c r="BN139" s="518">
        <v>0</v>
      </c>
      <c r="BO139" s="412">
        <f t="shared" si="122"/>
        <v>0</v>
      </c>
      <c r="BP139" s="414">
        <f t="shared" si="123"/>
        <v>0.53</v>
      </c>
      <c r="BQ139" s="559">
        <v>0</v>
      </c>
      <c r="BR139" s="590"/>
      <c r="BS139" s="595"/>
      <c r="BT139" s="415" t="str">
        <f t="shared" si="90"/>
        <v>To be realised</v>
      </c>
      <c r="BU139" s="579">
        <v>0</v>
      </c>
      <c r="BV139" s="579">
        <v>0</v>
      </c>
      <c r="BW139" s="416">
        <f t="shared" si="91"/>
        <v>13</v>
      </c>
      <c r="BX139" s="417">
        <f t="shared" si="124"/>
        <v>0</v>
      </c>
      <c r="BY139" s="409">
        <f t="shared" si="125"/>
        <v>0</v>
      </c>
      <c r="BZ139" s="446" t="str">
        <f t="shared" si="92"/>
        <v>Column BN to be completed</v>
      </c>
      <c r="CA139" s="598"/>
      <c r="CB139" s="559">
        <v>0</v>
      </c>
      <c r="CC139" s="451">
        <f t="shared" si="140"/>
        <v>0</v>
      </c>
      <c r="CD139" s="598">
        <v>0</v>
      </c>
      <c r="CE139" s="418" t="str">
        <f t="shared" si="141"/>
        <v>No coverage</v>
      </c>
      <c r="CF139" s="550">
        <v>0</v>
      </c>
      <c r="CG139" s="607" t="s">
        <v>66</v>
      </c>
      <c r="CH139" s="605"/>
    </row>
    <row r="140" spans="2:86" s="40" customFormat="1" ht="30.75" customHeight="1" x14ac:dyDescent="0.25">
      <c r="B140" s="512" t="s">
        <v>188</v>
      </c>
      <c r="C140" s="513" t="s">
        <v>598</v>
      </c>
      <c r="D140" s="514" t="s">
        <v>267</v>
      </c>
      <c r="E140" s="513" t="s">
        <v>484</v>
      </c>
      <c r="F140" s="514">
        <v>97.417240000000007</v>
      </c>
      <c r="G140" s="514">
        <v>24.49184</v>
      </c>
      <c r="H140" s="514" t="s">
        <v>478</v>
      </c>
      <c r="I140" s="514" t="s">
        <v>218</v>
      </c>
      <c r="J140" s="518">
        <v>10</v>
      </c>
      <c r="K140" s="518">
        <v>38</v>
      </c>
      <c r="L140" s="518">
        <v>38</v>
      </c>
      <c r="M140" s="405" t="str">
        <f t="shared" si="109"/>
        <v>1. Small</v>
      </c>
      <c r="N140" s="519"/>
      <c r="O140" s="533" t="s">
        <v>308</v>
      </c>
      <c r="P140" s="439" t="str">
        <f t="shared" si="126"/>
        <v>Not covered</v>
      </c>
      <c r="Q140" s="534"/>
      <c r="R140" s="514"/>
      <c r="S140" s="534"/>
      <c r="T140" s="536" t="s">
        <v>262</v>
      </c>
      <c r="U140" s="436" t="str">
        <f t="shared" si="127"/>
        <v>Not documented</v>
      </c>
      <c r="V140" s="544">
        <v>0</v>
      </c>
      <c r="W140" s="518">
        <v>0</v>
      </c>
      <c r="X140" s="545" t="s">
        <v>19</v>
      </c>
      <c r="Y140" s="544">
        <v>0</v>
      </c>
      <c r="Z140" s="518">
        <v>0</v>
      </c>
      <c r="AA140" s="545">
        <v>0</v>
      </c>
      <c r="AB140" s="558">
        <v>0</v>
      </c>
      <c r="AC140" s="559">
        <v>0</v>
      </c>
      <c r="AD140" s="443">
        <f t="shared" si="110"/>
        <v>0</v>
      </c>
      <c r="AE140" s="407">
        <f t="shared" si="128"/>
        <v>0</v>
      </c>
      <c r="AF140" s="408">
        <f t="shared" si="111"/>
        <v>0</v>
      </c>
      <c r="AG140" s="409">
        <f t="shared" si="129"/>
        <v>0</v>
      </c>
      <c r="AH140" s="406">
        <f t="shared" si="112"/>
        <v>0</v>
      </c>
      <c r="AI140" s="409">
        <f t="shared" si="130"/>
        <v>0</v>
      </c>
      <c r="AJ140" s="410" t="str">
        <f t="shared" si="113"/>
        <v>0-10%</v>
      </c>
      <c r="AK140" s="406">
        <f t="shared" si="114"/>
        <v>0</v>
      </c>
      <c r="AL140" s="411">
        <f t="shared" si="115"/>
        <v>0</v>
      </c>
      <c r="AM140" s="409">
        <f t="shared" si="116"/>
        <v>9.5000000000000001E-2</v>
      </c>
      <c r="AN140" s="409">
        <f t="shared" si="117"/>
        <v>0</v>
      </c>
      <c r="AO140" s="409">
        <f t="shared" si="131"/>
        <v>0</v>
      </c>
      <c r="AP140" s="569">
        <v>1</v>
      </c>
      <c r="AQ140" s="567">
        <f t="shared" si="142"/>
        <v>38</v>
      </c>
      <c r="AR140" s="559"/>
      <c r="AS140" s="544">
        <v>0</v>
      </c>
      <c r="AT140" s="518">
        <v>0</v>
      </c>
      <c r="AU140" s="518">
        <v>0</v>
      </c>
      <c r="AV140" s="518" t="s">
        <v>91</v>
      </c>
      <c r="AW140" s="412">
        <f t="shared" si="118"/>
        <v>0</v>
      </c>
      <c r="AX140" s="409">
        <f t="shared" si="132"/>
        <v>0</v>
      </c>
      <c r="AY140" s="412">
        <f t="shared" si="119"/>
        <v>0</v>
      </c>
      <c r="AZ140" s="409">
        <f t="shared" si="133"/>
        <v>0</v>
      </c>
      <c r="BA140" s="412">
        <f t="shared" si="120"/>
        <v>0</v>
      </c>
      <c r="BB140" s="409">
        <f t="shared" si="134"/>
        <v>0</v>
      </c>
      <c r="BC140" s="579">
        <v>0</v>
      </c>
      <c r="BD140" s="569">
        <v>0</v>
      </c>
      <c r="BE140" s="413">
        <f t="shared" si="121"/>
        <v>0</v>
      </c>
      <c r="BF140" s="414">
        <f t="shared" si="135"/>
        <v>1.9</v>
      </c>
      <c r="BG140" s="518">
        <v>0</v>
      </c>
      <c r="BH140" s="518" t="s">
        <v>91</v>
      </c>
      <c r="BI140" s="412">
        <f t="shared" si="136"/>
        <v>0</v>
      </c>
      <c r="BJ140" s="409">
        <f t="shared" si="137"/>
        <v>0</v>
      </c>
      <c r="BK140" s="414">
        <f t="shared" si="138"/>
        <v>0.38</v>
      </c>
      <c r="BL140" s="580">
        <v>0</v>
      </c>
      <c r="BM140" s="409">
        <f t="shared" si="139"/>
        <v>0</v>
      </c>
      <c r="BN140" s="518">
        <v>0</v>
      </c>
      <c r="BO140" s="412">
        <f t="shared" si="122"/>
        <v>0</v>
      </c>
      <c r="BP140" s="414">
        <f t="shared" si="123"/>
        <v>0.38</v>
      </c>
      <c r="BQ140" s="559">
        <v>0</v>
      </c>
      <c r="BR140" s="590"/>
      <c r="BS140" s="595"/>
      <c r="BT140" s="415" t="str">
        <f t="shared" si="90"/>
        <v>To be realised</v>
      </c>
      <c r="BU140" s="579">
        <v>0</v>
      </c>
      <c r="BV140" s="579">
        <v>0</v>
      </c>
      <c r="BW140" s="416">
        <f t="shared" si="91"/>
        <v>10</v>
      </c>
      <c r="BX140" s="417">
        <f t="shared" si="124"/>
        <v>0</v>
      </c>
      <c r="BY140" s="409">
        <f t="shared" si="125"/>
        <v>0</v>
      </c>
      <c r="BZ140" s="446" t="str">
        <f t="shared" si="92"/>
        <v>Column BN to be completed</v>
      </c>
      <c r="CA140" s="598"/>
      <c r="CB140" s="559">
        <v>0</v>
      </c>
      <c r="CC140" s="451">
        <f t="shared" si="140"/>
        <v>0</v>
      </c>
      <c r="CD140" s="598">
        <v>0</v>
      </c>
      <c r="CE140" s="418" t="str">
        <f t="shared" si="141"/>
        <v>No coverage</v>
      </c>
      <c r="CF140" s="550">
        <v>0</v>
      </c>
      <c r="CG140" s="607" t="s">
        <v>66</v>
      </c>
      <c r="CH140" s="605"/>
    </row>
    <row r="141" spans="2:86" s="40" customFormat="1" ht="30.75" customHeight="1" x14ac:dyDescent="0.25">
      <c r="B141" s="512" t="s">
        <v>223</v>
      </c>
      <c r="C141" s="513" t="s">
        <v>606</v>
      </c>
      <c r="D141" s="514" t="s">
        <v>267</v>
      </c>
      <c r="E141" s="513" t="s">
        <v>817</v>
      </c>
      <c r="F141" s="514">
        <v>96.807350999999997</v>
      </c>
      <c r="G141" s="514">
        <v>24.200362999999999</v>
      </c>
      <c r="H141" s="514" t="s">
        <v>478</v>
      </c>
      <c r="I141" s="514" t="s">
        <v>218</v>
      </c>
      <c r="J141" s="518">
        <v>15</v>
      </c>
      <c r="K141" s="518">
        <v>40</v>
      </c>
      <c r="L141" s="518">
        <v>40</v>
      </c>
      <c r="M141" s="405" t="str">
        <f t="shared" si="109"/>
        <v>1. Small</v>
      </c>
      <c r="N141" s="519"/>
      <c r="O141" s="533" t="s">
        <v>308</v>
      </c>
      <c r="P141" s="439" t="str">
        <f t="shared" si="126"/>
        <v>Not covered</v>
      </c>
      <c r="Q141" s="534"/>
      <c r="R141" s="514"/>
      <c r="S141" s="534"/>
      <c r="T141" s="536" t="s">
        <v>262</v>
      </c>
      <c r="U141" s="436" t="str">
        <f t="shared" si="127"/>
        <v>Not documented</v>
      </c>
      <c r="V141" s="544">
        <v>0</v>
      </c>
      <c r="W141" s="518">
        <v>0</v>
      </c>
      <c r="X141" s="545" t="s">
        <v>19</v>
      </c>
      <c r="Y141" s="544">
        <v>0</v>
      </c>
      <c r="Z141" s="518">
        <v>0</v>
      </c>
      <c r="AA141" s="545">
        <v>0</v>
      </c>
      <c r="AB141" s="558">
        <v>0</v>
      </c>
      <c r="AC141" s="559">
        <v>0</v>
      </c>
      <c r="AD141" s="443">
        <f t="shared" si="110"/>
        <v>0</v>
      </c>
      <c r="AE141" s="407">
        <f t="shared" si="128"/>
        <v>0</v>
      </c>
      <c r="AF141" s="408">
        <f t="shared" si="111"/>
        <v>0</v>
      </c>
      <c r="AG141" s="409">
        <f t="shared" si="129"/>
        <v>0</v>
      </c>
      <c r="AH141" s="406">
        <f t="shared" si="112"/>
        <v>0</v>
      </c>
      <c r="AI141" s="409">
        <f t="shared" si="130"/>
        <v>0</v>
      </c>
      <c r="AJ141" s="410" t="str">
        <f t="shared" si="113"/>
        <v>0-10%</v>
      </c>
      <c r="AK141" s="406">
        <f t="shared" si="114"/>
        <v>0</v>
      </c>
      <c r="AL141" s="411">
        <f t="shared" si="115"/>
        <v>0</v>
      </c>
      <c r="AM141" s="409">
        <f t="shared" si="116"/>
        <v>0.1</v>
      </c>
      <c r="AN141" s="409">
        <f t="shared" si="117"/>
        <v>0</v>
      </c>
      <c r="AO141" s="409">
        <f t="shared" si="131"/>
        <v>0</v>
      </c>
      <c r="AP141" s="569">
        <v>1</v>
      </c>
      <c r="AQ141" s="567">
        <f t="shared" si="142"/>
        <v>40</v>
      </c>
      <c r="AR141" s="559"/>
      <c r="AS141" s="544">
        <v>0</v>
      </c>
      <c r="AT141" s="518">
        <v>0</v>
      </c>
      <c r="AU141" s="518">
        <v>0</v>
      </c>
      <c r="AV141" s="518" t="s">
        <v>91</v>
      </c>
      <c r="AW141" s="412">
        <f t="shared" si="118"/>
        <v>0</v>
      </c>
      <c r="AX141" s="409">
        <f t="shared" si="132"/>
        <v>0</v>
      </c>
      <c r="AY141" s="412">
        <f t="shared" si="119"/>
        <v>0</v>
      </c>
      <c r="AZ141" s="409">
        <f t="shared" si="133"/>
        <v>0</v>
      </c>
      <c r="BA141" s="412">
        <f t="shared" si="120"/>
        <v>0</v>
      </c>
      <c r="BB141" s="409">
        <f t="shared" si="134"/>
        <v>0</v>
      </c>
      <c r="BC141" s="579">
        <v>0</v>
      </c>
      <c r="BD141" s="569">
        <v>0</v>
      </c>
      <c r="BE141" s="413">
        <f t="shared" si="121"/>
        <v>0</v>
      </c>
      <c r="BF141" s="414">
        <f t="shared" si="135"/>
        <v>2</v>
      </c>
      <c r="BG141" s="518">
        <v>0</v>
      </c>
      <c r="BH141" s="518" t="s">
        <v>91</v>
      </c>
      <c r="BI141" s="412">
        <f t="shared" si="136"/>
        <v>0</v>
      </c>
      <c r="BJ141" s="409">
        <f t="shared" si="137"/>
        <v>0</v>
      </c>
      <c r="BK141" s="414">
        <f t="shared" si="138"/>
        <v>0.4</v>
      </c>
      <c r="BL141" s="580">
        <v>0</v>
      </c>
      <c r="BM141" s="409">
        <f t="shared" si="139"/>
        <v>0</v>
      </c>
      <c r="BN141" s="518">
        <v>0</v>
      </c>
      <c r="BO141" s="412">
        <f t="shared" si="122"/>
        <v>0</v>
      </c>
      <c r="BP141" s="414">
        <f t="shared" si="123"/>
        <v>0.4</v>
      </c>
      <c r="BQ141" s="559">
        <v>0</v>
      </c>
      <c r="BR141" s="590"/>
      <c r="BS141" s="595"/>
      <c r="BT141" s="415" t="str">
        <f t="shared" si="90"/>
        <v>To be realised</v>
      </c>
      <c r="BU141" s="579">
        <v>0</v>
      </c>
      <c r="BV141" s="579">
        <v>0</v>
      </c>
      <c r="BW141" s="416">
        <f t="shared" si="91"/>
        <v>15</v>
      </c>
      <c r="BX141" s="417">
        <f t="shared" si="124"/>
        <v>0</v>
      </c>
      <c r="BY141" s="409">
        <f t="shared" si="125"/>
        <v>0</v>
      </c>
      <c r="BZ141" s="446" t="str">
        <f t="shared" si="92"/>
        <v>Column BN to be completed</v>
      </c>
      <c r="CA141" s="598"/>
      <c r="CB141" s="559">
        <v>0</v>
      </c>
      <c r="CC141" s="451">
        <f t="shared" si="140"/>
        <v>0</v>
      </c>
      <c r="CD141" s="598">
        <v>0</v>
      </c>
      <c r="CE141" s="418" t="str">
        <f t="shared" si="141"/>
        <v>No coverage</v>
      </c>
      <c r="CF141" s="550">
        <v>0</v>
      </c>
      <c r="CG141" s="607" t="s">
        <v>66</v>
      </c>
      <c r="CH141" s="605"/>
    </row>
    <row r="142" spans="2:86" s="40" customFormat="1" ht="30.75" customHeight="1" x14ac:dyDescent="0.2">
      <c r="B142" s="512" t="s">
        <v>186</v>
      </c>
      <c r="C142" s="513" t="s">
        <v>570</v>
      </c>
      <c r="D142" s="514" t="s">
        <v>273</v>
      </c>
      <c r="E142" s="513" t="s">
        <v>643</v>
      </c>
      <c r="F142" s="514">
        <v>97.609832999999995</v>
      </c>
      <c r="G142" s="514">
        <v>24.002433</v>
      </c>
      <c r="H142" s="514" t="s">
        <v>467</v>
      </c>
      <c r="I142" s="514" t="s">
        <v>226</v>
      </c>
      <c r="J142" s="518">
        <v>169</v>
      </c>
      <c r="K142" s="518">
        <v>742</v>
      </c>
      <c r="L142" s="518">
        <v>742</v>
      </c>
      <c r="M142" s="405" t="str">
        <f t="shared" si="109"/>
        <v>2. Medium</v>
      </c>
      <c r="N142" s="519" t="s">
        <v>235</v>
      </c>
      <c r="O142" s="533" t="s">
        <v>293</v>
      </c>
      <c r="P142" s="439" t="str">
        <f t="shared" si="126"/>
        <v>Covered</v>
      </c>
      <c r="Q142" s="534">
        <v>42185</v>
      </c>
      <c r="R142" s="514" t="s">
        <v>424</v>
      </c>
      <c r="S142" s="534">
        <v>42185</v>
      </c>
      <c r="T142" s="536" t="s">
        <v>260</v>
      </c>
      <c r="U142" s="436" t="str">
        <f t="shared" si="127"/>
        <v>Documented</v>
      </c>
      <c r="V142" s="544">
        <v>0</v>
      </c>
      <c r="W142" s="518">
        <v>0</v>
      </c>
      <c r="X142" s="545" t="s">
        <v>19</v>
      </c>
      <c r="Y142" s="544">
        <v>2</v>
      </c>
      <c r="Z142" s="518">
        <v>0</v>
      </c>
      <c r="AA142" s="545">
        <v>81090</v>
      </c>
      <c r="AB142" s="558">
        <v>0</v>
      </c>
      <c r="AC142" s="559">
        <v>0.95</v>
      </c>
      <c r="AD142" s="443">
        <f t="shared" si="110"/>
        <v>1</v>
      </c>
      <c r="AE142" s="407">
        <f t="shared" si="128"/>
        <v>742</v>
      </c>
      <c r="AF142" s="408">
        <f t="shared" si="111"/>
        <v>1</v>
      </c>
      <c r="AG142" s="409">
        <f t="shared" si="129"/>
        <v>742</v>
      </c>
      <c r="AH142" s="406">
        <f t="shared" si="112"/>
        <v>1</v>
      </c>
      <c r="AI142" s="409">
        <f t="shared" si="130"/>
        <v>742</v>
      </c>
      <c r="AJ142" s="410" t="str">
        <f t="shared" si="113"/>
        <v>80-100%</v>
      </c>
      <c r="AK142" s="406">
        <f t="shared" si="114"/>
        <v>0</v>
      </c>
      <c r="AL142" s="411">
        <f t="shared" si="115"/>
        <v>0</v>
      </c>
      <c r="AM142" s="409">
        <f t="shared" si="116"/>
        <v>0</v>
      </c>
      <c r="AN142" s="409">
        <f t="shared" si="117"/>
        <v>160.54999999999998</v>
      </c>
      <c r="AO142" s="409">
        <f t="shared" si="131"/>
        <v>0</v>
      </c>
      <c r="AP142" s="569">
        <v>1</v>
      </c>
      <c r="AQ142" s="567">
        <f t="shared" si="142"/>
        <v>742</v>
      </c>
      <c r="AR142" s="559"/>
      <c r="AS142" s="544">
        <v>63</v>
      </c>
      <c r="AT142" s="518">
        <v>42</v>
      </c>
      <c r="AU142" s="518">
        <v>14</v>
      </c>
      <c r="AV142" s="518" t="s">
        <v>299</v>
      </c>
      <c r="AW142" s="412">
        <f t="shared" si="118"/>
        <v>1</v>
      </c>
      <c r="AX142" s="409">
        <f t="shared" si="132"/>
        <v>742</v>
      </c>
      <c r="AY142" s="412">
        <f t="shared" si="119"/>
        <v>0.62264150943396224</v>
      </c>
      <c r="AZ142" s="409">
        <f t="shared" si="133"/>
        <v>462</v>
      </c>
      <c r="BA142" s="412">
        <f t="shared" si="120"/>
        <v>0.37735849056603776</v>
      </c>
      <c r="BB142" s="409">
        <f t="shared" si="134"/>
        <v>280</v>
      </c>
      <c r="BC142" s="579">
        <v>0</v>
      </c>
      <c r="BD142" s="569">
        <v>1</v>
      </c>
      <c r="BE142" s="413">
        <f t="shared" si="121"/>
        <v>742</v>
      </c>
      <c r="BF142" s="414">
        <f t="shared" si="135"/>
        <v>23.1</v>
      </c>
      <c r="BG142" s="518">
        <v>4</v>
      </c>
      <c r="BH142" s="518" t="s">
        <v>91</v>
      </c>
      <c r="BI142" s="412">
        <f t="shared" si="136"/>
        <v>0.53908355795148244</v>
      </c>
      <c r="BJ142" s="409">
        <f t="shared" si="137"/>
        <v>399.99999999999994</v>
      </c>
      <c r="BK142" s="414">
        <f t="shared" si="138"/>
        <v>3.42</v>
      </c>
      <c r="BL142" s="580">
        <v>0.54</v>
      </c>
      <c r="BM142" s="409">
        <f t="shared" si="139"/>
        <v>400.68</v>
      </c>
      <c r="BN142" s="518">
        <v>1</v>
      </c>
      <c r="BO142" s="412">
        <f t="shared" si="122"/>
        <v>0.13477088948787061</v>
      </c>
      <c r="BP142" s="414">
        <f t="shared" si="123"/>
        <v>6.42</v>
      </c>
      <c r="BQ142" s="559">
        <v>0.13</v>
      </c>
      <c r="BR142" s="590"/>
      <c r="BS142" s="595">
        <v>41726</v>
      </c>
      <c r="BT142" s="415" t="str">
        <f t="shared" si="90"/>
        <v>To be realised</v>
      </c>
      <c r="BU142" s="579">
        <v>166</v>
      </c>
      <c r="BV142" s="579">
        <v>3</v>
      </c>
      <c r="BW142" s="416">
        <f t="shared" si="91"/>
        <v>169</v>
      </c>
      <c r="BX142" s="417">
        <f t="shared" si="124"/>
        <v>0</v>
      </c>
      <c r="BY142" s="409">
        <f t="shared" si="125"/>
        <v>0</v>
      </c>
      <c r="BZ142" s="446">
        <f t="shared" si="92"/>
        <v>10</v>
      </c>
      <c r="CA142" s="598"/>
      <c r="CB142" s="559">
        <v>0.2</v>
      </c>
      <c r="CC142" s="451">
        <f t="shared" si="140"/>
        <v>148.4</v>
      </c>
      <c r="CD142" s="598">
        <v>7</v>
      </c>
      <c r="CE142" s="418" t="str">
        <f t="shared" si="141"/>
        <v>Excellent coverage</v>
      </c>
      <c r="CF142" s="550">
        <v>0</v>
      </c>
      <c r="CG142" s="607" t="s">
        <v>301</v>
      </c>
      <c r="CH142" s="604"/>
    </row>
    <row r="143" spans="2:86" s="40" customFormat="1" ht="30.75" customHeight="1" x14ac:dyDescent="0.2">
      <c r="B143" s="512" t="s">
        <v>186</v>
      </c>
      <c r="C143" s="513" t="s">
        <v>571</v>
      </c>
      <c r="D143" s="514" t="s">
        <v>273</v>
      </c>
      <c r="E143" s="513" t="s">
        <v>644</v>
      </c>
      <c r="F143" s="514">
        <v>97.609832999999995</v>
      </c>
      <c r="G143" s="514">
        <v>24.002433</v>
      </c>
      <c r="H143" s="514" t="s">
        <v>467</v>
      </c>
      <c r="I143" s="514" t="s">
        <v>226</v>
      </c>
      <c r="J143" s="518">
        <v>207</v>
      </c>
      <c r="K143" s="518">
        <v>878</v>
      </c>
      <c r="L143" s="518">
        <v>878</v>
      </c>
      <c r="M143" s="405" t="str">
        <f t="shared" si="109"/>
        <v>2. Medium</v>
      </c>
      <c r="N143" s="519" t="s">
        <v>286</v>
      </c>
      <c r="O143" s="533" t="s">
        <v>293</v>
      </c>
      <c r="P143" s="439" t="str">
        <f t="shared" si="126"/>
        <v>Covered</v>
      </c>
      <c r="Q143" s="534">
        <v>42185</v>
      </c>
      <c r="R143" s="514" t="s">
        <v>424</v>
      </c>
      <c r="S143" s="534">
        <v>42185</v>
      </c>
      <c r="T143" s="536" t="s">
        <v>260</v>
      </c>
      <c r="U143" s="436" t="str">
        <f t="shared" si="127"/>
        <v>Documented</v>
      </c>
      <c r="V143" s="544">
        <v>0</v>
      </c>
      <c r="W143" s="518">
        <v>0</v>
      </c>
      <c r="X143" s="545" t="s">
        <v>19</v>
      </c>
      <c r="Y143" s="544">
        <v>3</v>
      </c>
      <c r="Z143" s="518">
        <v>0</v>
      </c>
      <c r="AA143" s="545">
        <v>38340</v>
      </c>
      <c r="AB143" s="558">
        <v>0</v>
      </c>
      <c r="AC143" s="559">
        <v>0.45</v>
      </c>
      <c r="AD143" s="443">
        <f t="shared" si="110"/>
        <v>1</v>
      </c>
      <c r="AE143" s="407">
        <f t="shared" si="128"/>
        <v>878</v>
      </c>
      <c r="AF143" s="408">
        <f t="shared" si="111"/>
        <v>1</v>
      </c>
      <c r="AG143" s="409">
        <f t="shared" si="129"/>
        <v>878</v>
      </c>
      <c r="AH143" s="406">
        <f t="shared" si="112"/>
        <v>1</v>
      </c>
      <c r="AI143" s="409">
        <f t="shared" si="130"/>
        <v>878</v>
      </c>
      <c r="AJ143" s="410" t="str">
        <f t="shared" si="113"/>
        <v>80-100%</v>
      </c>
      <c r="AK143" s="406">
        <f t="shared" si="114"/>
        <v>0</v>
      </c>
      <c r="AL143" s="411">
        <f t="shared" si="115"/>
        <v>0</v>
      </c>
      <c r="AM143" s="409">
        <f t="shared" si="116"/>
        <v>0</v>
      </c>
      <c r="AN143" s="409">
        <f t="shared" si="117"/>
        <v>93.15</v>
      </c>
      <c r="AO143" s="409">
        <f t="shared" si="131"/>
        <v>0</v>
      </c>
      <c r="AP143" s="569">
        <v>1</v>
      </c>
      <c r="AQ143" s="567">
        <f t="shared" si="142"/>
        <v>878</v>
      </c>
      <c r="AR143" s="559"/>
      <c r="AS143" s="544">
        <v>88</v>
      </c>
      <c r="AT143" s="518">
        <v>21</v>
      </c>
      <c r="AU143" s="518">
        <v>31</v>
      </c>
      <c r="AV143" s="518" t="s">
        <v>299</v>
      </c>
      <c r="AW143" s="412">
        <f t="shared" si="118"/>
        <v>1</v>
      </c>
      <c r="AX143" s="409">
        <f t="shared" si="132"/>
        <v>878</v>
      </c>
      <c r="AY143" s="412">
        <f t="shared" si="119"/>
        <v>0.29384965831435084</v>
      </c>
      <c r="AZ143" s="409">
        <f t="shared" si="133"/>
        <v>258.00000000000006</v>
      </c>
      <c r="BA143" s="412">
        <f t="shared" si="120"/>
        <v>0.70615034168564916</v>
      </c>
      <c r="BB143" s="409">
        <f t="shared" si="134"/>
        <v>620</v>
      </c>
      <c r="BC143" s="579">
        <v>0</v>
      </c>
      <c r="BD143" s="569">
        <v>1</v>
      </c>
      <c r="BE143" s="413">
        <f t="shared" si="121"/>
        <v>878</v>
      </c>
      <c r="BF143" s="414">
        <f t="shared" si="135"/>
        <v>12.899999999999999</v>
      </c>
      <c r="BG143" s="518">
        <v>3</v>
      </c>
      <c r="BH143" s="518" t="s">
        <v>299</v>
      </c>
      <c r="BI143" s="412">
        <f t="shared" si="136"/>
        <v>0.34168564920273348</v>
      </c>
      <c r="BJ143" s="409">
        <f t="shared" si="137"/>
        <v>300</v>
      </c>
      <c r="BK143" s="414">
        <f t="shared" si="138"/>
        <v>5.7799999999999994</v>
      </c>
      <c r="BL143" s="580">
        <v>0.34</v>
      </c>
      <c r="BM143" s="409">
        <f t="shared" si="139"/>
        <v>298.52000000000004</v>
      </c>
      <c r="BN143" s="518">
        <v>3</v>
      </c>
      <c r="BO143" s="412">
        <f t="shared" si="122"/>
        <v>0.34168564920273348</v>
      </c>
      <c r="BP143" s="414">
        <f t="shared" si="123"/>
        <v>5.7799999999999994</v>
      </c>
      <c r="BQ143" s="559">
        <v>0.34</v>
      </c>
      <c r="BR143" s="590"/>
      <c r="BS143" s="595">
        <v>41996</v>
      </c>
      <c r="BT143" s="415">
        <f t="shared" si="90"/>
        <v>42361</v>
      </c>
      <c r="BU143" s="579">
        <v>206</v>
      </c>
      <c r="BV143" s="579">
        <v>0</v>
      </c>
      <c r="BW143" s="416">
        <f t="shared" si="91"/>
        <v>1</v>
      </c>
      <c r="BX143" s="417">
        <f t="shared" si="124"/>
        <v>0.99516908212560384</v>
      </c>
      <c r="BY143" s="409">
        <f t="shared" si="125"/>
        <v>873.75845410628017</v>
      </c>
      <c r="BZ143" s="446">
        <f t="shared" si="92"/>
        <v>4</v>
      </c>
      <c r="CA143" s="598"/>
      <c r="CB143" s="559">
        <v>0.25</v>
      </c>
      <c r="CC143" s="451">
        <f t="shared" si="140"/>
        <v>219.5</v>
      </c>
      <c r="CD143" s="598">
        <v>12</v>
      </c>
      <c r="CE143" s="418" t="str">
        <f t="shared" si="141"/>
        <v>Excellent coverage</v>
      </c>
      <c r="CF143" s="550">
        <v>0</v>
      </c>
      <c r="CG143" s="607" t="s">
        <v>66</v>
      </c>
      <c r="CH143" s="604"/>
    </row>
    <row r="144" spans="2:86" s="40" customFormat="1" ht="30.75" customHeight="1" x14ac:dyDescent="0.2">
      <c r="B144" s="512" t="s">
        <v>186</v>
      </c>
      <c r="C144" s="513"/>
      <c r="D144" s="514" t="s">
        <v>273</v>
      </c>
      <c r="E144" s="513" t="s">
        <v>765</v>
      </c>
      <c r="F144" s="514">
        <v>97.602490000000003</v>
      </c>
      <c r="G144" s="514">
        <v>24.000039999999998</v>
      </c>
      <c r="H144" s="514" t="s">
        <v>467</v>
      </c>
      <c r="I144" s="514" t="s">
        <v>226</v>
      </c>
      <c r="J144" s="518">
        <v>53</v>
      </c>
      <c r="K144" s="518">
        <v>201</v>
      </c>
      <c r="L144" s="518">
        <v>201</v>
      </c>
      <c r="M144" s="405" t="str">
        <f t="shared" si="109"/>
        <v>2. Medium</v>
      </c>
      <c r="N144" s="519"/>
      <c r="O144" s="533" t="s">
        <v>293</v>
      </c>
      <c r="P144" s="439" t="str">
        <f t="shared" si="126"/>
        <v>Covered</v>
      </c>
      <c r="Q144" s="534">
        <v>42185</v>
      </c>
      <c r="R144" s="514" t="s">
        <v>424</v>
      </c>
      <c r="S144" s="534">
        <v>42185</v>
      </c>
      <c r="T144" s="536" t="s">
        <v>260</v>
      </c>
      <c r="U144" s="436" t="str">
        <f t="shared" si="127"/>
        <v>Documented</v>
      </c>
      <c r="V144" s="544">
        <v>0</v>
      </c>
      <c r="W144" s="518">
        <v>0</v>
      </c>
      <c r="X144" s="545" t="s">
        <v>19</v>
      </c>
      <c r="Y144" s="544">
        <v>1</v>
      </c>
      <c r="Z144" s="518">
        <v>0</v>
      </c>
      <c r="AA144" s="545">
        <v>0</v>
      </c>
      <c r="AB144" s="558">
        <v>0</v>
      </c>
      <c r="AC144" s="559">
        <v>0</v>
      </c>
      <c r="AD144" s="443">
        <f t="shared" si="110"/>
        <v>1</v>
      </c>
      <c r="AE144" s="407">
        <f t="shared" si="128"/>
        <v>201</v>
      </c>
      <c r="AF144" s="408">
        <f t="shared" si="111"/>
        <v>1</v>
      </c>
      <c r="AG144" s="409">
        <f t="shared" si="129"/>
        <v>201</v>
      </c>
      <c r="AH144" s="406">
        <f t="shared" si="112"/>
        <v>1</v>
      </c>
      <c r="AI144" s="409">
        <f t="shared" si="130"/>
        <v>201</v>
      </c>
      <c r="AJ144" s="410" t="str">
        <f t="shared" si="113"/>
        <v>80-100%</v>
      </c>
      <c r="AK144" s="406">
        <f t="shared" si="114"/>
        <v>0</v>
      </c>
      <c r="AL144" s="411">
        <f t="shared" si="115"/>
        <v>0</v>
      </c>
      <c r="AM144" s="409">
        <f t="shared" si="116"/>
        <v>0</v>
      </c>
      <c r="AN144" s="409">
        <f t="shared" si="117"/>
        <v>0</v>
      </c>
      <c r="AO144" s="409">
        <f t="shared" si="131"/>
        <v>0</v>
      </c>
      <c r="AP144" s="569">
        <v>1</v>
      </c>
      <c r="AQ144" s="567">
        <f t="shared" si="142"/>
        <v>201</v>
      </c>
      <c r="AR144" s="559" t="s">
        <v>844</v>
      </c>
      <c r="AS144" s="544">
        <v>0</v>
      </c>
      <c r="AT144" s="518">
        <v>0</v>
      </c>
      <c r="AU144" s="518">
        <v>20</v>
      </c>
      <c r="AV144" s="518" t="s">
        <v>299</v>
      </c>
      <c r="AW144" s="412">
        <f t="shared" si="118"/>
        <v>1</v>
      </c>
      <c r="AX144" s="409">
        <f t="shared" si="132"/>
        <v>201</v>
      </c>
      <c r="AY144" s="412">
        <f t="shared" si="119"/>
        <v>0</v>
      </c>
      <c r="AZ144" s="409">
        <f t="shared" si="133"/>
        <v>0</v>
      </c>
      <c r="BA144" s="412">
        <f t="shared" si="120"/>
        <v>1</v>
      </c>
      <c r="BB144" s="409">
        <f t="shared" si="134"/>
        <v>201</v>
      </c>
      <c r="BC144" s="579">
        <v>0</v>
      </c>
      <c r="BD144" s="569">
        <v>1</v>
      </c>
      <c r="BE144" s="413">
        <f t="shared" si="121"/>
        <v>201</v>
      </c>
      <c r="BF144" s="414">
        <f t="shared" si="135"/>
        <v>0</v>
      </c>
      <c r="BG144" s="518">
        <v>4</v>
      </c>
      <c r="BH144" s="518" t="s">
        <v>299</v>
      </c>
      <c r="BI144" s="412">
        <f t="shared" si="136"/>
        <v>1</v>
      </c>
      <c r="BJ144" s="409">
        <f t="shared" si="137"/>
        <v>201</v>
      </c>
      <c r="BK144" s="414">
        <f t="shared" si="138"/>
        <v>0</v>
      </c>
      <c r="BL144" s="580">
        <v>1</v>
      </c>
      <c r="BM144" s="409">
        <f t="shared" si="139"/>
        <v>201</v>
      </c>
      <c r="BN144" s="518">
        <v>5</v>
      </c>
      <c r="BO144" s="412">
        <f t="shared" si="122"/>
        <v>1</v>
      </c>
      <c r="BP144" s="414">
        <f t="shared" si="123"/>
        <v>0</v>
      </c>
      <c r="BQ144" s="559">
        <v>1</v>
      </c>
      <c r="BR144" s="590" t="s">
        <v>779</v>
      </c>
      <c r="BS144" s="595">
        <v>42107</v>
      </c>
      <c r="BT144" s="415">
        <f t="shared" si="90"/>
        <v>42472</v>
      </c>
      <c r="BU144" s="579">
        <v>47</v>
      </c>
      <c r="BV144" s="579">
        <v>0</v>
      </c>
      <c r="BW144" s="416">
        <f t="shared" si="91"/>
        <v>6</v>
      </c>
      <c r="BX144" s="417">
        <f t="shared" si="124"/>
        <v>0.8867924528301887</v>
      </c>
      <c r="BY144" s="409">
        <f t="shared" si="125"/>
        <v>178.24528301886792</v>
      </c>
      <c r="BZ144" s="446">
        <f t="shared" si="92"/>
        <v>1</v>
      </c>
      <c r="CA144" s="598"/>
      <c r="CB144" s="559">
        <v>0</v>
      </c>
      <c r="CC144" s="451">
        <f t="shared" si="140"/>
        <v>0</v>
      </c>
      <c r="CD144" s="598">
        <v>3</v>
      </c>
      <c r="CE144" s="418" t="str">
        <f t="shared" si="141"/>
        <v>Excellent coverage</v>
      </c>
      <c r="CF144" s="550">
        <v>0</v>
      </c>
      <c r="CG144" s="607" t="s">
        <v>301</v>
      </c>
      <c r="CH144" s="604"/>
    </row>
    <row r="145" spans="2:86" s="40" customFormat="1" ht="30.75" customHeight="1" x14ac:dyDescent="0.2">
      <c r="B145" s="512" t="s">
        <v>186</v>
      </c>
      <c r="C145" s="513" t="s">
        <v>572</v>
      </c>
      <c r="D145" s="514" t="s">
        <v>273</v>
      </c>
      <c r="E145" s="513" t="s">
        <v>838</v>
      </c>
      <c r="F145" s="514">
        <v>97.625617000000005</v>
      </c>
      <c r="G145" s="514">
        <v>24.056132999999999</v>
      </c>
      <c r="H145" s="514" t="s">
        <v>467</v>
      </c>
      <c r="I145" s="514" t="s">
        <v>226</v>
      </c>
      <c r="J145" s="518">
        <v>545</v>
      </c>
      <c r="K145" s="518">
        <v>2561</v>
      </c>
      <c r="L145" s="518">
        <v>2561</v>
      </c>
      <c r="M145" s="405" t="str">
        <f t="shared" si="109"/>
        <v>4. Big</v>
      </c>
      <c r="N145" s="519" t="s">
        <v>235</v>
      </c>
      <c r="O145" s="533" t="s">
        <v>293</v>
      </c>
      <c r="P145" s="439" t="str">
        <f t="shared" si="126"/>
        <v>Covered</v>
      </c>
      <c r="Q145" s="534">
        <v>42185</v>
      </c>
      <c r="R145" s="514" t="s">
        <v>424</v>
      </c>
      <c r="S145" s="534">
        <v>42185</v>
      </c>
      <c r="T145" s="536" t="s">
        <v>260</v>
      </c>
      <c r="U145" s="436" t="str">
        <f t="shared" si="127"/>
        <v>Documented</v>
      </c>
      <c r="V145" s="544">
        <v>0</v>
      </c>
      <c r="W145" s="518">
        <v>0</v>
      </c>
      <c r="X145" s="545" t="s">
        <v>19</v>
      </c>
      <c r="Y145" s="544">
        <v>2</v>
      </c>
      <c r="Z145" s="518">
        <v>0</v>
      </c>
      <c r="AA145" s="545">
        <v>128565</v>
      </c>
      <c r="AB145" s="558">
        <v>0</v>
      </c>
      <c r="AC145" s="559">
        <v>0.5</v>
      </c>
      <c r="AD145" s="443">
        <f t="shared" si="110"/>
        <v>1</v>
      </c>
      <c r="AE145" s="407">
        <f t="shared" si="128"/>
        <v>2561</v>
      </c>
      <c r="AF145" s="408">
        <f t="shared" si="111"/>
        <v>1</v>
      </c>
      <c r="AG145" s="409">
        <f t="shared" si="129"/>
        <v>2561</v>
      </c>
      <c r="AH145" s="406">
        <f t="shared" si="112"/>
        <v>1</v>
      </c>
      <c r="AI145" s="409">
        <f t="shared" si="130"/>
        <v>2561</v>
      </c>
      <c r="AJ145" s="410" t="str">
        <f t="shared" si="113"/>
        <v>80-100%</v>
      </c>
      <c r="AK145" s="406">
        <f t="shared" si="114"/>
        <v>0</v>
      </c>
      <c r="AL145" s="411">
        <f t="shared" si="115"/>
        <v>0</v>
      </c>
      <c r="AM145" s="409">
        <f t="shared" si="116"/>
        <v>4.4024999999999999</v>
      </c>
      <c r="AN145" s="409">
        <f t="shared" si="117"/>
        <v>272.5</v>
      </c>
      <c r="AO145" s="409">
        <f t="shared" si="131"/>
        <v>0</v>
      </c>
      <c r="AP145" s="569">
        <v>1</v>
      </c>
      <c r="AQ145" s="567">
        <f t="shared" si="142"/>
        <v>2561</v>
      </c>
      <c r="AR145" s="559"/>
      <c r="AS145" s="544">
        <v>84</v>
      </c>
      <c r="AT145" s="518">
        <v>20</v>
      </c>
      <c r="AU145" s="518">
        <v>72</v>
      </c>
      <c r="AV145" s="518" t="s">
        <v>300</v>
      </c>
      <c r="AW145" s="412">
        <f t="shared" si="118"/>
        <v>0.71846934791097228</v>
      </c>
      <c r="AX145" s="409">
        <f t="shared" si="132"/>
        <v>1840</v>
      </c>
      <c r="AY145" s="412">
        <f t="shared" si="119"/>
        <v>0.15618898867629827</v>
      </c>
      <c r="AZ145" s="409">
        <f t="shared" si="133"/>
        <v>399.99999999999989</v>
      </c>
      <c r="BA145" s="412">
        <f t="shared" si="120"/>
        <v>0.56228035923467401</v>
      </c>
      <c r="BB145" s="409">
        <f t="shared" si="134"/>
        <v>1440.0000000000002</v>
      </c>
      <c r="BC145" s="579">
        <v>1</v>
      </c>
      <c r="BD145" s="569">
        <v>0.72</v>
      </c>
      <c r="BE145" s="413">
        <f t="shared" si="121"/>
        <v>1843.9199999999998</v>
      </c>
      <c r="BF145" s="414">
        <f t="shared" si="135"/>
        <v>57.050000000000011</v>
      </c>
      <c r="BG145" s="518">
        <v>1</v>
      </c>
      <c r="BH145" s="518" t="s">
        <v>91</v>
      </c>
      <c r="BI145" s="412">
        <f t="shared" si="136"/>
        <v>3.9047247169074581E-2</v>
      </c>
      <c r="BJ145" s="409">
        <f t="shared" si="137"/>
        <v>100</v>
      </c>
      <c r="BK145" s="414">
        <f t="shared" si="138"/>
        <v>24.61</v>
      </c>
      <c r="BL145" s="580">
        <v>0.04</v>
      </c>
      <c r="BM145" s="409">
        <f t="shared" si="139"/>
        <v>102.44</v>
      </c>
      <c r="BN145" s="518">
        <v>0</v>
      </c>
      <c r="BO145" s="412">
        <f t="shared" si="122"/>
        <v>0</v>
      </c>
      <c r="BP145" s="414">
        <f t="shared" si="123"/>
        <v>25.61</v>
      </c>
      <c r="BQ145" s="559">
        <v>0</v>
      </c>
      <c r="BR145" s="590" t="s">
        <v>864</v>
      </c>
      <c r="BS145" s="595">
        <v>41996</v>
      </c>
      <c r="BT145" s="415">
        <f t="shared" si="90"/>
        <v>42361</v>
      </c>
      <c r="BU145" s="579">
        <v>563</v>
      </c>
      <c r="BV145" s="579">
        <v>0</v>
      </c>
      <c r="BW145" s="416">
        <f t="shared" si="91"/>
        <v>0</v>
      </c>
      <c r="BX145" s="417">
        <f t="shared" si="124"/>
        <v>1</v>
      </c>
      <c r="BY145" s="409">
        <f t="shared" si="125"/>
        <v>2561</v>
      </c>
      <c r="BZ145" s="446">
        <f t="shared" si="92"/>
        <v>4</v>
      </c>
      <c r="CA145" s="598"/>
      <c r="CB145" s="559">
        <v>0.25</v>
      </c>
      <c r="CC145" s="451">
        <f t="shared" si="140"/>
        <v>640.25</v>
      </c>
      <c r="CD145" s="598">
        <v>25</v>
      </c>
      <c r="CE145" s="418" t="str">
        <f t="shared" si="141"/>
        <v>Excellent coverage</v>
      </c>
      <c r="CF145" s="550">
        <v>0</v>
      </c>
      <c r="CG145" s="607" t="s">
        <v>301</v>
      </c>
      <c r="CH145" s="604"/>
    </row>
    <row r="146" spans="2:86" s="40" customFormat="1" ht="30.75" customHeight="1" x14ac:dyDescent="0.2">
      <c r="B146" s="512" t="s">
        <v>188</v>
      </c>
      <c r="C146" s="513" t="s">
        <v>734</v>
      </c>
      <c r="D146" s="514" t="s">
        <v>273</v>
      </c>
      <c r="E146" s="513" t="s">
        <v>191</v>
      </c>
      <c r="F146" s="514">
        <v>97.669366999999994</v>
      </c>
      <c r="G146" s="514">
        <v>24.378167000000001</v>
      </c>
      <c r="H146" s="514" t="s">
        <v>467</v>
      </c>
      <c r="I146" s="514" t="s">
        <v>226</v>
      </c>
      <c r="J146" s="518">
        <v>369</v>
      </c>
      <c r="K146" s="518">
        <v>1633</v>
      </c>
      <c r="L146" s="518">
        <v>1633</v>
      </c>
      <c r="M146" s="405" t="str">
        <f t="shared" si="109"/>
        <v>3. Large</v>
      </c>
      <c r="N146" s="519" t="s">
        <v>235</v>
      </c>
      <c r="O146" s="533" t="s">
        <v>293</v>
      </c>
      <c r="P146" s="439" t="str">
        <f t="shared" si="126"/>
        <v>Covered</v>
      </c>
      <c r="Q146" s="534">
        <v>42185</v>
      </c>
      <c r="R146" s="514" t="s">
        <v>424</v>
      </c>
      <c r="S146" s="534">
        <v>42185</v>
      </c>
      <c r="T146" s="536" t="s">
        <v>260</v>
      </c>
      <c r="U146" s="436" t="str">
        <f t="shared" si="127"/>
        <v>Documented</v>
      </c>
      <c r="V146" s="544">
        <v>0</v>
      </c>
      <c r="W146" s="518">
        <v>0</v>
      </c>
      <c r="X146" s="545" t="s">
        <v>19</v>
      </c>
      <c r="Y146" s="544">
        <v>0</v>
      </c>
      <c r="Z146" s="518">
        <v>0</v>
      </c>
      <c r="AA146" s="545">
        <v>216000</v>
      </c>
      <c r="AB146" s="558">
        <v>0</v>
      </c>
      <c r="AC146" s="559">
        <v>1</v>
      </c>
      <c r="AD146" s="443">
        <f t="shared" si="110"/>
        <v>1</v>
      </c>
      <c r="AE146" s="407">
        <f t="shared" si="128"/>
        <v>1633</v>
      </c>
      <c r="AF146" s="408">
        <f t="shared" si="111"/>
        <v>1</v>
      </c>
      <c r="AG146" s="409">
        <f t="shared" si="129"/>
        <v>1633</v>
      </c>
      <c r="AH146" s="406">
        <f t="shared" si="112"/>
        <v>1</v>
      </c>
      <c r="AI146" s="409">
        <f t="shared" si="130"/>
        <v>1633</v>
      </c>
      <c r="AJ146" s="410" t="str">
        <f t="shared" si="113"/>
        <v>80-100%</v>
      </c>
      <c r="AK146" s="406">
        <f t="shared" si="114"/>
        <v>0</v>
      </c>
      <c r="AL146" s="411">
        <f t="shared" si="115"/>
        <v>0</v>
      </c>
      <c r="AM146" s="409">
        <f t="shared" si="116"/>
        <v>4.0824999999999996</v>
      </c>
      <c r="AN146" s="409">
        <f t="shared" si="117"/>
        <v>369</v>
      </c>
      <c r="AO146" s="409">
        <f t="shared" si="131"/>
        <v>0</v>
      </c>
      <c r="AP146" s="569">
        <v>1</v>
      </c>
      <c r="AQ146" s="567">
        <f t="shared" si="142"/>
        <v>1633</v>
      </c>
      <c r="AR146" s="559"/>
      <c r="AS146" s="544">
        <v>50</v>
      </c>
      <c r="AT146" s="518">
        <v>50</v>
      </c>
      <c r="AU146" s="518">
        <v>54</v>
      </c>
      <c r="AV146" s="518" t="s">
        <v>91</v>
      </c>
      <c r="AW146" s="412">
        <f t="shared" si="118"/>
        <v>1</v>
      </c>
      <c r="AX146" s="409">
        <f t="shared" si="132"/>
        <v>1633</v>
      </c>
      <c r="AY146" s="412">
        <f t="shared" si="119"/>
        <v>0.33864053888548684</v>
      </c>
      <c r="AZ146" s="409">
        <f t="shared" si="133"/>
        <v>553</v>
      </c>
      <c r="BA146" s="412">
        <f t="shared" si="120"/>
        <v>0.66135946111451316</v>
      </c>
      <c r="BB146" s="409">
        <f t="shared" si="134"/>
        <v>1080</v>
      </c>
      <c r="BC146" s="579">
        <v>18</v>
      </c>
      <c r="BD146" s="569">
        <v>1</v>
      </c>
      <c r="BE146" s="413">
        <f t="shared" si="121"/>
        <v>1633</v>
      </c>
      <c r="BF146" s="414">
        <f t="shared" si="135"/>
        <v>45.650000000000006</v>
      </c>
      <c r="BG146" s="518">
        <v>7</v>
      </c>
      <c r="BH146" s="518" t="s">
        <v>91</v>
      </c>
      <c r="BI146" s="412">
        <f t="shared" si="136"/>
        <v>0.42865890998162892</v>
      </c>
      <c r="BJ146" s="409">
        <f t="shared" si="137"/>
        <v>700</v>
      </c>
      <c r="BK146" s="414">
        <f t="shared" si="138"/>
        <v>9.3299999999999983</v>
      </c>
      <c r="BL146" s="580">
        <v>0.43</v>
      </c>
      <c r="BM146" s="409">
        <f t="shared" si="139"/>
        <v>702.18999999999994</v>
      </c>
      <c r="BN146" s="518">
        <v>10</v>
      </c>
      <c r="BO146" s="412">
        <f t="shared" si="122"/>
        <v>0.61236987140232702</v>
      </c>
      <c r="BP146" s="414">
        <f t="shared" si="123"/>
        <v>6.3299999999999983</v>
      </c>
      <c r="BQ146" s="559">
        <v>0.85</v>
      </c>
      <c r="BR146" s="590" t="s">
        <v>865</v>
      </c>
      <c r="BS146" s="595">
        <v>41996</v>
      </c>
      <c r="BT146" s="415">
        <f t="shared" si="90"/>
        <v>42361</v>
      </c>
      <c r="BU146" s="579">
        <v>378</v>
      </c>
      <c r="BV146" s="579">
        <v>0</v>
      </c>
      <c r="BW146" s="416">
        <f t="shared" si="91"/>
        <v>0</v>
      </c>
      <c r="BX146" s="417">
        <f t="shared" si="124"/>
        <v>1</v>
      </c>
      <c r="BY146" s="409">
        <f t="shared" si="125"/>
        <v>1633</v>
      </c>
      <c r="BZ146" s="446">
        <f t="shared" si="92"/>
        <v>4</v>
      </c>
      <c r="CA146" s="598"/>
      <c r="CB146" s="559">
        <v>0.65</v>
      </c>
      <c r="CC146" s="451">
        <f t="shared" si="140"/>
        <v>1061.45</v>
      </c>
      <c r="CD146" s="598">
        <v>15</v>
      </c>
      <c r="CE146" s="418" t="str">
        <f t="shared" si="141"/>
        <v>Excellent coverage</v>
      </c>
      <c r="CF146" s="550">
        <v>0</v>
      </c>
      <c r="CG146" s="607" t="s">
        <v>301</v>
      </c>
      <c r="CH146" s="604"/>
    </row>
    <row r="147" spans="2:86" s="40" customFormat="1" ht="30.75" customHeight="1" x14ac:dyDescent="0.2">
      <c r="B147" s="512" t="s">
        <v>188</v>
      </c>
      <c r="C147" s="513" t="s">
        <v>735</v>
      </c>
      <c r="D147" s="514" t="s">
        <v>273</v>
      </c>
      <c r="E147" s="513" t="s">
        <v>647</v>
      </c>
      <c r="F147" s="514">
        <v>97.751050000000006</v>
      </c>
      <c r="G147" s="514">
        <v>24.279910000000001</v>
      </c>
      <c r="H147" s="514" t="s">
        <v>467</v>
      </c>
      <c r="I147" s="514" t="s">
        <v>226</v>
      </c>
      <c r="J147" s="518">
        <v>128</v>
      </c>
      <c r="K147" s="518">
        <v>538</v>
      </c>
      <c r="L147" s="518">
        <v>538</v>
      </c>
      <c r="M147" s="405" t="str">
        <f t="shared" si="109"/>
        <v>2. Medium</v>
      </c>
      <c r="N147" s="519" t="s">
        <v>235</v>
      </c>
      <c r="O147" s="533" t="s">
        <v>293</v>
      </c>
      <c r="P147" s="439" t="str">
        <f t="shared" si="126"/>
        <v>Covered</v>
      </c>
      <c r="Q147" s="534">
        <v>42185</v>
      </c>
      <c r="R147" s="514" t="s">
        <v>424</v>
      </c>
      <c r="S147" s="534">
        <v>42185</v>
      </c>
      <c r="T147" s="536" t="s">
        <v>260</v>
      </c>
      <c r="U147" s="436" t="str">
        <f t="shared" si="127"/>
        <v>Documented</v>
      </c>
      <c r="V147" s="544">
        <v>0</v>
      </c>
      <c r="W147" s="518">
        <v>0</v>
      </c>
      <c r="X147" s="545" t="s">
        <v>19</v>
      </c>
      <c r="Y147" s="544">
        <v>0</v>
      </c>
      <c r="Z147" s="518">
        <v>0</v>
      </c>
      <c r="AA147" s="545">
        <v>94000</v>
      </c>
      <c r="AB147" s="558">
        <v>0</v>
      </c>
      <c r="AC147" s="559">
        <v>0.5</v>
      </c>
      <c r="AD147" s="443">
        <f t="shared" si="110"/>
        <v>1</v>
      </c>
      <c r="AE147" s="407">
        <f t="shared" si="128"/>
        <v>538</v>
      </c>
      <c r="AF147" s="408">
        <f t="shared" si="111"/>
        <v>1</v>
      </c>
      <c r="AG147" s="409">
        <f t="shared" si="129"/>
        <v>538</v>
      </c>
      <c r="AH147" s="406">
        <f t="shared" si="112"/>
        <v>1</v>
      </c>
      <c r="AI147" s="409">
        <f t="shared" si="130"/>
        <v>538</v>
      </c>
      <c r="AJ147" s="410" t="str">
        <f t="shared" si="113"/>
        <v>80-100%</v>
      </c>
      <c r="AK147" s="406">
        <f t="shared" si="114"/>
        <v>0</v>
      </c>
      <c r="AL147" s="411">
        <f t="shared" si="115"/>
        <v>0</v>
      </c>
      <c r="AM147" s="409">
        <f t="shared" si="116"/>
        <v>1.345</v>
      </c>
      <c r="AN147" s="409">
        <f t="shared" si="117"/>
        <v>64</v>
      </c>
      <c r="AO147" s="409">
        <f t="shared" si="131"/>
        <v>0</v>
      </c>
      <c r="AP147" s="569">
        <v>1</v>
      </c>
      <c r="AQ147" s="567">
        <f t="shared" si="142"/>
        <v>538</v>
      </c>
      <c r="AR147" s="559"/>
      <c r="AS147" s="544">
        <v>10</v>
      </c>
      <c r="AT147" s="518">
        <v>10</v>
      </c>
      <c r="AU147" s="518">
        <v>30</v>
      </c>
      <c r="AV147" s="518" t="s">
        <v>91</v>
      </c>
      <c r="AW147" s="412">
        <f t="shared" si="118"/>
        <v>1</v>
      </c>
      <c r="AX147" s="409">
        <f t="shared" si="132"/>
        <v>538</v>
      </c>
      <c r="AY147" s="412">
        <f t="shared" si="119"/>
        <v>0</v>
      </c>
      <c r="AZ147" s="409">
        <f t="shared" si="133"/>
        <v>0</v>
      </c>
      <c r="BA147" s="412">
        <f t="shared" si="120"/>
        <v>1</v>
      </c>
      <c r="BB147" s="409">
        <f t="shared" si="134"/>
        <v>538</v>
      </c>
      <c r="BC147" s="579">
        <v>0</v>
      </c>
      <c r="BD147" s="569">
        <v>1</v>
      </c>
      <c r="BE147" s="413">
        <f t="shared" si="121"/>
        <v>538</v>
      </c>
      <c r="BF147" s="414">
        <f t="shared" si="135"/>
        <v>0</v>
      </c>
      <c r="BG147" s="518">
        <v>4</v>
      </c>
      <c r="BH147" s="518" t="s">
        <v>300</v>
      </c>
      <c r="BI147" s="412">
        <f t="shared" si="136"/>
        <v>0.74349442379182151</v>
      </c>
      <c r="BJ147" s="409">
        <f t="shared" si="137"/>
        <v>400</v>
      </c>
      <c r="BK147" s="414">
        <f t="shared" si="138"/>
        <v>1.38</v>
      </c>
      <c r="BL147" s="580">
        <v>0.74</v>
      </c>
      <c r="BM147" s="409">
        <f t="shared" si="139"/>
        <v>398.12</v>
      </c>
      <c r="BN147" s="518">
        <v>16</v>
      </c>
      <c r="BO147" s="412">
        <f t="shared" si="122"/>
        <v>1</v>
      </c>
      <c r="BP147" s="414">
        <f t="shared" si="123"/>
        <v>0</v>
      </c>
      <c r="BQ147" s="559">
        <v>1</v>
      </c>
      <c r="BR147" s="590"/>
      <c r="BS147" s="595">
        <v>41996</v>
      </c>
      <c r="BT147" s="415">
        <f t="shared" si="90"/>
        <v>42361</v>
      </c>
      <c r="BU147" s="579">
        <v>228</v>
      </c>
      <c r="BV147" s="579">
        <v>0</v>
      </c>
      <c r="BW147" s="416">
        <f t="shared" si="91"/>
        <v>0</v>
      </c>
      <c r="BX147" s="417">
        <f t="shared" si="124"/>
        <v>1</v>
      </c>
      <c r="BY147" s="409">
        <f t="shared" si="125"/>
        <v>538</v>
      </c>
      <c r="BZ147" s="446">
        <f t="shared" si="92"/>
        <v>4</v>
      </c>
      <c r="CA147" s="598"/>
      <c r="CB147" s="559">
        <v>0.4</v>
      </c>
      <c r="CC147" s="451">
        <f t="shared" si="140"/>
        <v>215.20000000000002</v>
      </c>
      <c r="CD147" s="598">
        <v>14</v>
      </c>
      <c r="CE147" s="418" t="str">
        <f t="shared" si="141"/>
        <v>Excellent coverage</v>
      </c>
      <c r="CF147" s="550">
        <v>0</v>
      </c>
      <c r="CG147" s="607" t="s">
        <v>301</v>
      </c>
      <c r="CH147" s="604"/>
    </row>
    <row r="148" spans="2:86" s="40" customFormat="1" ht="30.75" customHeight="1" x14ac:dyDescent="0.2">
      <c r="B148" s="512" t="s">
        <v>188</v>
      </c>
      <c r="C148" s="513" t="s">
        <v>735</v>
      </c>
      <c r="D148" s="514" t="s">
        <v>273</v>
      </c>
      <c r="E148" s="513" t="s">
        <v>648</v>
      </c>
      <c r="F148" s="514">
        <v>97.754009999999994</v>
      </c>
      <c r="G148" s="514">
        <v>24.275549999999999</v>
      </c>
      <c r="H148" s="514" t="s">
        <v>467</v>
      </c>
      <c r="I148" s="514" t="s">
        <v>226</v>
      </c>
      <c r="J148" s="518">
        <v>58</v>
      </c>
      <c r="K148" s="518">
        <v>251</v>
      </c>
      <c r="L148" s="518">
        <v>251</v>
      </c>
      <c r="M148" s="405" t="str">
        <f t="shared" si="109"/>
        <v>2. Medium</v>
      </c>
      <c r="N148" s="519" t="s">
        <v>235</v>
      </c>
      <c r="O148" s="533" t="s">
        <v>293</v>
      </c>
      <c r="P148" s="439" t="str">
        <f t="shared" si="126"/>
        <v>Covered</v>
      </c>
      <c r="Q148" s="534">
        <v>42185</v>
      </c>
      <c r="R148" s="514" t="s">
        <v>424</v>
      </c>
      <c r="S148" s="534">
        <v>42185</v>
      </c>
      <c r="T148" s="536" t="s">
        <v>260</v>
      </c>
      <c r="U148" s="436" t="str">
        <f t="shared" si="127"/>
        <v>Documented</v>
      </c>
      <c r="V148" s="544">
        <v>0</v>
      </c>
      <c r="W148" s="518">
        <v>0</v>
      </c>
      <c r="X148" s="545" t="s">
        <v>19</v>
      </c>
      <c r="Y148" s="544">
        <v>0</v>
      </c>
      <c r="Z148" s="518">
        <v>0</v>
      </c>
      <c r="AA148" s="545">
        <v>8640</v>
      </c>
      <c r="AB148" s="558">
        <v>0</v>
      </c>
      <c r="AC148" s="559">
        <v>0</v>
      </c>
      <c r="AD148" s="443">
        <f t="shared" si="110"/>
        <v>1</v>
      </c>
      <c r="AE148" s="407">
        <f t="shared" si="128"/>
        <v>251</v>
      </c>
      <c r="AF148" s="408">
        <f t="shared" si="111"/>
        <v>1</v>
      </c>
      <c r="AG148" s="409">
        <f t="shared" si="129"/>
        <v>251</v>
      </c>
      <c r="AH148" s="406">
        <f t="shared" si="112"/>
        <v>1</v>
      </c>
      <c r="AI148" s="409">
        <f t="shared" si="130"/>
        <v>251</v>
      </c>
      <c r="AJ148" s="410" t="str">
        <f t="shared" si="113"/>
        <v>80-100%</v>
      </c>
      <c r="AK148" s="406">
        <f t="shared" si="114"/>
        <v>0</v>
      </c>
      <c r="AL148" s="411">
        <f t="shared" si="115"/>
        <v>0</v>
      </c>
      <c r="AM148" s="409">
        <f t="shared" si="116"/>
        <v>0.62749999999999995</v>
      </c>
      <c r="AN148" s="409">
        <f t="shared" si="117"/>
        <v>0</v>
      </c>
      <c r="AO148" s="409">
        <f t="shared" si="131"/>
        <v>0</v>
      </c>
      <c r="AP148" s="569">
        <v>1</v>
      </c>
      <c r="AQ148" s="567">
        <f t="shared" si="142"/>
        <v>251</v>
      </c>
      <c r="AR148" s="559"/>
      <c r="AS148" s="544">
        <v>0</v>
      </c>
      <c r="AT148" s="518">
        <v>0</v>
      </c>
      <c r="AU148" s="518">
        <v>27</v>
      </c>
      <c r="AV148" s="518" t="s">
        <v>91</v>
      </c>
      <c r="AW148" s="412">
        <f t="shared" si="118"/>
        <v>1</v>
      </c>
      <c r="AX148" s="409">
        <f t="shared" si="132"/>
        <v>251</v>
      </c>
      <c r="AY148" s="412">
        <f t="shared" si="119"/>
        <v>0</v>
      </c>
      <c r="AZ148" s="409">
        <f t="shared" si="133"/>
        <v>0</v>
      </c>
      <c r="BA148" s="412">
        <f t="shared" si="120"/>
        <v>1</v>
      </c>
      <c r="BB148" s="409">
        <f t="shared" si="134"/>
        <v>251</v>
      </c>
      <c r="BC148" s="579">
        <v>0</v>
      </c>
      <c r="BD148" s="569">
        <v>1</v>
      </c>
      <c r="BE148" s="413">
        <f t="shared" si="121"/>
        <v>251</v>
      </c>
      <c r="BF148" s="414">
        <f t="shared" si="135"/>
        <v>0</v>
      </c>
      <c r="BG148" s="518">
        <v>1</v>
      </c>
      <c r="BH148" s="518" t="s">
        <v>91</v>
      </c>
      <c r="BI148" s="412">
        <f t="shared" si="136"/>
        <v>0.39840637450199201</v>
      </c>
      <c r="BJ148" s="409">
        <f t="shared" si="137"/>
        <v>100</v>
      </c>
      <c r="BK148" s="414">
        <f t="shared" si="138"/>
        <v>1.5099999999999998</v>
      </c>
      <c r="BL148" s="580">
        <v>0.4</v>
      </c>
      <c r="BM148" s="409">
        <f t="shared" si="139"/>
        <v>100.4</v>
      </c>
      <c r="BN148" s="518">
        <v>18</v>
      </c>
      <c r="BO148" s="412">
        <f t="shared" si="122"/>
        <v>1</v>
      </c>
      <c r="BP148" s="414">
        <f t="shared" si="123"/>
        <v>0</v>
      </c>
      <c r="BQ148" s="559">
        <v>1</v>
      </c>
      <c r="BR148" s="590"/>
      <c r="BS148" s="595">
        <v>41996</v>
      </c>
      <c r="BT148" s="415">
        <f t="shared" si="90"/>
        <v>42361</v>
      </c>
      <c r="BU148" s="579">
        <v>58</v>
      </c>
      <c r="BV148" s="579">
        <v>0</v>
      </c>
      <c r="BW148" s="416">
        <f t="shared" si="91"/>
        <v>0</v>
      </c>
      <c r="BX148" s="417">
        <f t="shared" si="124"/>
        <v>1</v>
      </c>
      <c r="BY148" s="409">
        <f t="shared" si="125"/>
        <v>251</v>
      </c>
      <c r="BZ148" s="446">
        <f t="shared" si="92"/>
        <v>4</v>
      </c>
      <c r="CA148" s="598"/>
      <c r="CB148" s="559">
        <v>0.2</v>
      </c>
      <c r="CC148" s="451">
        <f t="shared" si="140"/>
        <v>50.2</v>
      </c>
      <c r="CD148" s="598">
        <v>10</v>
      </c>
      <c r="CE148" s="418" t="str">
        <f t="shared" si="141"/>
        <v>Excellent coverage</v>
      </c>
      <c r="CF148" s="550">
        <v>0</v>
      </c>
      <c r="CG148" s="607" t="s">
        <v>301</v>
      </c>
      <c r="CH148" s="604"/>
    </row>
    <row r="149" spans="2:86" s="40" customFormat="1" ht="30.75" customHeight="1" x14ac:dyDescent="0.2">
      <c r="B149" s="512" t="s">
        <v>188</v>
      </c>
      <c r="C149" s="513" t="s">
        <v>735</v>
      </c>
      <c r="D149" s="514" t="s">
        <v>273</v>
      </c>
      <c r="E149" s="513" t="s">
        <v>649</v>
      </c>
      <c r="F149" s="514">
        <v>97.755750000000006</v>
      </c>
      <c r="G149" s="514">
        <v>24.273479999999999</v>
      </c>
      <c r="H149" s="514" t="s">
        <v>467</v>
      </c>
      <c r="I149" s="514" t="s">
        <v>226</v>
      </c>
      <c r="J149" s="518">
        <v>297</v>
      </c>
      <c r="K149" s="518">
        <v>1342</v>
      </c>
      <c r="L149" s="518">
        <v>1342</v>
      </c>
      <c r="M149" s="405" t="str">
        <f t="shared" si="109"/>
        <v>3. Large</v>
      </c>
      <c r="N149" s="519" t="s">
        <v>235</v>
      </c>
      <c r="O149" s="533" t="s">
        <v>293</v>
      </c>
      <c r="P149" s="439" t="str">
        <f t="shared" si="126"/>
        <v>Covered</v>
      </c>
      <c r="Q149" s="534">
        <v>42185</v>
      </c>
      <c r="R149" s="514" t="s">
        <v>424</v>
      </c>
      <c r="S149" s="534">
        <v>42185</v>
      </c>
      <c r="T149" s="536" t="s">
        <v>260</v>
      </c>
      <c r="U149" s="436" t="str">
        <f t="shared" si="127"/>
        <v>Documented</v>
      </c>
      <c r="V149" s="544">
        <v>0</v>
      </c>
      <c r="W149" s="518">
        <v>0</v>
      </c>
      <c r="X149" s="545" t="s">
        <v>19</v>
      </c>
      <c r="Y149" s="544">
        <v>0</v>
      </c>
      <c r="Z149" s="518">
        <v>0</v>
      </c>
      <c r="AA149" s="545">
        <v>99540</v>
      </c>
      <c r="AB149" s="558">
        <v>0</v>
      </c>
      <c r="AC149" s="559">
        <v>0.5</v>
      </c>
      <c r="AD149" s="443">
        <f t="shared" si="110"/>
        <v>1</v>
      </c>
      <c r="AE149" s="407">
        <f t="shared" si="128"/>
        <v>1342</v>
      </c>
      <c r="AF149" s="408">
        <f t="shared" si="111"/>
        <v>1</v>
      </c>
      <c r="AG149" s="409">
        <f t="shared" si="129"/>
        <v>1342</v>
      </c>
      <c r="AH149" s="406">
        <f t="shared" si="112"/>
        <v>1</v>
      </c>
      <c r="AI149" s="409">
        <f t="shared" si="130"/>
        <v>1342</v>
      </c>
      <c r="AJ149" s="410" t="str">
        <f t="shared" si="113"/>
        <v>80-100%</v>
      </c>
      <c r="AK149" s="406">
        <f t="shared" si="114"/>
        <v>0</v>
      </c>
      <c r="AL149" s="411">
        <f t="shared" si="115"/>
        <v>0</v>
      </c>
      <c r="AM149" s="409">
        <f t="shared" si="116"/>
        <v>3.355</v>
      </c>
      <c r="AN149" s="409">
        <f t="shared" si="117"/>
        <v>148.5</v>
      </c>
      <c r="AO149" s="409">
        <f t="shared" si="131"/>
        <v>0</v>
      </c>
      <c r="AP149" s="569">
        <v>1</v>
      </c>
      <c r="AQ149" s="567">
        <f t="shared" si="142"/>
        <v>1342</v>
      </c>
      <c r="AR149" s="559" t="s">
        <v>747</v>
      </c>
      <c r="AS149" s="544">
        <v>60</v>
      </c>
      <c r="AT149" s="518">
        <v>0</v>
      </c>
      <c r="AU149" s="518">
        <v>70</v>
      </c>
      <c r="AV149" s="518" t="s">
        <v>91</v>
      </c>
      <c r="AW149" s="412">
        <f t="shared" si="118"/>
        <v>1</v>
      </c>
      <c r="AX149" s="409">
        <f t="shared" si="132"/>
        <v>1342</v>
      </c>
      <c r="AY149" s="412">
        <f t="shared" si="119"/>
        <v>0</v>
      </c>
      <c r="AZ149" s="409">
        <f t="shared" si="133"/>
        <v>0</v>
      </c>
      <c r="BA149" s="412">
        <f t="shared" si="120"/>
        <v>1</v>
      </c>
      <c r="BB149" s="409">
        <f t="shared" si="134"/>
        <v>1342</v>
      </c>
      <c r="BC149" s="579">
        <v>0</v>
      </c>
      <c r="BD149" s="569">
        <v>1</v>
      </c>
      <c r="BE149" s="413">
        <f t="shared" si="121"/>
        <v>1342</v>
      </c>
      <c r="BF149" s="414">
        <f t="shared" si="135"/>
        <v>0</v>
      </c>
      <c r="BG149" s="518">
        <v>2</v>
      </c>
      <c r="BH149" s="518" t="s">
        <v>300</v>
      </c>
      <c r="BI149" s="412">
        <f t="shared" si="136"/>
        <v>0.14903129657228018</v>
      </c>
      <c r="BJ149" s="409">
        <f t="shared" si="137"/>
        <v>200</v>
      </c>
      <c r="BK149" s="414">
        <f t="shared" si="138"/>
        <v>11.42</v>
      </c>
      <c r="BL149" s="580">
        <v>0.15</v>
      </c>
      <c r="BM149" s="409">
        <f t="shared" si="139"/>
        <v>201.29999999999998</v>
      </c>
      <c r="BN149" s="518">
        <v>33</v>
      </c>
      <c r="BO149" s="412">
        <f t="shared" si="122"/>
        <v>1</v>
      </c>
      <c r="BP149" s="414">
        <f t="shared" si="123"/>
        <v>0</v>
      </c>
      <c r="BQ149" s="559">
        <v>1</v>
      </c>
      <c r="BR149" s="590"/>
      <c r="BS149" s="595">
        <v>41996</v>
      </c>
      <c r="BT149" s="415">
        <f t="shared" si="90"/>
        <v>42361</v>
      </c>
      <c r="BU149" s="579">
        <v>322</v>
      </c>
      <c r="BV149" s="579">
        <v>3</v>
      </c>
      <c r="BW149" s="416">
        <f t="shared" si="91"/>
        <v>0</v>
      </c>
      <c r="BX149" s="417">
        <f t="shared" si="124"/>
        <v>1</v>
      </c>
      <c r="BY149" s="409">
        <f t="shared" si="125"/>
        <v>1342</v>
      </c>
      <c r="BZ149" s="446">
        <f t="shared" si="92"/>
        <v>1</v>
      </c>
      <c r="CA149" s="598"/>
      <c r="CB149" s="559">
        <v>0.3</v>
      </c>
      <c r="CC149" s="451">
        <f t="shared" si="140"/>
        <v>402.59999999999997</v>
      </c>
      <c r="CD149" s="598">
        <v>4</v>
      </c>
      <c r="CE149" s="418" t="str">
        <f t="shared" si="141"/>
        <v>Excellent coverage</v>
      </c>
      <c r="CF149" s="550">
        <v>0</v>
      </c>
      <c r="CG149" s="607" t="s">
        <v>301</v>
      </c>
      <c r="CH149" s="604"/>
    </row>
    <row r="150" spans="2:86" s="40" customFormat="1" ht="30.75" customHeight="1" x14ac:dyDescent="0.2">
      <c r="B150" s="512" t="s">
        <v>188</v>
      </c>
      <c r="C150" s="513" t="s">
        <v>735</v>
      </c>
      <c r="D150" s="514" t="s">
        <v>273</v>
      </c>
      <c r="E150" s="513" t="s">
        <v>708</v>
      </c>
      <c r="F150" s="514">
        <v>97.755750000000006</v>
      </c>
      <c r="G150" s="514">
        <v>24.273479999999999</v>
      </c>
      <c r="H150" s="514" t="s">
        <v>468</v>
      </c>
      <c r="I150" s="514" t="s">
        <v>226</v>
      </c>
      <c r="J150" s="518"/>
      <c r="K150" s="518">
        <v>211</v>
      </c>
      <c r="L150" s="518">
        <v>211</v>
      </c>
      <c r="M150" s="405" t="str">
        <f t="shared" si="109"/>
        <v>1. Small</v>
      </c>
      <c r="N150" s="519" t="s">
        <v>235</v>
      </c>
      <c r="O150" s="533" t="s">
        <v>293</v>
      </c>
      <c r="P150" s="439" t="str">
        <f t="shared" si="126"/>
        <v>Covered</v>
      </c>
      <c r="Q150" s="534">
        <v>42185</v>
      </c>
      <c r="R150" s="514" t="s">
        <v>424</v>
      </c>
      <c r="S150" s="534">
        <v>42185</v>
      </c>
      <c r="T150" s="536" t="s">
        <v>260</v>
      </c>
      <c r="U150" s="436" t="str">
        <f t="shared" si="127"/>
        <v>Documented</v>
      </c>
      <c r="V150" s="544">
        <v>0</v>
      </c>
      <c r="W150" s="518">
        <v>0</v>
      </c>
      <c r="X150" s="545" t="s">
        <v>19</v>
      </c>
      <c r="Y150" s="544">
        <v>0</v>
      </c>
      <c r="Z150" s="518">
        <v>0</v>
      </c>
      <c r="AA150" s="545">
        <v>9000</v>
      </c>
      <c r="AB150" s="558">
        <v>0</v>
      </c>
      <c r="AC150" s="559">
        <v>0</v>
      </c>
      <c r="AD150" s="443">
        <f t="shared" si="110"/>
        <v>1</v>
      </c>
      <c r="AE150" s="407">
        <f t="shared" si="128"/>
        <v>211</v>
      </c>
      <c r="AF150" s="408">
        <f t="shared" si="111"/>
        <v>1</v>
      </c>
      <c r="AG150" s="409">
        <f t="shared" si="129"/>
        <v>211</v>
      </c>
      <c r="AH150" s="406">
        <f t="shared" si="112"/>
        <v>1</v>
      </c>
      <c r="AI150" s="409">
        <f t="shared" si="130"/>
        <v>211</v>
      </c>
      <c r="AJ150" s="410" t="str">
        <f t="shared" si="113"/>
        <v>80-100%</v>
      </c>
      <c r="AK150" s="406">
        <f t="shared" si="114"/>
        <v>0</v>
      </c>
      <c r="AL150" s="411">
        <f t="shared" si="115"/>
        <v>0</v>
      </c>
      <c r="AM150" s="409">
        <f t="shared" si="116"/>
        <v>0.52749999999999997</v>
      </c>
      <c r="AN150" s="409">
        <f t="shared" si="117"/>
        <v>0</v>
      </c>
      <c r="AO150" s="409">
        <f t="shared" si="131"/>
        <v>0</v>
      </c>
      <c r="AP150" s="569">
        <v>1</v>
      </c>
      <c r="AQ150" s="567">
        <f t="shared" si="142"/>
        <v>211</v>
      </c>
      <c r="AR150" s="559"/>
      <c r="AS150" s="544">
        <v>6</v>
      </c>
      <c r="AT150" s="518">
        <v>6</v>
      </c>
      <c r="AU150" s="518">
        <v>0</v>
      </c>
      <c r="AV150" s="518" t="s">
        <v>91</v>
      </c>
      <c r="AW150" s="412">
        <f t="shared" si="118"/>
        <v>0.56872037914691942</v>
      </c>
      <c r="AX150" s="409">
        <f t="shared" si="132"/>
        <v>120</v>
      </c>
      <c r="AY150" s="412">
        <f t="shared" si="119"/>
        <v>0.56872037914691942</v>
      </c>
      <c r="AZ150" s="409">
        <f t="shared" si="133"/>
        <v>120</v>
      </c>
      <c r="BA150" s="412">
        <f t="shared" si="120"/>
        <v>0</v>
      </c>
      <c r="BB150" s="409">
        <f t="shared" si="134"/>
        <v>0</v>
      </c>
      <c r="BC150" s="579">
        <v>0</v>
      </c>
      <c r="BD150" s="569">
        <v>0.57299999999999995</v>
      </c>
      <c r="BE150" s="413">
        <f t="shared" si="121"/>
        <v>120.90299999999999</v>
      </c>
      <c r="BF150" s="414">
        <f t="shared" si="135"/>
        <v>10.55</v>
      </c>
      <c r="BG150" s="518">
        <v>2</v>
      </c>
      <c r="BH150" s="518" t="s">
        <v>299</v>
      </c>
      <c r="BI150" s="412">
        <f t="shared" si="136"/>
        <v>0.94786729857819907</v>
      </c>
      <c r="BJ150" s="409">
        <f t="shared" si="137"/>
        <v>200</v>
      </c>
      <c r="BK150" s="414">
        <f t="shared" si="138"/>
        <v>0.10999999999999988</v>
      </c>
      <c r="BL150" s="580">
        <v>0.95</v>
      </c>
      <c r="BM150" s="409">
        <f t="shared" si="139"/>
        <v>200.45</v>
      </c>
      <c r="BN150" s="518">
        <v>0</v>
      </c>
      <c r="BO150" s="412">
        <f t="shared" si="122"/>
        <v>0</v>
      </c>
      <c r="BP150" s="414">
        <f t="shared" si="123"/>
        <v>2.11</v>
      </c>
      <c r="BQ150" s="559">
        <v>0</v>
      </c>
      <c r="BR150" s="590"/>
      <c r="BS150" s="595">
        <v>41996</v>
      </c>
      <c r="BT150" s="415">
        <f t="shared" si="90"/>
        <v>42361</v>
      </c>
      <c r="BU150" s="579">
        <v>0</v>
      </c>
      <c r="BV150" s="579">
        <v>0</v>
      </c>
      <c r="BW150" s="416">
        <f t="shared" si="91"/>
        <v>0</v>
      </c>
      <c r="BX150" s="417">
        <f t="shared" si="124"/>
        <v>1</v>
      </c>
      <c r="BY150" s="409">
        <f t="shared" si="125"/>
        <v>211</v>
      </c>
      <c r="BZ150" s="446">
        <f t="shared" si="92"/>
        <v>4</v>
      </c>
      <c r="CA150" s="598"/>
      <c r="CB150" s="559">
        <v>0.2</v>
      </c>
      <c r="CC150" s="451">
        <f t="shared" si="140"/>
        <v>42.2</v>
      </c>
      <c r="CD150" s="598">
        <v>0</v>
      </c>
      <c r="CE150" s="418" t="str">
        <f t="shared" si="141"/>
        <v>No coverage</v>
      </c>
      <c r="CF150" s="550">
        <v>0</v>
      </c>
      <c r="CG150" s="607" t="s">
        <v>301</v>
      </c>
      <c r="CH150" s="604"/>
    </row>
    <row r="151" spans="2:86" s="40" customFormat="1" ht="30.75" customHeight="1" x14ac:dyDescent="0.2">
      <c r="B151" s="512" t="s">
        <v>188</v>
      </c>
      <c r="C151" s="513" t="s">
        <v>735</v>
      </c>
      <c r="D151" s="514" t="s">
        <v>273</v>
      </c>
      <c r="E151" s="513" t="s">
        <v>645</v>
      </c>
      <c r="F151" s="514">
        <v>97.758769999999998</v>
      </c>
      <c r="G151" s="514">
        <v>24.255469999999999</v>
      </c>
      <c r="H151" s="514" t="s">
        <v>468</v>
      </c>
      <c r="I151" s="514" t="s">
        <v>226</v>
      </c>
      <c r="J151" s="518"/>
      <c r="K151" s="518">
        <v>506</v>
      </c>
      <c r="L151" s="518">
        <v>506</v>
      </c>
      <c r="M151" s="405" t="str">
        <f t="shared" si="109"/>
        <v>1. Small</v>
      </c>
      <c r="N151" s="519" t="s">
        <v>235</v>
      </c>
      <c r="O151" s="533" t="s">
        <v>293</v>
      </c>
      <c r="P151" s="439" t="str">
        <f t="shared" si="126"/>
        <v>Covered</v>
      </c>
      <c r="Q151" s="534">
        <v>42185</v>
      </c>
      <c r="R151" s="514" t="s">
        <v>424</v>
      </c>
      <c r="S151" s="534">
        <v>42185</v>
      </c>
      <c r="T151" s="536" t="s">
        <v>260</v>
      </c>
      <c r="U151" s="436" t="str">
        <f t="shared" si="127"/>
        <v>Documented</v>
      </c>
      <c r="V151" s="544">
        <v>0</v>
      </c>
      <c r="W151" s="518">
        <v>0</v>
      </c>
      <c r="X151" s="545" t="s">
        <v>19</v>
      </c>
      <c r="Y151" s="544">
        <v>0</v>
      </c>
      <c r="Z151" s="518">
        <v>0</v>
      </c>
      <c r="AA151" s="545">
        <v>24300</v>
      </c>
      <c r="AB151" s="558">
        <v>0</v>
      </c>
      <c r="AC151" s="559">
        <v>0</v>
      </c>
      <c r="AD151" s="443">
        <f t="shared" si="110"/>
        <v>1</v>
      </c>
      <c r="AE151" s="407">
        <f t="shared" si="128"/>
        <v>506</v>
      </c>
      <c r="AF151" s="408">
        <f t="shared" si="111"/>
        <v>1</v>
      </c>
      <c r="AG151" s="409">
        <f t="shared" si="129"/>
        <v>506</v>
      </c>
      <c r="AH151" s="406">
        <f t="shared" si="112"/>
        <v>1</v>
      </c>
      <c r="AI151" s="409">
        <f t="shared" si="130"/>
        <v>506</v>
      </c>
      <c r="AJ151" s="410" t="str">
        <f t="shared" si="113"/>
        <v>80-100%</v>
      </c>
      <c r="AK151" s="406">
        <f t="shared" si="114"/>
        <v>0</v>
      </c>
      <c r="AL151" s="411">
        <f t="shared" si="115"/>
        <v>0</v>
      </c>
      <c r="AM151" s="409">
        <f t="shared" si="116"/>
        <v>1.2649999999999999</v>
      </c>
      <c r="AN151" s="409">
        <f t="shared" si="117"/>
        <v>0</v>
      </c>
      <c r="AO151" s="409">
        <f t="shared" si="131"/>
        <v>0</v>
      </c>
      <c r="AP151" s="569">
        <v>1</v>
      </c>
      <c r="AQ151" s="567">
        <f t="shared" si="142"/>
        <v>506</v>
      </c>
      <c r="AR151" s="559"/>
      <c r="AS151" s="544">
        <v>14</v>
      </c>
      <c r="AT151" s="518">
        <v>6</v>
      </c>
      <c r="AU151" s="518">
        <v>16</v>
      </c>
      <c r="AV151" s="518" t="s">
        <v>91</v>
      </c>
      <c r="AW151" s="412">
        <f t="shared" si="118"/>
        <v>0.86956521739130432</v>
      </c>
      <c r="AX151" s="409">
        <f t="shared" si="132"/>
        <v>440</v>
      </c>
      <c r="AY151" s="412">
        <f t="shared" si="119"/>
        <v>0.23715415019762842</v>
      </c>
      <c r="AZ151" s="409">
        <f t="shared" si="133"/>
        <v>119.99999999999999</v>
      </c>
      <c r="BA151" s="412">
        <f t="shared" si="120"/>
        <v>0.6324110671936759</v>
      </c>
      <c r="BB151" s="409">
        <f t="shared" si="134"/>
        <v>320</v>
      </c>
      <c r="BC151" s="579">
        <v>0</v>
      </c>
      <c r="BD151" s="569">
        <v>0.873</v>
      </c>
      <c r="BE151" s="413">
        <f t="shared" si="121"/>
        <v>441.738</v>
      </c>
      <c r="BF151" s="414">
        <f t="shared" si="135"/>
        <v>9.3000000000000007</v>
      </c>
      <c r="BG151" s="518">
        <v>1</v>
      </c>
      <c r="BH151" s="518" t="s">
        <v>299</v>
      </c>
      <c r="BI151" s="412">
        <f t="shared" si="136"/>
        <v>0.19762845849802371</v>
      </c>
      <c r="BJ151" s="409">
        <f t="shared" si="137"/>
        <v>100</v>
      </c>
      <c r="BK151" s="414">
        <f t="shared" si="138"/>
        <v>4.0599999999999996</v>
      </c>
      <c r="BL151" s="580">
        <v>0.28999999999999998</v>
      </c>
      <c r="BM151" s="409">
        <f t="shared" si="139"/>
        <v>146.73999999999998</v>
      </c>
      <c r="BN151" s="518">
        <v>2</v>
      </c>
      <c r="BO151" s="412">
        <f t="shared" si="122"/>
        <v>0.39525691699604742</v>
      </c>
      <c r="BP151" s="414">
        <f t="shared" si="123"/>
        <v>3.0599999999999996</v>
      </c>
      <c r="BQ151" s="559">
        <v>0.4</v>
      </c>
      <c r="BR151" s="590"/>
      <c r="BS151" s="595">
        <v>41996</v>
      </c>
      <c r="BT151" s="415">
        <f t="shared" si="90"/>
        <v>42361</v>
      </c>
      <c r="BU151" s="579">
        <v>0</v>
      </c>
      <c r="BV151" s="579">
        <v>0</v>
      </c>
      <c r="BW151" s="416">
        <f t="shared" si="91"/>
        <v>0</v>
      </c>
      <c r="BX151" s="417">
        <f t="shared" si="124"/>
        <v>1</v>
      </c>
      <c r="BY151" s="409">
        <f t="shared" si="125"/>
        <v>506</v>
      </c>
      <c r="BZ151" s="446">
        <f t="shared" si="92"/>
        <v>4</v>
      </c>
      <c r="CA151" s="598"/>
      <c r="CB151" s="559">
        <v>0.2</v>
      </c>
      <c r="CC151" s="451">
        <f t="shared" si="140"/>
        <v>101.2</v>
      </c>
      <c r="CD151" s="598">
        <v>2</v>
      </c>
      <c r="CE151" s="418" t="str">
        <f t="shared" si="141"/>
        <v>Excellent coverage</v>
      </c>
      <c r="CF151" s="550">
        <v>0</v>
      </c>
      <c r="CG151" s="607" t="s">
        <v>301</v>
      </c>
      <c r="CH151" s="604"/>
    </row>
    <row r="152" spans="2:86" s="40" customFormat="1" ht="30.75" customHeight="1" x14ac:dyDescent="0.2">
      <c r="B152" s="512" t="s">
        <v>188</v>
      </c>
      <c r="C152" s="513" t="s">
        <v>735</v>
      </c>
      <c r="D152" s="514" t="s">
        <v>273</v>
      </c>
      <c r="E152" s="513" t="s">
        <v>646</v>
      </c>
      <c r="F152" s="514">
        <v>97.740570000000005</v>
      </c>
      <c r="G152" s="514">
        <v>24.266819999999999</v>
      </c>
      <c r="H152" s="514" t="s">
        <v>468</v>
      </c>
      <c r="I152" s="514" t="s">
        <v>226</v>
      </c>
      <c r="J152" s="518"/>
      <c r="K152" s="518">
        <v>333</v>
      </c>
      <c r="L152" s="518">
        <v>333</v>
      </c>
      <c r="M152" s="405" t="str">
        <f t="shared" si="109"/>
        <v>1. Small</v>
      </c>
      <c r="N152" s="519" t="s">
        <v>235</v>
      </c>
      <c r="O152" s="533" t="s">
        <v>293</v>
      </c>
      <c r="P152" s="439" t="str">
        <f t="shared" si="126"/>
        <v>Covered</v>
      </c>
      <c r="Q152" s="534">
        <v>42185</v>
      </c>
      <c r="R152" s="514" t="s">
        <v>424</v>
      </c>
      <c r="S152" s="534">
        <v>42185</v>
      </c>
      <c r="T152" s="536" t="s">
        <v>260</v>
      </c>
      <c r="U152" s="436" t="str">
        <f t="shared" si="127"/>
        <v>Documented</v>
      </c>
      <c r="V152" s="544">
        <v>0</v>
      </c>
      <c r="W152" s="518">
        <v>0</v>
      </c>
      <c r="X152" s="545" t="s">
        <v>19</v>
      </c>
      <c r="Y152" s="544">
        <v>0</v>
      </c>
      <c r="Z152" s="518">
        <v>0</v>
      </c>
      <c r="AA152" s="545">
        <v>8640</v>
      </c>
      <c r="AB152" s="558">
        <v>0</v>
      </c>
      <c r="AC152" s="559">
        <v>0</v>
      </c>
      <c r="AD152" s="443">
        <f t="shared" si="110"/>
        <v>1</v>
      </c>
      <c r="AE152" s="407">
        <f t="shared" si="128"/>
        <v>333</v>
      </c>
      <c r="AF152" s="408">
        <f t="shared" si="111"/>
        <v>1</v>
      </c>
      <c r="AG152" s="409">
        <f t="shared" si="129"/>
        <v>333</v>
      </c>
      <c r="AH152" s="406">
        <f t="shared" si="112"/>
        <v>1</v>
      </c>
      <c r="AI152" s="409">
        <f t="shared" si="130"/>
        <v>333</v>
      </c>
      <c r="AJ152" s="410" t="str">
        <f t="shared" si="113"/>
        <v>80-100%</v>
      </c>
      <c r="AK152" s="406">
        <f t="shared" si="114"/>
        <v>0</v>
      </c>
      <c r="AL152" s="411">
        <f t="shared" si="115"/>
        <v>0</v>
      </c>
      <c r="AM152" s="409">
        <f t="shared" si="116"/>
        <v>0.83250000000000002</v>
      </c>
      <c r="AN152" s="409">
        <f t="shared" si="117"/>
        <v>0</v>
      </c>
      <c r="AO152" s="409">
        <f t="shared" si="131"/>
        <v>0</v>
      </c>
      <c r="AP152" s="569">
        <v>1</v>
      </c>
      <c r="AQ152" s="567">
        <f t="shared" si="142"/>
        <v>333</v>
      </c>
      <c r="AR152" s="559"/>
      <c r="AS152" s="544">
        <v>23</v>
      </c>
      <c r="AT152" s="518">
        <v>0</v>
      </c>
      <c r="AU152" s="518">
        <v>27</v>
      </c>
      <c r="AV152" s="518" t="s">
        <v>299</v>
      </c>
      <c r="AW152" s="412">
        <f t="shared" si="118"/>
        <v>1</v>
      </c>
      <c r="AX152" s="409">
        <f t="shared" si="132"/>
        <v>333</v>
      </c>
      <c r="AY152" s="412">
        <f t="shared" si="119"/>
        <v>0</v>
      </c>
      <c r="AZ152" s="409">
        <f t="shared" si="133"/>
        <v>0</v>
      </c>
      <c r="BA152" s="412">
        <f t="shared" si="120"/>
        <v>1</v>
      </c>
      <c r="BB152" s="409">
        <f t="shared" si="134"/>
        <v>333</v>
      </c>
      <c r="BC152" s="579">
        <v>0</v>
      </c>
      <c r="BD152" s="569">
        <v>1</v>
      </c>
      <c r="BE152" s="413">
        <f t="shared" si="121"/>
        <v>333</v>
      </c>
      <c r="BF152" s="414">
        <f t="shared" si="135"/>
        <v>0</v>
      </c>
      <c r="BG152" s="518">
        <v>4</v>
      </c>
      <c r="BH152" s="518" t="s">
        <v>300</v>
      </c>
      <c r="BI152" s="412">
        <f t="shared" si="136"/>
        <v>1</v>
      </c>
      <c r="BJ152" s="409">
        <f t="shared" si="137"/>
        <v>333</v>
      </c>
      <c r="BK152" s="414">
        <f t="shared" si="138"/>
        <v>0</v>
      </c>
      <c r="BL152" s="580">
        <v>1</v>
      </c>
      <c r="BM152" s="409">
        <f t="shared" si="139"/>
        <v>333</v>
      </c>
      <c r="BN152" s="518">
        <v>4</v>
      </c>
      <c r="BO152" s="412">
        <f t="shared" si="122"/>
        <v>1</v>
      </c>
      <c r="BP152" s="414">
        <f t="shared" si="123"/>
        <v>0</v>
      </c>
      <c r="BQ152" s="559">
        <v>1</v>
      </c>
      <c r="BR152" s="590"/>
      <c r="BS152" s="595">
        <v>41996</v>
      </c>
      <c r="BT152" s="415">
        <f t="shared" si="90"/>
        <v>42361</v>
      </c>
      <c r="BU152" s="579">
        <v>0</v>
      </c>
      <c r="BV152" s="579">
        <v>0</v>
      </c>
      <c r="BW152" s="416">
        <f t="shared" si="91"/>
        <v>0</v>
      </c>
      <c r="BX152" s="417">
        <f t="shared" si="124"/>
        <v>1</v>
      </c>
      <c r="BY152" s="409">
        <f t="shared" si="125"/>
        <v>333</v>
      </c>
      <c r="BZ152" s="446">
        <f t="shared" si="92"/>
        <v>4</v>
      </c>
      <c r="CA152" s="598"/>
      <c r="CB152" s="559">
        <v>0.2</v>
      </c>
      <c r="CC152" s="451">
        <f t="shared" si="140"/>
        <v>66.600000000000009</v>
      </c>
      <c r="CD152" s="598">
        <v>2</v>
      </c>
      <c r="CE152" s="418" t="str">
        <f t="shared" si="141"/>
        <v>Excellent coverage</v>
      </c>
      <c r="CF152" s="550">
        <v>0</v>
      </c>
      <c r="CG152" s="607" t="s">
        <v>301</v>
      </c>
      <c r="CH152" s="604"/>
    </row>
    <row r="153" spans="2:86" s="40" customFormat="1" ht="30.75" customHeight="1" x14ac:dyDescent="0.2">
      <c r="B153" s="512" t="s">
        <v>188</v>
      </c>
      <c r="C153" s="513" t="s">
        <v>735</v>
      </c>
      <c r="D153" s="514" t="s">
        <v>273</v>
      </c>
      <c r="E153" s="513" t="s">
        <v>650</v>
      </c>
      <c r="F153" s="514">
        <v>97.758769999999998</v>
      </c>
      <c r="G153" s="514">
        <v>24.255469999999999</v>
      </c>
      <c r="H153" s="514" t="s">
        <v>478</v>
      </c>
      <c r="I153" s="514" t="s">
        <v>226</v>
      </c>
      <c r="J153" s="518">
        <v>78</v>
      </c>
      <c r="K153" s="518">
        <v>326</v>
      </c>
      <c r="L153" s="518">
        <v>326</v>
      </c>
      <c r="M153" s="405" t="str">
        <f t="shared" si="109"/>
        <v>2. Medium</v>
      </c>
      <c r="N153" s="519" t="s">
        <v>235</v>
      </c>
      <c r="O153" s="533" t="s">
        <v>293</v>
      </c>
      <c r="P153" s="439" t="str">
        <f t="shared" si="126"/>
        <v>Covered</v>
      </c>
      <c r="Q153" s="534">
        <v>42185</v>
      </c>
      <c r="R153" s="514" t="s">
        <v>424</v>
      </c>
      <c r="S153" s="534">
        <v>42185</v>
      </c>
      <c r="T153" s="536" t="s">
        <v>260</v>
      </c>
      <c r="U153" s="436" t="str">
        <f t="shared" si="127"/>
        <v>Documented</v>
      </c>
      <c r="V153" s="544">
        <v>0</v>
      </c>
      <c r="W153" s="518">
        <v>0</v>
      </c>
      <c r="X153" s="545" t="s">
        <v>19</v>
      </c>
      <c r="Y153" s="544">
        <v>0</v>
      </c>
      <c r="Z153" s="518">
        <v>0</v>
      </c>
      <c r="AA153" s="545">
        <v>10631</v>
      </c>
      <c r="AB153" s="558">
        <v>0</v>
      </c>
      <c r="AC153" s="559">
        <v>0</v>
      </c>
      <c r="AD153" s="443">
        <f t="shared" si="110"/>
        <v>1</v>
      </c>
      <c r="AE153" s="407">
        <f t="shared" si="128"/>
        <v>326</v>
      </c>
      <c r="AF153" s="408">
        <f t="shared" si="111"/>
        <v>1</v>
      </c>
      <c r="AG153" s="409">
        <f t="shared" si="129"/>
        <v>326</v>
      </c>
      <c r="AH153" s="406">
        <f t="shared" si="112"/>
        <v>1</v>
      </c>
      <c r="AI153" s="409">
        <f t="shared" si="130"/>
        <v>326</v>
      </c>
      <c r="AJ153" s="410" t="str">
        <f t="shared" si="113"/>
        <v>80-100%</v>
      </c>
      <c r="AK153" s="406">
        <f t="shared" si="114"/>
        <v>0</v>
      </c>
      <c r="AL153" s="411">
        <f t="shared" si="115"/>
        <v>0</v>
      </c>
      <c r="AM153" s="409">
        <f t="shared" si="116"/>
        <v>0.81499999999999995</v>
      </c>
      <c r="AN153" s="409">
        <f t="shared" si="117"/>
        <v>0</v>
      </c>
      <c r="AO153" s="409">
        <f t="shared" si="131"/>
        <v>0</v>
      </c>
      <c r="AP153" s="569">
        <v>1</v>
      </c>
      <c r="AQ153" s="567">
        <f t="shared" si="142"/>
        <v>326</v>
      </c>
      <c r="AR153" s="559"/>
      <c r="AS153" s="544">
        <v>78</v>
      </c>
      <c r="AT153" s="518">
        <v>78</v>
      </c>
      <c r="AU153" s="518">
        <v>0</v>
      </c>
      <c r="AV153" s="518" t="s">
        <v>91</v>
      </c>
      <c r="AW153" s="412">
        <f t="shared" si="118"/>
        <v>1</v>
      </c>
      <c r="AX153" s="409">
        <f t="shared" si="132"/>
        <v>326</v>
      </c>
      <c r="AY153" s="412">
        <f t="shared" si="119"/>
        <v>1</v>
      </c>
      <c r="AZ153" s="409">
        <f t="shared" si="133"/>
        <v>326</v>
      </c>
      <c r="BA153" s="412">
        <f t="shared" si="120"/>
        <v>0</v>
      </c>
      <c r="BB153" s="409">
        <f t="shared" si="134"/>
        <v>0</v>
      </c>
      <c r="BC153" s="579">
        <v>0</v>
      </c>
      <c r="BD153" s="569">
        <v>1</v>
      </c>
      <c r="BE153" s="413">
        <f t="shared" si="121"/>
        <v>326</v>
      </c>
      <c r="BF153" s="414">
        <f t="shared" si="135"/>
        <v>16.3</v>
      </c>
      <c r="BG153" s="518">
        <v>0</v>
      </c>
      <c r="BH153" s="518" t="s">
        <v>91</v>
      </c>
      <c r="BI153" s="412">
        <f t="shared" si="136"/>
        <v>0</v>
      </c>
      <c r="BJ153" s="409">
        <f t="shared" si="137"/>
        <v>0</v>
      </c>
      <c r="BK153" s="414">
        <f t="shared" si="138"/>
        <v>3.26</v>
      </c>
      <c r="BL153" s="580">
        <v>0</v>
      </c>
      <c r="BM153" s="409">
        <f t="shared" si="139"/>
        <v>0</v>
      </c>
      <c r="BN153" s="518">
        <v>0</v>
      </c>
      <c r="BO153" s="412">
        <f t="shared" si="122"/>
        <v>0</v>
      </c>
      <c r="BP153" s="414">
        <f t="shared" si="123"/>
        <v>3.26</v>
      </c>
      <c r="BQ153" s="559">
        <v>0</v>
      </c>
      <c r="BR153" s="590"/>
      <c r="BS153" s="595">
        <v>41996</v>
      </c>
      <c r="BT153" s="415">
        <f t="shared" ref="BT153:BT180" si="143">IF(BS153="","To be realised",IF(BS153="n/a","n/a",IF(BS153+365&lt;$E$2,"To be realised",BS153+365)))</f>
        <v>42361</v>
      </c>
      <c r="BU153" s="579">
        <v>78</v>
      </c>
      <c r="BV153" s="579">
        <v>0</v>
      </c>
      <c r="BW153" s="416">
        <f t="shared" ref="BW153:BW159" si="144">IF(BT153="n/a",0,IF(BT153="To be realised",J153,IF((J153-BU153)&lt;0,0,(J153-BU153))))</f>
        <v>0</v>
      </c>
      <c r="BX153" s="417">
        <f t="shared" si="124"/>
        <v>1</v>
      </c>
      <c r="BY153" s="409">
        <f t="shared" si="125"/>
        <v>326</v>
      </c>
      <c r="BZ153" s="446">
        <f t="shared" ref="BZ153:BZ179" si="145">IF(BS153="","Column BN to be completed", IF(BS153="n/a",0,IF(($E$2-BS153-30)/30-BV153&lt;0,0,ROUND((($E$2-BS153-30)/30-BV153),0))))</f>
        <v>4</v>
      </c>
      <c r="CA153" s="598"/>
      <c r="CB153" s="559">
        <v>0</v>
      </c>
      <c r="CC153" s="451">
        <f t="shared" si="140"/>
        <v>0</v>
      </c>
      <c r="CD153" s="598">
        <v>0</v>
      </c>
      <c r="CE153" s="418" t="str">
        <f t="shared" si="141"/>
        <v>No coverage</v>
      </c>
      <c r="CF153" s="550">
        <v>0</v>
      </c>
      <c r="CG153" s="607" t="s">
        <v>66</v>
      </c>
      <c r="CH153" s="604"/>
    </row>
    <row r="154" spans="2:86" s="40" customFormat="1" ht="30.75" customHeight="1" x14ac:dyDescent="0.2">
      <c r="B154" s="512" t="s">
        <v>186</v>
      </c>
      <c r="C154" s="513" t="s">
        <v>738</v>
      </c>
      <c r="D154" s="514" t="s">
        <v>274</v>
      </c>
      <c r="E154" s="513" t="s">
        <v>709</v>
      </c>
      <c r="F154" s="514">
        <v>97.590767</v>
      </c>
      <c r="G154" s="514">
        <v>23.829599000000002</v>
      </c>
      <c r="H154" s="514" t="s">
        <v>467</v>
      </c>
      <c r="I154" s="514" t="s">
        <v>218</v>
      </c>
      <c r="J154" s="515">
        <v>114</v>
      </c>
      <c r="K154" s="515">
        <v>516</v>
      </c>
      <c r="L154" s="515">
        <v>516</v>
      </c>
      <c r="M154" s="405" t="str">
        <f t="shared" si="109"/>
        <v>2. Medium</v>
      </c>
      <c r="N154" s="516" t="s">
        <v>239</v>
      </c>
      <c r="O154" s="530" t="s">
        <v>237</v>
      </c>
      <c r="P154" s="439" t="str">
        <f t="shared" si="126"/>
        <v>Covered</v>
      </c>
      <c r="Q154" s="531">
        <v>42460</v>
      </c>
      <c r="R154" s="532"/>
      <c r="S154" s="531"/>
      <c r="T154" s="516" t="s">
        <v>260</v>
      </c>
      <c r="U154" s="436" t="str">
        <f t="shared" si="127"/>
        <v>Documented</v>
      </c>
      <c r="V154" s="542">
        <v>0</v>
      </c>
      <c r="W154" s="515">
        <v>0</v>
      </c>
      <c r="X154" s="543" t="s">
        <v>19</v>
      </c>
      <c r="Y154" s="542">
        <v>0</v>
      </c>
      <c r="Z154" s="550">
        <v>0</v>
      </c>
      <c r="AA154" s="551">
        <v>28000</v>
      </c>
      <c r="AB154" s="556">
        <v>0</v>
      </c>
      <c r="AC154" s="557">
        <v>0</v>
      </c>
      <c r="AD154" s="443">
        <f t="shared" si="110"/>
        <v>1</v>
      </c>
      <c r="AE154" s="407">
        <f t="shared" si="128"/>
        <v>516</v>
      </c>
      <c r="AF154" s="408">
        <f t="shared" si="111"/>
        <v>1</v>
      </c>
      <c r="AG154" s="409">
        <f t="shared" si="129"/>
        <v>516</v>
      </c>
      <c r="AH154" s="406">
        <f t="shared" si="112"/>
        <v>1</v>
      </c>
      <c r="AI154" s="409">
        <f t="shared" si="130"/>
        <v>516</v>
      </c>
      <c r="AJ154" s="410" t="str">
        <f t="shared" si="113"/>
        <v>80-100%</v>
      </c>
      <c r="AK154" s="406">
        <f t="shared" si="114"/>
        <v>0</v>
      </c>
      <c r="AL154" s="411">
        <f t="shared" si="115"/>
        <v>0</v>
      </c>
      <c r="AM154" s="409">
        <f t="shared" si="116"/>
        <v>1.29</v>
      </c>
      <c r="AN154" s="409">
        <f t="shared" si="117"/>
        <v>0</v>
      </c>
      <c r="AO154" s="409">
        <f t="shared" si="131"/>
        <v>0</v>
      </c>
      <c r="AP154" s="566">
        <v>1</v>
      </c>
      <c r="AQ154" s="567">
        <f t="shared" si="142"/>
        <v>516</v>
      </c>
      <c r="AR154" s="551" t="s">
        <v>845</v>
      </c>
      <c r="AS154" s="552">
        <v>0</v>
      </c>
      <c r="AT154" s="515">
        <v>18</v>
      </c>
      <c r="AU154" s="515">
        <v>13</v>
      </c>
      <c r="AV154" s="515" t="s">
        <v>300</v>
      </c>
      <c r="AW154" s="412">
        <f t="shared" si="118"/>
        <v>1</v>
      </c>
      <c r="AX154" s="409">
        <f t="shared" si="132"/>
        <v>516</v>
      </c>
      <c r="AY154" s="412">
        <f t="shared" si="119"/>
        <v>0.49612403100775193</v>
      </c>
      <c r="AZ154" s="409">
        <f t="shared" si="133"/>
        <v>256</v>
      </c>
      <c r="BA154" s="412">
        <f t="shared" si="120"/>
        <v>0.50387596899224807</v>
      </c>
      <c r="BB154" s="409">
        <f t="shared" si="134"/>
        <v>260</v>
      </c>
      <c r="BC154" s="550">
        <v>7</v>
      </c>
      <c r="BD154" s="571">
        <v>1</v>
      </c>
      <c r="BE154" s="413">
        <f t="shared" si="121"/>
        <v>516</v>
      </c>
      <c r="BF154" s="414">
        <f t="shared" si="135"/>
        <v>19.8</v>
      </c>
      <c r="BG154" s="515">
        <v>5</v>
      </c>
      <c r="BH154" s="550" t="s">
        <v>299</v>
      </c>
      <c r="BI154" s="412">
        <f t="shared" si="136"/>
        <v>0.96899224806201545</v>
      </c>
      <c r="BJ154" s="409">
        <f t="shared" si="137"/>
        <v>500</v>
      </c>
      <c r="BK154" s="414">
        <f t="shared" si="138"/>
        <v>0.16000000000000014</v>
      </c>
      <c r="BL154" s="571">
        <v>1</v>
      </c>
      <c r="BM154" s="409">
        <f t="shared" si="139"/>
        <v>516</v>
      </c>
      <c r="BN154" s="515">
        <v>4</v>
      </c>
      <c r="BO154" s="412">
        <f t="shared" si="122"/>
        <v>0.77519379844961245</v>
      </c>
      <c r="BP154" s="414">
        <f t="shared" si="123"/>
        <v>1.1600000000000001</v>
      </c>
      <c r="BQ154" s="561">
        <v>0.78</v>
      </c>
      <c r="BR154" s="589" t="s">
        <v>866</v>
      </c>
      <c r="BS154" s="594">
        <v>41741</v>
      </c>
      <c r="BT154" s="415" t="str">
        <f t="shared" si="143"/>
        <v>To be realised</v>
      </c>
      <c r="BU154" s="515">
        <v>117</v>
      </c>
      <c r="BV154" s="515">
        <v>3</v>
      </c>
      <c r="BW154" s="416">
        <f t="shared" si="144"/>
        <v>114</v>
      </c>
      <c r="BX154" s="417">
        <f t="shared" si="124"/>
        <v>0</v>
      </c>
      <c r="BY154" s="409">
        <f t="shared" si="125"/>
        <v>0</v>
      </c>
      <c r="BZ154" s="446">
        <f t="shared" si="145"/>
        <v>10</v>
      </c>
      <c r="CA154" s="552"/>
      <c r="CB154" s="561">
        <v>1</v>
      </c>
      <c r="CC154" s="451">
        <f t="shared" si="140"/>
        <v>516</v>
      </c>
      <c r="CD154" s="552">
        <v>9</v>
      </c>
      <c r="CE154" s="418" t="str">
        <f t="shared" si="141"/>
        <v>Excellent coverage</v>
      </c>
      <c r="CF154" s="515">
        <v>0</v>
      </c>
      <c r="CG154" s="543" t="s">
        <v>65</v>
      </c>
      <c r="CH154" s="602"/>
    </row>
    <row r="155" spans="2:86" s="40" customFormat="1" ht="30.75" customHeight="1" x14ac:dyDescent="0.2">
      <c r="B155" s="512" t="s">
        <v>186</v>
      </c>
      <c r="C155" s="513" t="s">
        <v>739</v>
      </c>
      <c r="D155" s="514" t="s">
        <v>274</v>
      </c>
      <c r="E155" s="513" t="s">
        <v>651</v>
      </c>
      <c r="F155" s="514">
        <v>97.577347000000003</v>
      </c>
      <c r="G155" s="514">
        <v>23.836462999999998</v>
      </c>
      <c r="H155" s="514" t="s">
        <v>467</v>
      </c>
      <c r="I155" s="514" t="s">
        <v>218</v>
      </c>
      <c r="J155" s="515">
        <v>121</v>
      </c>
      <c r="K155" s="515">
        <v>549</v>
      </c>
      <c r="L155" s="515">
        <v>549</v>
      </c>
      <c r="M155" s="405" t="str">
        <f t="shared" si="109"/>
        <v>2. Medium</v>
      </c>
      <c r="N155" s="516" t="s">
        <v>235</v>
      </c>
      <c r="O155" s="530" t="s">
        <v>424</v>
      </c>
      <c r="P155" s="439" t="str">
        <f t="shared" si="126"/>
        <v>Covered</v>
      </c>
      <c r="Q155" s="531">
        <v>42185</v>
      </c>
      <c r="R155" s="532" t="s">
        <v>424</v>
      </c>
      <c r="S155" s="531">
        <v>42185</v>
      </c>
      <c r="T155" s="516" t="s">
        <v>260</v>
      </c>
      <c r="U155" s="436" t="str">
        <f t="shared" si="127"/>
        <v>Documented</v>
      </c>
      <c r="V155" s="542">
        <v>0</v>
      </c>
      <c r="W155" s="515">
        <v>0</v>
      </c>
      <c r="X155" s="543" t="s">
        <v>19</v>
      </c>
      <c r="Y155" s="542">
        <v>0</v>
      </c>
      <c r="Z155" s="550">
        <v>0</v>
      </c>
      <c r="AA155" s="551">
        <v>7000</v>
      </c>
      <c r="AB155" s="560">
        <v>0</v>
      </c>
      <c r="AC155" s="561">
        <v>0</v>
      </c>
      <c r="AD155" s="443">
        <f t="shared" si="110"/>
        <v>0.85003035822707962</v>
      </c>
      <c r="AE155" s="407">
        <f t="shared" si="128"/>
        <v>466.66666666666669</v>
      </c>
      <c r="AF155" s="408">
        <f t="shared" si="111"/>
        <v>0.85003035822707962</v>
      </c>
      <c r="AG155" s="409">
        <f t="shared" si="129"/>
        <v>466.66666666666669</v>
      </c>
      <c r="AH155" s="406">
        <f t="shared" si="112"/>
        <v>0.85003035822707962</v>
      </c>
      <c r="AI155" s="409">
        <f t="shared" si="130"/>
        <v>466.66666666666669</v>
      </c>
      <c r="AJ155" s="410" t="str">
        <f t="shared" si="113"/>
        <v>80-100%</v>
      </c>
      <c r="AK155" s="406">
        <f t="shared" si="114"/>
        <v>0</v>
      </c>
      <c r="AL155" s="411">
        <f t="shared" si="115"/>
        <v>0</v>
      </c>
      <c r="AM155" s="409">
        <f t="shared" si="116"/>
        <v>1.3725000000000001</v>
      </c>
      <c r="AN155" s="409">
        <f t="shared" si="117"/>
        <v>0</v>
      </c>
      <c r="AO155" s="409">
        <f t="shared" si="131"/>
        <v>0</v>
      </c>
      <c r="AP155" s="566">
        <v>1</v>
      </c>
      <c r="AQ155" s="567">
        <f t="shared" si="142"/>
        <v>549</v>
      </c>
      <c r="AR155" s="551"/>
      <c r="AS155" s="552">
        <v>28</v>
      </c>
      <c r="AT155" s="515">
        <v>24</v>
      </c>
      <c r="AU155" s="515">
        <v>0</v>
      </c>
      <c r="AV155" s="515" t="s">
        <v>299</v>
      </c>
      <c r="AW155" s="412">
        <f t="shared" si="118"/>
        <v>0.87431693989071035</v>
      </c>
      <c r="AX155" s="409">
        <f t="shared" si="132"/>
        <v>480</v>
      </c>
      <c r="AY155" s="412">
        <f t="shared" si="119"/>
        <v>0.87431693989071035</v>
      </c>
      <c r="AZ155" s="409">
        <f t="shared" si="133"/>
        <v>480</v>
      </c>
      <c r="BA155" s="412">
        <f t="shared" si="120"/>
        <v>0</v>
      </c>
      <c r="BB155" s="409">
        <f t="shared" si="134"/>
        <v>0</v>
      </c>
      <c r="BC155" s="550">
        <v>2</v>
      </c>
      <c r="BD155" s="571">
        <v>0.98</v>
      </c>
      <c r="BE155" s="413">
        <f t="shared" si="121"/>
        <v>538.02</v>
      </c>
      <c r="BF155" s="414">
        <f t="shared" si="135"/>
        <v>29.45</v>
      </c>
      <c r="BG155" s="515">
        <v>2</v>
      </c>
      <c r="BH155" s="550" t="s">
        <v>299</v>
      </c>
      <c r="BI155" s="412">
        <f t="shared" si="136"/>
        <v>0.36429872495446264</v>
      </c>
      <c r="BJ155" s="409">
        <f t="shared" si="137"/>
        <v>200</v>
      </c>
      <c r="BK155" s="414">
        <f t="shared" si="138"/>
        <v>3.49</v>
      </c>
      <c r="BL155" s="571">
        <v>0.42</v>
      </c>
      <c r="BM155" s="409">
        <f t="shared" si="139"/>
        <v>230.57999999999998</v>
      </c>
      <c r="BN155" s="515">
        <v>4</v>
      </c>
      <c r="BO155" s="412">
        <f t="shared" si="122"/>
        <v>0.72859744990892528</v>
      </c>
      <c r="BP155" s="414">
        <f t="shared" si="123"/>
        <v>1.4900000000000002</v>
      </c>
      <c r="BQ155" s="561">
        <v>0.82</v>
      </c>
      <c r="BR155" s="589" t="s">
        <v>867</v>
      </c>
      <c r="BS155" s="594">
        <v>42143</v>
      </c>
      <c r="BT155" s="415">
        <f t="shared" si="143"/>
        <v>42508</v>
      </c>
      <c r="BU155" s="515">
        <v>121</v>
      </c>
      <c r="BV155" s="515">
        <v>12</v>
      </c>
      <c r="BW155" s="416">
        <f t="shared" si="144"/>
        <v>0</v>
      </c>
      <c r="BX155" s="417">
        <f t="shared" si="124"/>
        <v>1</v>
      </c>
      <c r="BY155" s="409">
        <f t="shared" si="125"/>
        <v>549</v>
      </c>
      <c r="BZ155" s="446">
        <f t="shared" si="145"/>
        <v>0</v>
      </c>
      <c r="CA155" s="599" t="s">
        <v>872</v>
      </c>
      <c r="CB155" s="561">
        <v>0.5</v>
      </c>
      <c r="CC155" s="451">
        <f t="shared" si="140"/>
        <v>274.5</v>
      </c>
      <c r="CD155" s="552">
        <v>7</v>
      </c>
      <c r="CE155" s="418" t="str">
        <f t="shared" si="141"/>
        <v>Excellent coverage</v>
      </c>
      <c r="CF155" s="515">
        <v>0</v>
      </c>
      <c r="CG155" s="543" t="s">
        <v>65</v>
      </c>
      <c r="CH155" s="602"/>
    </row>
    <row r="156" spans="2:86" s="40" customFormat="1" ht="30.75" customHeight="1" x14ac:dyDescent="0.2">
      <c r="B156" s="512" t="s">
        <v>214</v>
      </c>
      <c r="C156" s="513" t="s">
        <v>740</v>
      </c>
      <c r="D156" s="514" t="s">
        <v>274</v>
      </c>
      <c r="E156" s="513" t="s">
        <v>499</v>
      </c>
      <c r="F156" s="514">
        <v>97.909217999999996</v>
      </c>
      <c r="G156" s="514">
        <v>24.005448999999999</v>
      </c>
      <c r="H156" s="514" t="s">
        <v>467</v>
      </c>
      <c r="I156" s="514" t="s">
        <v>218</v>
      </c>
      <c r="J156" s="515">
        <v>82</v>
      </c>
      <c r="K156" s="515">
        <v>331</v>
      </c>
      <c r="L156" s="515">
        <v>331</v>
      </c>
      <c r="M156" s="405" t="str">
        <f t="shared" si="109"/>
        <v>2. Medium</v>
      </c>
      <c r="N156" s="516" t="s">
        <v>239</v>
      </c>
      <c r="O156" s="530" t="s">
        <v>237</v>
      </c>
      <c r="P156" s="439" t="str">
        <f t="shared" si="126"/>
        <v>Covered</v>
      </c>
      <c r="Q156" s="531">
        <v>42460</v>
      </c>
      <c r="R156" s="532"/>
      <c r="S156" s="531"/>
      <c r="T156" s="516" t="s">
        <v>260</v>
      </c>
      <c r="U156" s="436" t="str">
        <f t="shared" si="127"/>
        <v>Documented</v>
      </c>
      <c r="V156" s="542">
        <v>0</v>
      </c>
      <c r="W156" s="515">
        <v>0</v>
      </c>
      <c r="X156" s="543" t="s">
        <v>19</v>
      </c>
      <c r="Y156" s="542">
        <v>0</v>
      </c>
      <c r="Z156" s="550">
        <v>0</v>
      </c>
      <c r="AA156" s="551">
        <v>20000</v>
      </c>
      <c r="AB156" s="560">
        <v>1</v>
      </c>
      <c r="AC156" s="561">
        <v>0</v>
      </c>
      <c r="AD156" s="443">
        <f t="shared" si="110"/>
        <v>1</v>
      </c>
      <c r="AE156" s="407">
        <f t="shared" si="128"/>
        <v>331</v>
      </c>
      <c r="AF156" s="408">
        <f t="shared" si="111"/>
        <v>1</v>
      </c>
      <c r="AG156" s="409">
        <f t="shared" si="129"/>
        <v>331</v>
      </c>
      <c r="AH156" s="406">
        <f t="shared" si="112"/>
        <v>1</v>
      </c>
      <c r="AI156" s="409">
        <f t="shared" si="130"/>
        <v>331</v>
      </c>
      <c r="AJ156" s="410" t="str">
        <f t="shared" si="113"/>
        <v>80-100%</v>
      </c>
      <c r="AK156" s="406">
        <f t="shared" si="114"/>
        <v>0</v>
      </c>
      <c r="AL156" s="411">
        <f t="shared" si="115"/>
        <v>0</v>
      </c>
      <c r="AM156" s="409">
        <f t="shared" si="116"/>
        <v>0.82750000000000001</v>
      </c>
      <c r="AN156" s="409">
        <f t="shared" si="117"/>
        <v>0</v>
      </c>
      <c r="AO156" s="409">
        <f t="shared" si="131"/>
        <v>331</v>
      </c>
      <c r="AP156" s="566">
        <v>1</v>
      </c>
      <c r="AQ156" s="567">
        <f t="shared" si="142"/>
        <v>331</v>
      </c>
      <c r="AR156" s="551"/>
      <c r="AS156" s="552">
        <v>20</v>
      </c>
      <c r="AT156" s="515">
        <v>20</v>
      </c>
      <c r="AU156" s="515">
        <v>0</v>
      </c>
      <c r="AV156" s="515" t="s">
        <v>300</v>
      </c>
      <c r="AW156" s="412">
        <f t="shared" si="118"/>
        <v>1</v>
      </c>
      <c r="AX156" s="409">
        <f t="shared" si="132"/>
        <v>331</v>
      </c>
      <c r="AY156" s="412">
        <f t="shared" si="119"/>
        <v>1</v>
      </c>
      <c r="AZ156" s="409">
        <f t="shared" si="133"/>
        <v>331</v>
      </c>
      <c r="BA156" s="412">
        <f t="shared" si="120"/>
        <v>0</v>
      </c>
      <c r="BB156" s="409">
        <f t="shared" si="134"/>
        <v>0</v>
      </c>
      <c r="BC156" s="550">
        <v>3</v>
      </c>
      <c r="BD156" s="571">
        <v>1</v>
      </c>
      <c r="BE156" s="413">
        <f t="shared" si="121"/>
        <v>331</v>
      </c>
      <c r="BF156" s="414">
        <f t="shared" si="135"/>
        <v>19.55</v>
      </c>
      <c r="BG156" s="515">
        <v>4</v>
      </c>
      <c r="BH156" s="550" t="s">
        <v>299</v>
      </c>
      <c r="BI156" s="412">
        <f t="shared" si="136"/>
        <v>1</v>
      </c>
      <c r="BJ156" s="409">
        <f t="shared" si="137"/>
        <v>331</v>
      </c>
      <c r="BK156" s="414">
        <f t="shared" si="138"/>
        <v>0</v>
      </c>
      <c r="BL156" s="571">
        <v>1</v>
      </c>
      <c r="BM156" s="409">
        <f t="shared" si="139"/>
        <v>331</v>
      </c>
      <c r="BN156" s="515">
        <v>2</v>
      </c>
      <c r="BO156" s="412">
        <f t="shared" si="122"/>
        <v>0.60422960725075525</v>
      </c>
      <c r="BP156" s="414">
        <f t="shared" si="123"/>
        <v>1.31</v>
      </c>
      <c r="BQ156" s="561">
        <v>0.7</v>
      </c>
      <c r="BR156" s="589" t="s">
        <v>804</v>
      </c>
      <c r="BS156" s="594">
        <v>42135</v>
      </c>
      <c r="BT156" s="415">
        <f t="shared" si="143"/>
        <v>42500</v>
      </c>
      <c r="BU156" s="515">
        <v>81</v>
      </c>
      <c r="BV156" s="515">
        <v>1</v>
      </c>
      <c r="BW156" s="416">
        <f t="shared" si="144"/>
        <v>1</v>
      </c>
      <c r="BX156" s="417">
        <f t="shared" si="124"/>
        <v>0.98780487804878048</v>
      </c>
      <c r="BY156" s="409">
        <f t="shared" si="125"/>
        <v>326.96341463414632</v>
      </c>
      <c r="BZ156" s="446">
        <f t="shared" si="145"/>
        <v>0</v>
      </c>
      <c r="CA156" s="552"/>
      <c r="CB156" s="561">
        <v>0.5</v>
      </c>
      <c r="CC156" s="451">
        <f t="shared" si="140"/>
        <v>165.5</v>
      </c>
      <c r="CD156" s="552">
        <v>2</v>
      </c>
      <c r="CE156" s="418" t="str">
        <f t="shared" si="141"/>
        <v>Excellent coverage</v>
      </c>
      <c r="CF156" s="515">
        <v>0</v>
      </c>
      <c r="CG156" s="543" t="s">
        <v>65</v>
      </c>
      <c r="CH156" s="602"/>
    </row>
    <row r="157" spans="2:86" s="40" customFormat="1" ht="30.75" customHeight="1" x14ac:dyDescent="0.2">
      <c r="B157" s="512" t="s">
        <v>214</v>
      </c>
      <c r="C157" s="513" t="s">
        <v>741</v>
      </c>
      <c r="D157" s="514" t="s">
        <v>274</v>
      </c>
      <c r="E157" s="513" t="s">
        <v>500</v>
      </c>
      <c r="F157" s="514">
        <v>97.911671100000007</v>
      </c>
      <c r="G157" s="514">
        <v>24.006896999999999</v>
      </c>
      <c r="H157" s="514" t="s">
        <v>467</v>
      </c>
      <c r="I157" s="514" t="s">
        <v>218</v>
      </c>
      <c r="J157" s="515">
        <v>31</v>
      </c>
      <c r="K157" s="515">
        <v>127</v>
      </c>
      <c r="L157" s="515">
        <v>127</v>
      </c>
      <c r="M157" s="405" t="str">
        <f t="shared" si="109"/>
        <v>1. Small</v>
      </c>
      <c r="N157" s="516" t="s">
        <v>235</v>
      </c>
      <c r="O157" s="530" t="s">
        <v>424</v>
      </c>
      <c r="P157" s="439" t="str">
        <f t="shared" si="126"/>
        <v>Covered</v>
      </c>
      <c r="Q157" s="531">
        <v>42185</v>
      </c>
      <c r="R157" s="532" t="s">
        <v>424</v>
      </c>
      <c r="S157" s="531">
        <v>42185</v>
      </c>
      <c r="T157" s="516" t="s">
        <v>260</v>
      </c>
      <c r="U157" s="436" t="str">
        <f t="shared" si="127"/>
        <v>Documented</v>
      </c>
      <c r="V157" s="542">
        <v>0</v>
      </c>
      <c r="W157" s="515">
        <v>0</v>
      </c>
      <c r="X157" s="543" t="s">
        <v>19</v>
      </c>
      <c r="Y157" s="542">
        <v>0</v>
      </c>
      <c r="Z157" s="550">
        <v>0</v>
      </c>
      <c r="AA157" s="551">
        <v>5000</v>
      </c>
      <c r="AB157" s="560">
        <v>0.6</v>
      </c>
      <c r="AC157" s="561">
        <v>0</v>
      </c>
      <c r="AD157" s="443">
        <f t="shared" si="110"/>
        <v>1</v>
      </c>
      <c r="AE157" s="407">
        <f t="shared" si="128"/>
        <v>127</v>
      </c>
      <c r="AF157" s="408">
        <f t="shared" si="111"/>
        <v>1</v>
      </c>
      <c r="AG157" s="409">
        <f t="shared" si="129"/>
        <v>127</v>
      </c>
      <c r="AH157" s="406">
        <f t="shared" si="112"/>
        <v>1</v>
      </c>
      <c r="AI157" s="409">
        <f t="shared" si="130"/>
        <v>127</v>
      </c>
      <c r="AJ157" s="410" t="str">
        <f t="shared" si="113"/>
        <v>80-100%</v>
      </c>
      <c r="AK157" s="406">
        <f t="shared" si="114"/>
        <v>0</v>
      </c>
      <c r="AL157" s="411">
        <f t="shared" si="115"/>
        <v>0</v>
      </c>
      <c r="AM157" s="409">
        <f t="shared" si="116"/>
        <v>0.3175</v>
      </c>
      <c r="AN157" s="409">
        <f t="shared" si="117"/>
        <v>0</v>
      </c>
      <c r="AO157" s="409">
        <f t="shared" si="131"/>
        <v>76.2</v>
      </c>
      <c r="AP157" s="566">
        <v>1</v>
      </c>
      <c r="AQ157" s="567">
        <f t="shared" si="142"/>
        <v>127</v>
      </c>
      <c r="AR157" s="551"/>
      <c r="AS157" s="552">
        <v>10</v>
      </c>
      <c r="AT157" s="515">
        <v>10</v>
      </c>
      <c r="AU157" s="515">
        <v>3</v>
      </c>
      <c r="AV157" s="515" t="s">
        <v>299</v>
      </c>
      <c r="AW157" s="412">
        <f t="shared" si="118"/>
        <v>1</v>
      </c>
      <c r="AX157" s="409">
        <f t="shared" si="132"/>
        <v>127</v>
      </c>
      <c r="AY157" s="412">
        <f t="shared" si="119"/>
        <v>0.52755905511811019</v>
      </c>
      <c r="AZ157" s="409">
        <f t="shared" si="133"/>
        <v>67</v>
      </c>
      <c r="BA157" s="412">
        <f t="shared" si="120"/>
        <v>0.47244094488188976</v>
      </c>
      <c r="BB157" s="409">
        <f t="shared" si="134"/>
        <v>60</v>
      </c>
      <c r="BC157" s="550">
        <v>2</v>
      </c>
      <c r="BD157" s="571">
        <v>1</v>
      </c>
      <c r="BE157" s="413">
        <f t="shared" si="121"/>
        <v>127</v>
      </c>
      <c r="BF157" s="414">
        <f t="shared" si="135"/>
        <v>5.35</v>
      </c>
      <c r="BG157" s="515">
        <v>2</v>
      </c>
      <c r="BH157" s="550" t="s">
        <v>299</v>
      </c>
      <c r="BI157" s="412">
        <f t="shared" si="136"/>
        <v>1</v>
      </c>
      <c r="BJ157" s="409">
        <f t="shared" si="137"/>
        <v>127</v>
      </c>
      <c r="BK157" s="414">
        <f t="shared" si="138"/>
        <v>0</v>
      </c>
      <c r="BL157" s="571">
        <v>1</v>
      </c>
      <c r="BM157" s="409">
        <f>BL157*L157</f>
        <v>127</v>
      </c>
      <c r="BN157" s="515">
        <v>0</v>
      </c>
      <c r="BO157" s="412">
        <f t="shared" si="122"/>
        <v>0</v>
      </c>
      <c r="BP157" s="414">
        <f t="shared" si="123"/>
        <v>1.27</v>
      </c>
      <c r="BQ157" s="561">
        <v>0</v>
      </c>
      <c r="BR157" s="589" t="s">
        <v>804</v>
      </c>
      <c r="BS157" s="594">
        <v>41776</v>
      </c>
      <c r="BT157" s="415" t="str">
        <f t="shared" si="143"/>
        <v>To be realised</v>
      </c>
      <c r="BU157" s="515">
        <v>80</v>
      </c>
      <c r="BV157" s="515">
        <v>9</v>
      </c>
      <c r="BW157" s="416">
        <f t="shared" si="144"/>
        <v>31</v>
      </c>
      <c r="BX157" s="417">
        <f t="shared" si="124"/>
        <v>0</v>
      </c>
      <c r="BY157" s="409">
        <f t="shared" si="125"/>
        <v>0</v>
      </c>
      <c r="BZ157" s="446">
        <f t="shared" si="145"/>
        <v>3</v>
      </c>
      <c r="CA157" s="552" t="s">
        <v>873</v>
      </c>
      <c r="CB157" s="561">
        <v>0.5</v>
      </c>
      <c r="CC157" s="451">
        <f t="shared" si="140"/>
        <v>63.5</v>
      </c>
      <c r="CD157" s="552">
        <v>1</v>
      </c>
      <c r="CE157" s="418" t="str">
        <f t="shared" si="141"/>
        <v>Excellent coverage</v>
      </c>
      <c r="CF157" s="515">
        <v>0</v>
      </c>
      <c r="CG157" s="543" t="s">
        <v>65</v>
      </c>
      <c r="CH157" s="602"/>
    </row>
    <row r="158" spans="2:86" s="40" customFormat="1" ht="30.75" customHeight="1" x14ac:dyDescent="0.2">
      <c r="B158" s="512" t="s">
        <v>186</v>
      </c>
      <c r="C158" s="513" t="s">
        <v>575</v>
      </c>
      <c r="D158" s="514" t="s">
        <v>274</v>
      </c>
      <c r="E158" s="513" t="s">
        <v>287</v>
      </c>
      <c r="F158" s="514">
        <v>97.587900000000005</v>
      </c>
      <c r="G158" s="514">
        <v>23.83</v>
      </c>
      <c r="H158" s="514" t="s">
        <v>467</v>
      </c>
      <c r="I158" s="514" t="s">
        <v>218</v>
      </c>
      <c r="J158" s="515">
        <v>115</v>
      </c>
      <c r="K158" s="515">
        <v>680</v>
      </c>
      <c r="L158" s="515">
        <v>680</v>
      </c>
      <c r="M158" s="405" t="str">
        <f t="shared" si="109"/>
        <v>2. Medium</v>
      </c>
      <c r="N158" s="516" t="s">
        <v>239</v>
      </c>
      <c r="O158" s="530" t="s">
        <v>424</v>
      </c>
      <c r="P158" s="439" t="str">
        <f t="shared" si="126"/>
        <v>Covered</v>
      </c>
      <c r="Q158" s="531">
        <v>42185</v>
      </c>
      <c r="R158" s="532" t="s">
        <v>424</v>
      </c>
      <c r="S158" s="531">
        <v>42185</v>
      </c>
      <c r="T158" s="516" t="s">
        <v>260</v>
      </c>
      <c r="U158" s="436" t="str">
        <f t="shared" si="127"/>
        <v>Documented</v>
      </c>
      <c r="V158" s="542">
        <v>0</v>
      </c>
      <c r="W158" s="515">
        <v>0</v>
      </c>
      <c r="X158" s="543" t="s">
        <v>19</v>
      </c>
      <c r="Y158" s="542">
        <v>0</v>
      </c>
      <c r="Z158" s="550">
        <v>1</v>
      </c>
      <c r="AA158" s="551">
        <v>14063</v>
      </c>
      <c r="AB158" s="556">
        <v>0.71</v>
      </c>
      <c r="AC158" s="557">
        <v>0</v>
      </c>
      <c r="AD158" s="443">
        <f t="shared" si="110"/>
        <v>1</v>
      </c>
      <c r="AE158" s="407">
        <f t="shared" si="128"/>
        <v>680</v>
      </c>
      <c r="AF158" s="408">
        <f t="shared" si="111"/>
        <v>1</v>
      </c>
      <c r="AG158" s="409">
        <f t="shared" si="129"/>
        <v>680</v>
      </c>
      <c r="AH158" s="406">
        <f t="shared" si="112"/>
        <v>1</v>
      </c>
      <c r="AI158" s="409">
        <f t="shared" si="130"/>
        <v>680</v>
      </c>
      <c r="AJ158" s="410" t="str">
        <f t="shared" si="113"/>
        <v>80-100%</v>
      </c>
      <c r="AK158" s="406">
        <f t="shared" si="114"/>
        <v>0</v>
      </c>
      <c r="AL158" s="411">
        <f t="shared" si="115"/>
        <v>0</v>
      </c>
      <c r="AM158" s="409">
        <f t="shared" si="116"/>
        <v>0.7</v>
      </c>
      <c r="AN158" s="409">
        <f t="shared" si="117"/>
        <v>0</v>
      </c>
      <c r="AO158" s="409">
        <f t="shared" si="131"/>
        <v>482.79999999999995</v>
      </c>
      <c r="AP158" s="566">
        <v>1</v>
      </c>
      <c r="AQ158" s="567">
        <f t="shared" si="142"/>
        <v>680</v>
      </c>
      <c r="AR158" s="551"/>
      <c r="AS158" s="552">
        <v>8</v>
      </c>
      <c r="AT158" s="515">
        <v>0</v>
      </c>
      <c r="AU158" s="515">
        <v>16</v>
      </c>
      <c r="AV158" s="515" t="s">
        <v>298</v>
      </c>
      <c r="AW158" s="412">
        <f t="shared" ref="AW158:AW179" si="146">IF((((AT158+AU158)*20)/L158)&gt;1,1,(((AT158+AU158)*20)/L158))</f>
        <v>0.47058823529411764</v>
      </c>
      <c r="AX158" s="409">
        <f t="shared" ref="AX158:AX179" si="147">AW158*L158</f>
        <v>320</v>
      </c>
      <c r="AY158" s="412">
        <f t="shared" ref="AY158:AY179" si="148">AW158-BA158</f>
        <v>0</v>
      </c>
      <c r="AZ158" s="409">
        <f t="shared" ref="AZ158:AZ179" si="149">AY158*L158</f>
        <v>0</v>
      </c>
      <c r="BA158" s="412">
        <f t="shared" ref="BA158:BA179" si="150">IF(((AU158*20)/L158)&gt;1,1,((AU158*20)/L158))</f>
        <v>0.47058823529411764</v>
      </c>
      <c r="BB158" s="409">
        <f t="shared" ref="BB158:BB180" si="151">BA158*L158</f>
        <v>320</v>
      </c>
      <c r="BC158" s="550">
        <v>0</v>
      </c>
      <c r="BD158" s="571">
        <v>0.47</v>
      </c>
      <c r="BE158" s="413">
        <f t="shared" si="121"/>
        <v>319.59999999999997</v>
      </c>
      <c r="BF158" s="414">
        <f t="shared" si="135"/>
        <v>18</v>
      </c>
      <c r="BG158" s="515">
        <v>2</v>
      </c>
      <c r="BH158" s="550" t="s">
        <v>300</v>
      </c>
      <c r="BI158" s="412">
        <f t="shared" ref="BI158:BI179" si="152">IF((BG158*100/L158)&gt;1,1,(BG158*100/L158))</f>
        <v>0.29411764705882354</v>
      </c>
      <c r="BJ158" s="409">
        <f t="shared" ref="BJ158:BJ179" si="153">BI158*L158</f>
        <v>200</v>
      </c>
      <c r="BK158" s="414">
        <f t="shared" ref="BK158:BK179" si="154">IF(K158/100-BG158&lt;0,0,K158/100-BG158)</f>
        <v>4.8</v>
      </c>
      <c r="BL158" s="571">
        <v>0.3</v>
      </c>
      <c r="BM158" s="409">
        <f t="shared" ref="BM158:BM180" si="155">BL158*L158</f>
        <v>204</v>
      </c>
      <c r="BN158" s="515">
        <v>4</v>
      </c>
      <c r="BO158" s="412">
        <f t="shared" ref="BO158:BO179" si="156">IF((BN158*100/L158)&gt;1,1,(BN158*100/L158))</f>
        <v>0.58823529411764708</v>
      </c>
      <c r="BP158" s="414">
        <f t="shared" ref="BP158:BP179" si="157">IF(K158/100-BN158&lt;0,0,K158/100-BN158)</f>
        <v>2.8</v>
      </c>
      <c r="BQ158" s="561">
        <v>0.72</v>
      </c>
      <c r="BR158" s="589" t="s">
        <v>805</v>
      </c>
      <c r="BS158" s="594">
        <v>41983</v>
      </c>
      <c r="BT158" s="415">
        <f t="shared" si="143"/>
        <v>42348</v>
      </c>
      <c r="BU158" s="515">
        <v>115</v>
      </c>
      <c r="BV158" s="515">
        <v>12</v>
      </c>
      <c r="BW158" s="416">
        <f t="shared" si="144"/>
        <v>0</v>
      </c>
      <c r="BX158" s="417">
        <f t="shared" si="124"/>
        <v>1</v>
      </c>
      <c r="BY158" s="409">
        <f t="shared" si="125"/>
        <v>680</v>
      </c>
      <c r="BZ158" s="446">
        <f t="shared" si="145"/>
        <v>0</v>
      </c>
      <c r="CA158" s="552"/>
      <c r="CB158" s="561">
        <v>0.5</v>
      </c>
      <c r="CC158" s="451">
        <f t="shared" si="140"/>
        <v>340</v>
      </c>
      <c r="CD158" s="552">
        <v>6</v>
      </c>
      <c r="CE158" s="418" t="str">
        <f t="shared" si="141"/>
        <v>Excellent coverage</v>
      </c>
      <c r="CF158" s="515">
        <v>0</v>
      </c>
      <c r="CG158" s="543" t="s">
        <v>65</v>
      </c>
      <c r="CH158" s="602"/>
    </row>
    <row r="159" spans="2:86" s="40" customFormat="1" ht="30.75" customHeight="1" x14ac:dyDescent="0.2">
      <c r="B159" s="512" t="s">
        <v>186</v>
      </c>
      <c r="C159" s="513" t="s">
        <v>576</v>
      </c>
      <c r="D159" s="514" t="s">
        <v>274</v>
      </c>
      <c r="E159" s="513" t="s">
        <v>288</v>
      </c>
      <c r="F159" s="514">
        <v>97.596000000000004</v>
      </c>
      <c r="G159" s="514">
        <v>23.831</v>
      </c>
      <c r="H159" s="514" t="s">
        <v>467</v>
      </c>
      <c r="I159" s="514" t="s">
        <v>218</v>
      </c>
      <c r="J159" s="515">
        <v>506</v>
      </c>
      <c r="K159" s="515">
        <v>2374</v>
      </c>
      <c r="L159" s="515">
        <v>2374</v>
      </c>
      <c r="M159" s="405" t="str">
        <f t="shared" si="109"/>
        <v>4. Big</v>
      </c>
      <c r="N159" s="516" t="s">
        <v>235</v>
      </c>
      <c r="O159" s="530" t="s">
        <v>424</v>
      </c>
      <c r="P159" s="439" t="str">
        <f t="shared" si="126"/>
        <v>Covered</v>
      </c>
      <c r="Q159" s="531">
        <v>42185</v>
      </c>
      <c r="R159" s="532" t="s">
        <v>424</v>
      </c>
      <c r="S159" s="531">
        <v>42185</v>
      </c>
      <c r="T159" s="516" t="s">
        <v>260</v>
      </c>
      <c r="U159" s="436" t="str">
        <f t="shared" si="127"/>
        <v>Documented</v>
      </c>
      <c r="V159" s="542">
        <v>0</v>
      </c>
      <c r="W159" s="515">
        <v>0</v>
      </c>
      <c r="X159" s="543" t="s">
        <v>19</v>
      </c>
      <c r="Y159" s="542">
        <v>2</v>
      </c>
      <c r="Z159" s="550">
        <v>1</v>
      </c>
      <c r="AA159" s="551">
        <v>43140</v>
      </c>
      <c r="AB159" s="556">
        <v>0.28000000000000003</v>
      </c>
      <c r="AC159" s="557">
        <v>0</v>
      </c>
      <c r="AD159" s="443">
        <f t="shared" si="110"/>
        <v>1</v>
      </c>
      <c r="AE159" s="407">
        <f t="shared" si="128"/>
        <v>2374</v>
      </c>
      <c r="AF159" s="408">
        <f t="shared" si="111"/>
        <v>1</v>
      </c>
      <c r="AG159" s="409">
        <f t="shared" si="129"/>
        <v>2374</v>
      </c>
      <c r="AH159" s="406">
        <f t="shared" si="112"/>
        <v>1</v>
      </c>
      <c r="AI159" s="409">
        <f t="shared" si="130"/>
        <v>2374</v>
      </c>
      <c r="AJ159" s="410" t="str">
        <f t="shared" si="113"/>
        <v>80-100%</v>
      </c>
      <c r="AK159" s="406">
        <f t="shared" si="114"/>
        <v>0</v>
      </c>
      <c r="AL159" s="411">
        <f t="shared" si="115"/>
        <v>0</v>
      </c>
      <c r="AM159" s="409">
        <f t="shared" si="116"/>
        <v>2.9349999999999996</v>
      </c>
      <c r="AN159" s="409">
        <f t="shared" si="117"/>
        <v>0</v>
      </c>
      <c r="AO159" s="409">
        <f t="shared" si="131"/>
        <v>664.72</v>
      </c>
      <c r="AP159" s="566">
        <v>1</v>
      </c>
      <c r="AQ159" s="567">
        <f t="shared" si="142"/>
        <v>2374</v>
      </c>
      <c r="AR159" s="551"/>
      <c r="AS159" s="552">
        <v>65</v>
      </c>
      <c r="AT159" s="515">
        <v>65</v>
      </c>
      <c r="AU159" s="515">
        <v>58</v>
      </c>
      <c r="AV159" s="515" t="s">
        <v>298</v>
      </c>
      <c r="AW159" s="412">
        <f t="shared" si="146"/>
        <v>1</v>
      </c>
      <c r="AX159" s="409">
        <f t="shared" si="147"/>
        <v>2374</v>
      </c>
      <c r="AY159" s="412">
        <f t="shared" si="148"/>
        <v>0.51137320977253586</v>
      </c>
      <c r="AZ159" s="409">
        <f t="shared" si="149"/>
        <v>1214.0000000000002</v>
      </c>
      <c r="BA159" s="412">
        <f t="shared" si="150"/>
        <v>0.48862679022746419</v>
      </c>
      <c r="BB159" s="409">
        <f t="shared" si="151"/>
        <v>1160</v>
      </c>
      <c r="BC159" s="550">
        <v>18</v>
      </c>
      <c r="BD159" s="571">
        <v>1</v>
      </c>
      <c r="BE159" s="413">
        <f t="shared" si="121"/>
        <v>2374</v>
      </c>
      <c r="BF159" s="414">
        <f t="shared" si="135"/>
        <v>78.7</v>
      </c>
      <c r="BG159" s="515">
        <v>8</v>
      </c>
      <c r="BH159" s="550" t="s">
        <v>91</v>
      </c>
      <c r="BI159" s="412">
        <f t="shared" si="152"/>
        <v>0.33698399326032014</v>
      </c>
      <c r="BJ159" s="409">
        <f t="shared" si="153"/>
        <v>800</v>
      </c>
      <c r="BK159" s="414">
        <f t="shared" si="154"/>
        <v>15.739999999999998</v>
      </c>
      <c r="BL159" s="571">
        <v>0.4</v>
      </c>
      <c r="BM159" s="409">
        <f t="shared" si="155"/>
        <v>949.6</v>
      </c>
      <c r="BN159" s="515">
        <v>10</v>
      </c>
      <c r="BO159" s="412">
        <f t="shared" si="156"/>
        <v>0.42122999157540014</v>
      </c>
      <c r="BP159" s="414">
        <f t="shared" si="157"/>
        <v>13.739999999999998</v>
      </c>
      <c r="BQ159" s="561">
        <v>0.49</v>
      </c>
      <c r="BR159" s="589" t="s">
        <v>832</v>
      </c>
      <c r="BS159" s="594">
        <v>41983</v>
      </c>
      <c r="BT159" s="415">
        <f t="shared" si="143"/>
        <v>42348</v>
      </c>
      <c r="BU159" s="515">
        <v>477</v>
      </c>
      <c r="BV159" s="515">
        <v>13</v>
      </c>
      <c r="BW159" s="416">
        <f t="shared" si="144"/>
        <v>29</v>
      </c>
      <c r="BX159" s="417">
        <f t="shared" si="124"/>
        <v>0.94268774703557312</v>
      </c>
      <c r="BY159" s="409">
        <f t="shared" si="125"/>
        <v>2237.9407114624505</v>
      </c>
      <c r="BZ159" s="446">
        <f t="shared" si="145"/>
        <v>0</v>
      </c>
      <c r="CA159" s="599" t="s">
        <v>874</v>
      </c>
      <c r="CB159" s="561">
        <v>0.5</v>
      </c>
      <c r="CC159" s="451">
        <f t="shared" si="140"/>
        <v>1187</v>
      </c>
      <c r="CD159" s="552">
        <v>19</v>
      </c>
      <c r="CE159" s="418" t="str">
        <f t="shared" si="141"/>
        <v>Excellent coverage</v>
      </c>
      <c r="CF159" s="515">
        <v>0</v>
      </c>
      <c r="CG159" s="543" t="s">
        <v>65</v>
      </c>
      <c r="CH159" s="602"/>
    </row>
    <row r="160" spans="2:86" s="40" customFormat="1" ht="30.75" customHeight="1" x14ac:dyDescent="0.2">
      <c r="B160" s="512" t="s">
        <v>486</v>
      </c>
      <c r="C160" s="513" t="s">
        <v>599</v>
      </c>
      <c r="D160" s="514" t="s">
        <v>274</v>
      </c>
      <c r="E160" s="513" t="s">
        <v>215</v>
      </c>
      <c r="F160" s="514">
        <v>97.681920000000005</v>
      </c>
      <c r="G160" s="514">
        <v>23.821317000000001</v>
      </c>
      <c r="H160" s="514" t="s">
        <v>467</v>
      </c>
      <c r="I160" s="514" t="s">
        <v>218</v>
      </c>
      <c r="J160" s="515">
        <v>77</v>
      </c>
      <c r="K160" s="515">
        <v>324</v>
      </c>
      <c r="L160" s="515">
        <v>324</v>
      </c>
      <c r="M160" s="405" t="str">
        <f t="shared" si="109"/>
        <v>2. Medium</v>
      </c>
      <c r="N160" s="516" t="s">
        <v>239</v>
      </c>
      <c r="O160" s="530" t="s">
        <v>424</v>
      </c>
      <c r="P160" s="439" t="str">
        <f t="shared" si="126"/>
        <v>Covered</v>
      </c>
      <c r="Q160" s="531">
        <v>42185</v>
      </c>
      <c r="R160" s="532" t="s">
        <v>424</v>
      </c>
      <c r="S160" s="531">
        <v>42185</v>
      </c>
      <c r="T160" s="516" t="s">
        <v>260</v>
      </c>
      <c r="U160" s="436" t="str">
        <f t="shared" si="127"/>
        <v>Documented</v>
      </c>
      <c r="V160" s="542">
        <v>0</v>
      </c>
      <c r="W160" s="515">
        <v>0</v>
      </c>
      <c r="X160" s="543" t="s">
        <v>19</v>
      </c>
      <c r="Y160" s="542">
        <v>0</v>
      </c>
      <c r="Z160" s="550">
        <v>0</v>
      </c>
      <c r="AA160" s="551">
        <v>72000</v>
      </c>
      <c r="AB160" s="556">
        <v>1</v>
      </c>
      <c r="AC160" s="557">
        <v>0</v>
      </c>
      <c r="AD160" s="443">
        <f t="shared" si="110"/>
        <v>1</v>
      </c>
      <c r="AE160" s="407">
        <f t="shared" si="128"/>
        <v>324</v>
      </c>
      <c r="AF160" s="408">
        <f t="shared" si="111"/>
        <v>1</v>
      </c>
      <c r="AG160" s="409">
        <f t="shared" si="129"/>
        <v>324</v>
      </c>
      <c r="AH160" s="406">
        <f t="shared" si="112"/>
        <v>1</v>
      </c>
      <c r="AI160" s="409">
        <f t="shared" si="130"/>
        <v>324</v>
      </c>
      <c r="AJ160" s="410" t="str">
        <f t="shared" si="113"/>
        <v>80-100%</v>
      </c>
      <c r="AK160" s="406">
        <f t="shared" si="114"/>
        <v>0</v>
      </c>
      <c r="AL160" s="411">
        <f t="shared" si="115"/>
        <v>0</v>
      </c>
      <c r="AM160" s="409">
        <f t="shared" si="116"/>
        <v>0.81</v>
      </c>
      <c r="AN160" s="409">
        <f t="shared" si="117"/>
        <v>0</v>
      </c>
      <c r="AO160" s="409">
        <f t="shared" si="131"/>
        <v>324</v>
      </c>
      <c r="AP160" s="566">
        <v>1</v>
      </c>
      <c r="AQ160" s="567">
        <f t="shared" si="142"/>
        <v>324</v>
      </c>
      <c r="AR160" s="551"/>
      <c r="AS160" s="552">
        <v>17</v>
      </c>
      <c r="AT160" s="515">
        <v>16</v>
      </c>
      <c r="AU160" s="515">
        <v>0</v>
      </c>
      <c r="AV160" s="515" t="s">
        <v>299</v>
      </c>
      <c r="AW160" s="412">
        <f t="shared" si="146"/>
        <v>0.98765432098765427</v>
      </c>
      <c r="AX160" s="409">
        <f t="shared" si="147"/>
        <v>320</v>
      </c>
      <c r="AY160" s="412">
        <f t="shared" si="148"/>
        <v>0.98765432098765427</v>
      </c>
      <c r="AZ160" s="409">
        <f t="shared" si="149"/>
        <v>320</v>
      </c>
      <c r="BA160" s="412">
        <f t="shared" si="150"/>
        <v>0</v>
      </c>
      <c r="BB160" s="409">
        <f t="shared" si="151"/>
        <v>0</v>
      </c>
      <c r="BC160" s="550">
        <v>1</v>
      </c>
      <c r="BD160" s="571">
        <v>0.99</v>
      </c>
      <c r="BE160" s="413">
        <f t="shared" si="121"/>
        <v>320.76</v>
      </c>
      <c r="BF160" s="414">
        <f t="shared" si="135"/>
        <v>17.2</v>
      </c>
      <c r="BG160" s="515">
        <v>2</v>
      </c>
      <c r="BH160" s="550" t="s">
        <v>91</v>
      </c>
      <c r="BI160" s="412">
        <f t="shared" si="152"/>
        <v>0.61728395061728392</v>
      </c>
      <c r="BJ160" s="409">
        <f t="shared" si="153"/>
        <v>200</v>
      </c>
      <c r="BK160" s="414">
        <f t="shared" si="154"/>
        <v>1.2400000000000002</v>
      </c>
      <c r="BL160" s="571">
        <v>0.63</v>
      </c>
      <c r="BM160" s="409">
        <f t="shared" si="155"/>
        <v>204.12</v>
      </c>
      <c r="BN160" s="515">
        <v>4</v>
      </c>
      <c r="BO160" s="412">
        <f t="shared" si="156"/>
        <v>1</v>
      </c>
      <c r="BP160" s="414">
        <f t="shared" si="157"/>
        <v>0</v>
      </c>
      <c r="BQ160" s="561">
        <v>1</v>
      </c>
      <c r="BR160" s="589" t="s">
        <v>867</v>
      </c>
      <c r="BS160" s="594">
        <v>41983</v>
      </c>
      <c r="BT160" s="415">
        <f t="shared" si="143"/>
        <v>42348</v>
      </c>
      <c r="BU160" s="515">
        <v>77</v>
      </c>
      <c r="BV160" s="515">
        <v>17</v>
      </c>
      <c r="BW160" s="416">
        <f t="shared" ref="BW160:BW179" si="158">IF(BT160="n/a",0,IF(BT160="To be realised",J160,IF((J160-BU160)&lt;0,0,(J160-BU160))))</f>
        <v>0</v>
      </c>
      <c r="BX160" s="417">
        <f t="shared" ref="BX160:BX179" si="159">IF(BW160=0,1,(J160-BW160)/J160)</f>
        <v>1</v>
      </c>
      <c r="BY160" s="409">
        <f t="shared" ref="BY160:BY179" si="160">BX160*L160</f>
        <v>324</v>
      </c>
      <c r="BZ160" s="446">
        <f t="shared" si="145"/>
        <v>0</v>
      </c>
      <c r="CA160" s="552"/>
      <c r="CB160" s="561">
        <v>0.75</v>
      </c>
      <c r="CC160" s="451">
        <f t="shared" si="140"/>
        <v>243</v>
      </c>
      <c r="CD160" s="552">
        <v>3</v>
      </c>
      <c r="CE160" s="418" t="str">
        <f t="shared" si="141"/>
        <v>Excellent coverage</v>
      </c>
      <c r="CF160" s="515">
        <v>0</v>
      </c>
      <c r="CG160" s="543" t="s">
        <v>301</v>
      </c>
      <c r="CH160" s="602"/>
    </row>
    <row r="161" spans="2:86" s="40" customFormat="1" ht="30.75" customHeight="1" x14ac:dyDescent="0.2">
      <c r="B161" s="512" t="s">
        <v>486</v>
      </c>
      <c r="C161" s="513" t="s">
        <v>600</v>
      </c>
      <c r="D161" s="514" t="s">
        <v>274</v>
      </c>
      <c r="E161" s="513" t="s">
        <v>216</v>
      </c>
      <c r="F161" s="514">
        <v>97.683499999999995</v>
      </c>
      <c r="G161" s="514">
        <v>23.831700000000001</v>
      </c>
      <c r="H161" s="514" t="s">
        <v>467</v>
      </c>
      <c r="I161" s="514" t="s">
        <v>218</v>
      </c>
      <c r="J161" s="515">
        <v>71</v>
      </c>
      <c r="K161" s="515">
        <v>379</v>
      </c>
      <c r="L161" s="515">
        <v>379</v>
      </c>
      <c r="M161" s="405" t="str">
        <f t="shared" si="109"/>
        <v>2. Medium</v>
      </c>
      <c r="N161" s="516" t="s">
        <v>239</v>
      </c>
      <c r="O161" s="530" t="s">
        <v>424</v>
      </c>
      <c r="P161" s="439" t="str">
        <f t="shared" si="126"/>
        <v>Covered</v>
      </c>
      <c r="Q161" s="531">
        <v>42185</v>
      </c>
      <c r="R161" s="532" t="s">
        <v>424</v>
      </c>
      <c r="S161" s="531">
        <v>42185</v>
      </c>
      <c r="T161" s="516" t="s">
        <v>260</v>
      </c>
      <c r="U161" s="436" t="str">
        <f t="shared" si="127"/>
        <v>Documented</v>
      </c>
      <c r="V161" s="542">
        <v>0</v>
      </c>
      <c r="W161" s="515">
        <v>0</v>
      </c>
      <c r="X161" s="543" t="s">
        <v>19</v>
      </c>
      <c r="Y161" s="542">
        <v>0</v>
      </c>
      <c r="Z161" s="550">
        <v>0</v>
      </c>
      <c r="AA161" s="551">
        <v>15200</v>
      </c>
      <c r="AB161" s="556">
        <v>0</v>
      </c>
      <c r="AC161" s="557">
        <v>0</v>
      </c>
      <c r="AD161" s="443">
        <f t="shared" si="110"/>
        <v>1</v>
      </c>
      <c r="AE161" s="407">
        <f t="shared" si="128"/>
        <v>379</v>
      </c>
      <c r="AF161" s="408">
        <f t="shared" si="111"/>
        <v>1</v>
      </c>
      <c r="AG161" s="409">
        <f t="shared" si="129"/>
        <v>379</v>
      </c>
      <c r="AH161" s="406">
        <f t="shared" si="112"/>
        <v>1</v>
      </c>
      <c r="AI161" s="409">
        <f t="shared" si="130"/>
        <v>379</v>
      </c>
      <c r="AJ161" s="410" t="str">
        <f t="shared" si="113"/>
        <v>80-100%</v>
      </c>
      <c r="AK161" s="406">
        <f t="shared" si="114"/>
        <v>0</v>
      </c>
      <c r="AL161" s="411">
        <f t="shared" si="115"/>
        <v>0</v>
      </c>
      <c r="AM161" s="409">
        <f t="shared" si="116"/>
        <v>0.94750000000000001</v>
      </c>
      <c r="AN161" s="409">
        <f t="shared" si="117"/>
        <v>0</v>
      </c>
      <c r="AO161" s="409">
        <f t="shared" si="131"/>
        <v>0</v>
      </c>
      <c r="AP161" s="566">
        <v>1</v>
      </c>
      <c r="AQ161" s="567">
        <f t="shared" si="142"/>
        <v>379</v>
      </c>
      <c r="AR161" s="551"/>
      <c r="AS161" s="552">
        <v>0</v>
      </c>
      <c r="AT161" s="515">
        <v>0</v>
      </c>
      <c r="AU161" s="515">
        <v>10</v>
      </c>
      <c r="AV161" s="515" t="s">
        <v>299</v>
      </c>
      <c r="AW161" s="412">
        <f t="shared" si="146"/>
        <v>0.52770448548812665</v>
      </c>
      <c r="AX161" s="409">
        <f t="shared" si="147"/>
        <v>200</v>
      </c>
      <c r="AY161" s="412">
        <f t="shared" si="148"/>
        <v>0</v>
      </c>
      <c r="AZ161" s="409">
        <f t="shared" si="149"/>
        <v>0</v>
      </c>
      <c r="BA161" s="412">
        <f t="shared" si="150"/>
        <v>0.52770448548812665</v>
      </c>
      <c r="BB161" s="409">
        <f t="shared" si="151"/>
        <v>200</v>
      </c>
      <c r="BC161" s="550">
        <v>3</v>
      </c>
      <c r="BD161" s="571">
        <v>0.53</v>
      </c>
      <c r="BE161" s="413">
        <f t="shared" si="121"/>
        <v>200.87</v>
      </c>
      <c r="BF161" s="414">
        <f t="shared" si="135"/>
        <v>11.95</v>
      </c>
      <c r="BG161" s="515">
        <v>2</v>
      </c>
      <c r="BH161" s="550" t="s">
        <v>299</v>
      </c>
      <c r="BI161" s="412">
        <f t="shared" si="152"/>
        <v>0.52770448548812665</v>
      </c>
      <c r="BJ161" s="409">
        <f t="shared" si="153"/>
        <v>200</v>
      </c>
      <c r="BK161" s="414">
        <f t="shared" si="154"/>
        <v>1.79</v>
      </c>
      <c r="BL161" s="571">
        <v>0.53</v>
      </c>
      <c r="BM161" s="409">
        <f t="shared" si="155"/>
        <v>200.87</v>
      </c>
      <c r="BN161" s="515">
        <v>2</v>
      </c>
      <c r="BO161" s="412">
        <f t="shared" si="156"/>
        <v>0.52770448548812665</v>
      </c>
      <c r="BP161" s="414">
        <f t="shared" si="157"/>
        <v>1.79</v>
      </c>
      <c r="BQ161" s="561">
        <v>1</v>
      </c>
      <c r="BR161" s="589" t="s">
        <v>868</v>
      </c>
      <c r="BS161" s="594">
        <v>41983</v>
      </c>
      <c r="BT161" s="415">
        <f t="shared" si="143"/>
        <v>42348</v>
      </c>
      <c r="BU161" s="515">
        <v>73</v>
      </c>
      <c r="BV161" s="515">
        <v>17</v>
      </c>
      <c r="BW161" s="419">
        <f t="shared" si="158"/>
        <v>0</v>
      </c>
      <c r="BX161" s="420">
        <f t="shared" si="159"/>
        <v>1</v>
      </c>
      <c r="BY161" s="413">
        <f t="shared" si="160"/>
        <v>379</v>
      </c>
      <c r="BZ161" s="447">
        <f t="shared" si="145"/>
        <v>0</v>
      </c>
      <c r="CA161" s="552"/>
      <c r="CB161" s="561">
        <v>0.9</v>
      </c>
      <c r="CC161" s="451">
        <f t="shared" si="140"/>
        <v>341.1</v>
      </c>
      <c r="CD161" s="552">
        <v>5</v>
      </c>
      <c r="CE161" s="418" t="str">
        <f t="shared" si="141"/>
        <v>Excellent coverage</v>
      </c>
      <c r="CF161" s="515">
        <v>0</v>
      </c>
      <c r="CG161" s="543" t="s">
        <v>66</v>
      </c>
      <c r="CH161" s="602" t="s">
        <v>784</v>
      </c>
    </row>
    <row r="162" spans="2:86" s="40" customFormat="1" ht="30.75" customHeight="1" x14ac:dyDescent="0.2">
      <c r="B162" s="512" t="s">
        <v>486</v>
      </c>
      <c r="C162" s="513" t="s">
        <v>601</v>
      </c>
      <c r="D162" s="514" t="s">
        <v>274</v>
      </c>
      <c r="E162" s="513" t="s">
        <v>217</v>
      </c>
      <c r="F162" s="514">
        <v>97.685199999999995</v>
      </c>
      <c r="G162" s="514">
        <v>23.833100000000002</v>
      </c>
      <c r="H162" s="514" t="s">
        <v>467</v>
      </c>
      <c r="I162" s="514" t="s">
        <v>218</v>
      </c>
      <c r="J162" s="515">
        <v>55</v>
      </c>
      <c r="K162" s="515">
        <v>234</v>
      </c>
      <c r="L162" s="515">
        <v>212</v>
      </c>
      <c r="M162" s="405" t="str">
        <f t="shared" si="109"/>
        <v>2. Medium</v>
      </c>
      <c r="N162" s="516" t="s">
        <v>235</v>
      </c>
      <c r="O162" s="530" t="s">
        <v>424</v>
      </c>
      <c r="P162" s="439" t="str">
        <f t="shared" si="126"/>
        <v>Covered</v>
      </c>
      <c r="Q162" s="531">
        <v>42185</v>
      </c>
      <c r="R162" s="532" t="s">
        <v>424</v>
      </c>
      <c r="S162" s="531">
        <v>42185</v>
      </c>
      <c r="T162" s="516" t="s">
        <v>260</v>
      </c>
      <c r="U162" s="436" t="str">
        <f t="shared" si="127"/>
        <v>Documented</v>
      </c>
      <c r="V162" s="542">
        <v>0</v>
      </c>
      <c r="W162" s="515">
        <v>0</v>
      </c>
      <c r="X162" s="543" t="s">
        <v>19</v>
      </c>
      <c r="Y162" s="552">
        <v>1</v>
      </c>
      <c r="Z162" s="515">
        <v>0</v>
      </c>
      <c r="AA162" s="543">
        <v>35500</v>
      </c>
      <c r="AB162" s="560">
        <v>0.8</v>
      </c>
      <c r="AC162" s="561">
        <v>0</v>
      </c>
      <c r="AD162" s="443">
        <f t="shared" si="110"/>
        <v>1</v>
      </c>
      <c r="AE162" s="407">
        <f t="shared" si="128"/>
        <v>212</v>
      </c>
      <c r="AF162" s="408">
        <f t="shared" si="111"/>
        <v>1</v>
      </c>
      <c r="AG162" s="409">
        <f t="shared" si="129"/>
        <v>212</v>
      </c>
      <c r="AH162" s="406">
        <f t="shared" si="112"/>
        <v>1</v>
      </c>
      <c r="AI162" s="409">
        <f t="shared" si="130"/>
        <v>212</v>
      </c>
      <c r="AJ162" s="410" t="str">
        <f t="shared" si="113"/>
        <v>80-100%</v>
      </c>
      <c r="AK162" s="406">
        <f t="shared" si="114"/>
        <v>0</v>
      </c>
      <c r="AL162" s="411">
        <f t="shared" si="115"/>
        <v>0</v>
      </c>
      <c r="AM162" s="409">
        <f t="shared" si="116"/>
        <v>0</v>
      </c>
      <c r="AN162" s="409">
        <f t="shared" si="117"/>
        <v>0</v>
      </c>
      <c r="AO162" s="409">
        <f t="shared" si="131"/>
        <v>169.60000000000002</v>
      </c>
      <c r="AP162" s="571">
        <v>1</v>
      </c>
      <c r="AQ162" s="567">
        <f t="shared" si="142"/>
        <v>212</v>
      </c>
      <c r="AR162" s="551"/>
      <c r="AS162" s="552">
        <v>0</v>
      </c>
      <c r="AT162" s="515">
        <v>0</v>
      </c>
      <c r="AU162" s="515">
        <v>15</v>
      </c>
      <c r="AV162" s="515" t="s">
        <v>299</v>
      </c>
      <c r="AW162" s="412">
        <f t="shared" si="146"/>
        <v>1</v>
      </c>
      <c r="AX162" s="409">
        <f t="shared" si="147"/>
        <v>212</v>
      </c>
      <c r="AY162" s="412">
        <f t="shared" si="148"/>
        <v>0</v>
      </c>
      <c r="AZ162" s="409">
        <f t="shared" si="149"/>
        <v>0</v>
      </c>
      <c r="BA162" s="412">
        <f t="shared" si="150"/>
        <v>1</v>
      </c>
      <c r="BB162" s="409">
        <f t="shared" si="151"/>
        <v>212</v>
      </c>
      <c r="BC162" s="550">
        <v>3</v>
      </c>
      <c r="BD162" s="571">
        <v>1</v>
      </c>
      <c r="BE162" s="413">
        <f t="shared" si="121"/>
        <v>212</v>
      </c>
      <c r="BF162" s="414">
        <f t="shared" si="135"/>
        <v>0</v>
      </c>
      <c r="BG162" s="515">
        <v>2</v>
      </c>
      <c r="BH162" s="550" t="s">
        <v>299</v>
      </c>
      <c r="BI162" s="412">
        <f t="shared" si="152"/>
        <v>0.94339622641509435</v>
      </c>
      <c r="BJ162" s="409">
        <f t="shared" si="153"/>
        <v>200</v>
      </c>
      <c r="BK162" s="414">
        <f t="shared" si="154"/>
        <v>0.33999999999999986</v>
      </c>
      <c r="BL162" s="571">
        <v>0.85</v>
      </c>
      <c r="BM162" s="409">
        <f t="shared" si="155"/>
        <v>180.2</v>
      </c>
      <c r="BN162" s="515">
        <v>0</v>
      </c>
      <c r="BO162" s="412">
        <f t="shared" si="156"/>
        <v>0</v>
      </c>
      <c r="BP162" s="414">
        <f t="shared" si="157"/>
        <v>2.34</v>
      </c>
      <c r="BQ162" s="561">
        <v>1</v>
      </c>
      <c r="BR162" s="589" t="s">
        <v>869</v>
      </c>
      <c r="BS162" s="594">
        <v>41983</v>
      </c>
      <c r="BT162" s="415">
        <f t="shared" si="143"/>
        <v>42348</v>
      </c>
      <c r="BU162" s="515">
        <v>53</v>
      </c>
      <c r="BV162" s="515">
        <v>17</v>
      </c>
      <c r="BW162" s="419">
        <f t="shared" si="158"/>
        <v>2</v>
      </c>
      <c r="BX162" s="420">
        <f t="shared" si="159"/>
        <v>0.96363636363636362</v>
      </c>
      <c r="BY162" s="413">
        <f t="shared" si="160"/>
        <v>204.29090909090908</v>
      </c>
      <c r="BZ162" s="447">
        <f t="shared" si="145"/>
        <v>0</v>
      </c>
      <c r="CA162" s="552"/>
      <c r="CB162" s="561">
        <v>0.5</v>
      </c>
      <c r="CC162" s="451">
        <f t="shared" si="140"/>
        <v>106</v>
      </c>
      <c r="CD162" s="552">
        <v>3</v>
      </c>
      <c r="CE162" s="418" t="str">
        <f t="shared" si="141"/>
        <v>Excellent coverage</v>
      </c>
      <c r="CF162" s="515">
        <v>0</v>
      </c>
      <c r="CG162" s="543" t="s">
        <v>66</v>
      </c>
      <c r="CH162" s="602" t="s">
        <v>784</v>
      </c>
    </row>
    <row r="163" spans="2:86" s="40" customFormat="1" ht="30.75" customHeight="1" x14ac:dyDescent="0.2">
      <c r="B163" s="512" t="s">
        <v>214</v>
      </c>
      <c r="C163" s="513" t="s">
        <v>742</v>
      </c>
      <c r="D163" s="514" t="s">
        <v>274</v>
      </c>
      <c r="E163" s="513" t="s">
        <v>652</v>
      </c>
      <c r="F163" s="514">
        <v>98.132779999999997</v>
      </c>
      <c r="G163" s="514">
        <v>23.951699999999999</v>
      </c>
      <c r="H163" s="514" t="s">
        <v>467</v>
      </c>
      <c r="I163" s="514" t="s">
        <v>218</v>
      </c>
      <c r="J163" s="515">
        <v>10</v>
      </c>
      <c r="K163" s="515">
        <v>48</v>
      </c>
      <c r="L163" s="515">
        <v>48</v>
      </c>
      <c r="M163" s="405" t="str">
        <f t="shared" ref="M163:M180" si="161">IF(J163&gt;50,IF(J163&gt;250,IF(J163&gt;500,IF(J163&gt;1000,"5. Massive","4. Big"),"3. Large"),"2. Medium"),"1. Small")</f>
        <v>1. Small</v>
      </c>
      <c r="N163" s="516" t="s">
        <v>239</v>
      </c>
      <c r="O163" s="530" t="s">
        <v>237</v>
      </c>
      <c r="P163" s="439" t="str">
        <f t="shared" si="126"/>
        <v>Covered</v>
      </c>
      <c r="Q163" s="531">
        <v>42460</v>
      </c>
      <c r="R163" s="532"/>
      <c r="S163" s="531"/>
      <c r="T163" s="516" t="s">
        <v>262</v>
      </c>
      <c r="U163" s="436" t="str">
        <f t="shared" si="127"/>
        <v>Not documented</v>
      </c>
      <c r="V163" s="542">
        <v>0</v>
      </c>
      <c r="W163" s="515">
        <v>0</v>
      </c>
      <c r="X163" s="543" t="s">
        <v>19</v>
      </c>
      <c r="Y163" s="552">
        <v>0</v>
      </c>
      <c r="Z163" s="515">
        <v>0</v>
      </c>
      <c r="AA163" s="543">
        <v>0</v>
      </c>
      <c r="AB163" s="560">
        <v>1</v>
      </c>
      <c r="AC163" s="561">
        <v>0</v>
      </c>
      <c r="AD163" s="443">
        <f t="shared" si="110"/>
        <v>0</v>
      </c>
      <c r="AE163" s="407">
        <f t="shared" si="128"/>
        <v>0</v>
      </c>
      <c r="AF163" s="408">
        <f t="shared" ref="AF163:AF179" si="162">IF(((Y163*400+Z163*500+(AA163/15))/L163)&gt;1,1,(Y163*400+Z163*500+(AA163/15))/L163)</f>
        <v>0</v>
      </c>
      <c r="AG163" s="409">
        <f t="shared" si="129"/>
        <v>0</v>
      </c>
      <c r="AH163" s="406">
        <f t="shared" ref="AH163:AH179" si="163">IF(AC163=0,AD163,IF(AC163&lt;AD163,AD163,AC163))</f>
        <v>0</v>
      </c>
      <c r="AI163" s="409">
        <f t="shared" si="130"/>
        <v>0</v>
      </c>
      <c r="AJ163" s="410" t="str">
        <f t="shared" ref="AJ163:AJ179" si="164">IF(AD163&gt;0.15,IF(AD163&gt;0.3,IF(AD163&gt;0.45,IF(AD163&gt;0.6,IF(AD163&gt;0.8,"80-100%","60-80%"),"45-60%"),"30-45%"),"15-30%"),"0-10%")</f>
        <v>0-10%</v>
      </c>
      <c r="AK163" s="406">
        <f t="shared" ref="AK163:AK179" si="165">IF((AD163-AF163)&lt; 0, 0, AD163-AF163)</f>
        <v>0</v>
      </c>
      <c r="AL163" s="411">
        <f t="shared" ref="AL163:AL179" si="166">AK163*L163</f>
        <v>0</v>
      </c>
      <c r="AM163" s="409">
        <f t="shared" ref="AM163:AM179" si="167">IF(L163/400-(Y163+Z163)&lt;0,0,L163/400-(Y163+Z163))</f>
        <v>0.12</v>
      </c>
      <c r="AN163" s="409">
        <f t="shared" ref="AN163:AN179" si="168">AC163*J163</f>
        <v>0</v>
      </c>
      <c r="AO163" s="409">
        <f t="shared" si="131"/>
        <v>48</v>
      </c>
      <c r="AP163" s="571">
        <v>1</v>
      </c>
      <c r="AQ163" s="567">
        <f t="shared" si="142"/>
        <v>48</v>
      </c>
      <c r="AR163" s="543" t="s">
        <v>846</v>
      </c>
      <c r="AS163" s="552">
        <v>5</v>
      </c>
      <c r="AT163" s="515">
        <v>3</v>
      </c>
      <c r="AU163" s="515">
        <v>0</v>
      </c>
      <c r="AV163" s="515" t="s">
        <v>91</v>
      </c>
      <c r="AW163" s="412">
        <f t="shared" si="146"/>
        <v>1</v>
      </c>
      <c r="AX163" s="409">
        <f t="shared" si="147"/>
        <v>48</v>
      </c>
      <c r="AY163" s="412">
        <f t="shared" si="148"/>
        <v>1</v>
      </c>
      <c r="AZ163" s="409">
        <f t="shared" si="149"/>
        <v>48</v>
      </c>
      <c r="BA163" s="412">
        <f t="shared" si="150"/>
        <v>0</v>
      </c>
      <c r="BB163" s="409">
        <f t="shared" si="151"/>
        <v>0</v>
      </c>
      <c r="BC163" s="550">
        <v>0</v>
      </c>
      <c r="BD163" s="571">
        <v>1</v>
      </c>
      <c r="BE163" s="413">
        <f t="shared" ref="BE163:BE179" si="169">BD163*L163</f>
        <v>48</v>
      </c>
      <c r="BF163" s="414">
        <f t="shared" si="135"/>
        <v>2.4</v>
      </c>
      <c r="BG163" s="515">
        <v>1</v>
      </c>
      <c r="BH163" s="550" t="s">
        <v>91</v>
      </c>
      <c r="BI163" s="412">
        <f t="shared" si="152"/>
        <v>1</v>
      </c>
      <c r="BJ163" s="409">
        <f t="shared" si="153"/>
        <v>48</v>
      </c>
      <c r="BK163" s="414">
        <f t="shared" si="154"/>
        <v>0</v>
      </c>
      <c r="BL163" s="571">
        <v>1</v>
      </c>
      <c r="BM163" s="409">
        <f t="shared" si="155"/>
        <v>48</v>
      </c>
      <c r="BN163" s="515">
        <v>0</v>
      </c>
      <c r="BO163" s="412">
        <f t="shared" si="156"/>
        <v>0</v>
      </c>
      <c r="BP163" s="414">
        <f t="shared" si="157"/>
        <v>0.48</v>
      </c>
      <c r="BQ163" s="561">
        <v>0.8</v>
      </c>
      <c r="BR163" s="589"/>
      <c r="BS163" s="594">
        <v>42125</v>
      </c>
      <c r="BT163" s="415">
        <f t="shared" si="143"/>
        <v>42490</v>
      </c>
      <c r="BU163" s="515">
        <v>10</v>
      </c>
      <c r="BV163" s="515">
        <v>10</v>
      </c>
      <c r="BW163" s="419">
        <f t="shared" si="158"/>
        <v>0</v>
      </c>
      <c r="BX163" s="420">
        <f t="shared" si="159"/>
        <v>1</v>
      </c>
      <c r="BY163" s="413">
        <f t="shared" si="160"/>
        <v>48</v>
      </c>
      <c r="BZ163" s="447">
        <f t="shared" si="145"/>
        <v>0</v>
      </c>
      <c r="CA163" s="552"/>
      <c r="CB163" s="561">
        <v>0</v>
      </c>
      <c r="CC163" s="451">
        <f t="shared" si="140"/>
        <v>0</v>
      </c>
      <c r="CD163" s="552">
        <v>0</v>
      </c>
      <c r="CE163" s="418" t="str">
        <f t="shared" si="141"/>
        <v>No coverage</v>
      </c>
      <c r="CF163" s="515">
        <v>0</v>
      </c>
      <c r="CG163" s="543" t="s">
        <v>65</v>
      </c>
      <c r="CH163" s="602"/>
    </row>
    <row r="164" spans="2:86" s="40" customFormat="1" ht="30.75" customHeight="1" x14ac:dyDescent="0.2">
      <c r="B164" s="512" t="s">
        <v>486</v>
      </c>
      <c r="C164" s="513" t="s">
        <v>743</v>
      </c>
      <c r="D164" s="514" t="s">
        <v>274</v>
      </c>
      <c r="E164" s="513" t="s">
        <v>487</v>
      </c>
      <c r="F164" s="514">
        <v>97.709548999999996</v>
      </c>
      <c r="G164" s="514">
        <v>23.838459</v>
      </c>
      <c r="H164" s="514" t="s">
        <v>467</v>
      </c>
      <c r="I164" s="514" t="s">
        <v>218</v>
      </c>
      <c r="J164" s="515">
        <v>140</v>
      </c>
      <c r="K164" s="515">
        <v>580</v>
      </c>
      <c r="L164" s="515">
        <v>580</v>
      </c>
      <c r="M164" s="405" t="str">
        <f t="shared" si="161"/>
        <v>2. Medium</v>
      </c>
      <c r="N164" s="516" t="s">
        <v>239</v>
      </c>
      <c r="O164" s="530" t="s">
        <v>237</v>
      </c>
      <c r="P164" s="439" t="str">
        <f t="shared" si="126"/>
        <v>Covered</v>
      </c>
      <c r="Q164" s="531">
        <v>42460</v>
      </c>
      <c r="R164" s="532"/>
      <c r="S164" s="531"/>
      <c r="T164" s="516" t="s">
        <v>260</v>
      </c>
      <c r="U164" s="436" t="str">
        <f t="shared" si="127"/>
        <v>Documented</v>
      </c>
      <c r="V164" s="542">
        <v>0</v>
      </c>
      <c r="W164" s="515">
        <v>0</v>
      </c>
      <c r="X164" s="543" t="s">
        <v>19</v>
      </c>
      <c r="Y164" s="552">
        <v>0</v>
      </c>
      <c r="Z164" s="515">
        <v>0</v>
      </c>
      <c r="AA164" s="543">
        <v>35000</v>
      </c>
      <c r="AB164" s="560">
        <v>1</v>
      </c>
      <c r="AC164" s="561">
        <v>0</v>
      </c>
      <c r="AD164" s="443">
        <f t="shared" si="110"/>
        <v>1</v>
      </c>
      <c r="AE164" s="407">
        <f t="shared" si="128"/>
        <v>580</v>
      </c>
      <c r="AF164" s="408">
        <f t="shared" si="162"/>
        <v>1</v>
      </c>
      <c r="AG164" s="409">
        <f t="shared" si="129"/>
        <v>580</v>
      </c>
      <c r="AH164" s="406">
        <f t="shared" si="163"/>
        <v>1</v>
      </c>
      <c r="AI164" s="409">
        <f t="shared" si="130"/>
        <v>580</v>
      </c>
      <c r="AJ164" s="410" t="str">
        <f t="shared" si="164"/>
        <v>80-100%</v>
      </c>
      <c r="AK164" s="406">
        <f t="shared" si="165"/>
        <v>0</v>
      </c>
      <c r="AL164" s="411">
        <f t="shared" si="166"/>
        <v>0</v>
      </c>
      <c r="AM164" s="409">
        <f t="shared" si="167"/>
        <v>1.45</v>
      </c>
      <c r="AN164" s="409">
        <f t="shared" si="168"/>
        <v>0</v>
      </c>
      <c r="AO164" s="409">
        <f t="shared" si="131"/>
        <v>580</v>
      </c>
      <c r="AP164" s="571">
        <v>1</v>
      </c>
      <c r="AQ164" s="567">
        <f t="shared" si="142"/>
        <v>580</v>
      </c>
      <c r="AR164" s="551" t="s">
        <v>847</v>
      </c>
      <c r="AS164" s="552">
        <v>21</v>
      </c>
      <c r="AT164" s="515">
        <v>13</v>
      </c>
      <c r="AU164" s="515">
        <v>18</v>
      </c>
      <c r="AV164" s="515" t="s">
        <v>299</v>
      </c>
      <c r="AW164" s="412">
        <f t="shared" si="146"/>
        <v>1</v>
      </c>
      <c r="AX164" s="409">
        <f t="shared" si="147"/>
        <v>580</v>
      </c>
      <c r="AY164" s="412">
        <f t="shared" si="148"/>
        <v>0.37931034482758619</v>
      </c>
      <c r="AZ164" s="409">
        <f t="shared" si="149"/>
        <v>220</v>
      </c>
      <c r="BA164" s="412">
        <f t="shared" si="150"/>
        <v>0.62068965517241381</v>
      </c>
      <c r="BB164" s="409">
        <f t="shared" si="151"/>
        <v>360</v>
      </c>
      <c r="BC164" s="550">
        <v>2</v>
      </c>
      <c r="BD164" s="571">
        <v>1</v>
      </c>
      <c r="BE164" s="413">
        <f t="shared" si="169"/>
        <v>580</v>
      </c>
      <c r="BF164" s="414">
        <f t="shared" si="135"/>
        <v>13</v>
      </c>
      <c r="BG164" s="515">
        <v>6</v>
      </c>
      <c r="BH164" s="550" t="s">
        <v>299</v>
      </c>
      <c r="BI164" s="412">
        <f t="shared" si="152"/>
        <v>1</v>
      </c>
      <c r="BJ164" s="409">
        <f t="shared" si="153"/>
        <v>580</v>
      </c>
      <c r="BK164" s="414">
        <f t="shared" si="154"/>
        <v>0</v>
      </c>
      <c r="BL164" s="571">
        <v>1</v>
      </c>
      <c r="BM164" s="409">
        <f t="shared" si="155"/>
        <v>580</v>
      </c>
      <c r="BN164" s="515">
        <v>8</v>
      </c>
      <c r="BO164" s="412">
        <f t="shared" si="156"/>
        <v>1</v>
      </c>
      <c r="BP164" s="414">
        <f t="shared" si="157"/>
        <v>0</v>
      </c>
      <c r="BQ164" s="557">
        <v>1</v>
      </c>
      <c r="BR164" s="589" t="s">
        <v>866</v>
      </c>
      <c r="BS164" s="594">
        <v>42125</v>
      </c>
      <c r="BT164" s="415">
        <f t="shared" si="143"/>
        <v>42490</v>
      </c>
      <c r="BU164" s="515">
        <v>141</v>
      </c>
      <c r="BV164" s="515">
        <v>5</v>
      </c>
      <c r="BW164" s="419">
        <f t="shared" si="158"/>
        <v>0</v>
      </c>
      <c r="BX164" s="420">
        <f t="shared" si="159"/>
        <v>1</v>
      </c>
      <c r="BY164" s="413">
        <f t="shared" si="160"/>
        <v>580</v>
      </c>
      <c r="BZ164" s="447">
        <f t="shared" si="145"/>
        <v>0</v>
      </c>
      <c r="CA164" s="600" t="s">
        <v>875</v>
      </c>
      <c r="CB164" s="561">
        <v>0.2</v>
      </c>
      <c r="CC164" s="451">
        <f t="shared" si="140"/>
        <v>116</v>
      </c>
      <c r="CD164" s="552">
        <v>7</v>
      </c>
      <c r="CE164" s="418" t="str">
        <f t="shared" si="141"/>
        <v>Excellent coverage</v>
      </c>
      <c r="CF164" s="515">
        <v>0</v>
      </c>
      <c r="CG164" s="543" t="s">
        <v>65</v>
      </c>
      <c r="CH164" s="602"/>
    </row>
    <row r="165" spans="2:86" s="40" customFormat="1" ht="30.75" customHeight="1" x14ac:dyDescent="0.2">
      <c r="B165" s="512" t="s">
        <v>486</v>
      </c>
      <c r="C165" s="513" t="s">
        <v>744</v>
      </c>
      <c r="D165" s="514" t="s">
        <v>274</v>
      </c>
      <c r="E165" s="513" t="s">
        <v>488</v>
      </c>
      <c r="F165" s="514">
        <v>97.701576000000003</v>
      </c>
      <c r="G165" s="514">
        <v>23.842051000000001</v>
      </c>
      <c r="H165" s="514" t="s">
        <v>467</v>
      </c>
      <c r="I165" s="514" t="s">
        <v>218</v>
      </c>
      <c r="J165" s="515">
        <v>41</v>
      </c>
      <c r="K165" s="515">
        <v>218</v>
      </c>
      <c r="L165" s="515">
        <v>218</v>
      </c>
      <c r="M165" s="405" t="str">
        <f t="shared" si="161"/>
        <v>1. Small</v>
      </c>
      <c r="N165" s="516" t="s">
        <v>239</v>
      </c>
      <c r="O165" s="530" t="s">
        <v>237</v>
      </c>
      <c r="P165" s="439" t="str">
        <f t="shared" si="126"/>
        <v>Covered</v>
      </c>
      <c r="Q165" s="531">
        <v>42460</v>
      </c>
      <c r="R165" s="532"/>
      <c r="S165" s="531"/>
      <c r="T165" s="516" t="s">
        <v>260</v>
      </c>
      <c r="U165" s="436" t="str">
        <f t="shared" si="127"/>
        <v>Documented</v>
      </c>
      <c r="V165" s="542">
        <v>0</v>
      </c>
      <c r="W165" s="515">
        <v>0</v>
      </c>
      <c r="X165" s="543" t="s">
        <v>19</v>
      </c>
      <c r="Y165" s="552">
        <v>0</v>
      </c>
      <c r="Z165" s="515">
        <v>0</v>
      </c>
      <c r="AA165" s="543">
        <v>7000</v>
      </c>
      <c r="AB165" s="560">
        <v>1</v>
      </c>
      <c r="AC165" s="561">
        <v>0</v>
      </c>
      <c r="AD165" s="443">
        <f t="shared" si="110"/>
        <v>1</v>
      </c>
      <c r="AE165" s="407">
        <f t="shared" si="128"/>
        <v>218</v>
      </c>
      <c r="AF165" s="408">
        <f t="shared" si="162"/>
        <v>1</v>
      </c>
      <c r="AG165" s="409">
        <f t="shared" si="129"/>
        <v>218</v>
      </c>
      <c r="AH165" s="406">
        <f t="shared" si="163"/>
        <v>1</v>
      </c>
      <c r="AI165" s="409">
        <f t="shared" si="130"/>
        <v>218</v>
      </c>
      <c r="AJ165" s="410" t="str">
        <f t="shared" si="164"/>
        <v>80-100%</v>
      </c>
      <c r="AK165" s="406">
        <f t="shared" si="165"/>
        <v>0</v>
      </c>
      <c r="AL165" s="411">
        <f t="shared" si="166"/>
        <v>0</v>
      </c>
      <c r="AM165" s="409">
        <f t="shared" si="167"/>
        <v>0.54500000000000004</v>
      </c>
      <c r="AN165" s="409">
        <f t="shared" si="168"/>
        <v>0</v>
      </c>
      <c r="AO165" s="409">
        <f t="shared" si="131"/>
        <v>218</v>
      </c>
      <c r="AP165" s="571">
        <v>1</v>
      </c>
      <c r="AQ165" s="567">
        <f t="shared" si="142"/>
        <v>218</v>
      </c>
      <c r="AR165" s="551" t="s">
        <v>847</v>
      </c>
      <c r="AS165" s="552">
        <v>10</v>
      </c>
      <c r="AT165" s="515">
        <v>10</v>
      </c>
      <c r="AU165" s="515">
        <v>0</v>
      </c>
      <c r="AV165" s="515" t="s">
        <v>299</v>
      </c>
      <c r="AW165" s="412">
        <f t="shared" si="146"/>
        <v>0.91743119266055051</v>
      </c>
      <c r="AX165" s="409">
        <f t="shared" si="147"/>
        <v>200</v>
      </c>
      <c r="AY165" s="412">
        <f t="shared" si="148"/>
        <v>0.91743119266055051</v>
      </c>
      <c r="AZ165" s="409">
        <f t="shared" si="149"/>
        <v>200</v>
      </c>
      <c r="BA165" s="412">
        <f t="shared" si="150"/>
        <v>0</v>
      </c>
      <c r="BB165" s="409">
        <f t="shared" si="151"/>
        <v>0</v>
      </c>
      <c r="BC165" s="550">
        <v>2</v>
      </c>
      <c r="BD165" s="571">
        <v>1</v>
      </c>
      <c r="BE165" s="413">
        <f t="shared" si="169"/>
        <v>218</v>
      </c>
      <c r="BF165" s="414">
        <f t="shared" si="135"/>
        <v>12.9</v>
      </c>
      <c r="BG165" s="515">
        <v>3</v>
      </c>
      <c r="BH165" s="550" t="s">
        <v>299</v>
      </c>
      <c r="BI165" s="412">
        <f t="shared" si="152"/>
        <v>1</v>
      </c>
      <c r="BJ165" s="409">
        <f t="shared" si="153"/>
        <v>218</v>
      </c>
      <c r="BK165" s="414">
        <f t="shared" si="154"/>
        <v>0</v>
      </c>
      <c r="BL165" s="571">
        <v>1</v>
      </c>
      <c r="BM165" s="409">
        <f t="shared" si="155"/>
        <v>218</v>
      </c>
      <c r="BN165" s="515">
        <v>4</v>
      </c>
      <c r="BO165" s="412">
        <f t="shared" si="156"/>
        <v>1</v>
      </c>
      <c r="BP165" s="414">
        <f t="shared" si="157"/>
        <v>0</v>
      </c>
      <c r="BQ165" s="557">
        <v>1</v>
      </c>
      <c r="BR165" s="589" t="s">
        <v>866</v>
      </c>
      <c r="BS165" s="594">
        <v>42125</v>
      </c>
      <c r="BT165" s="415">
        <f t="shared" si="143"/>
        <v>42490</v>
      </c>
      <c r="BU165" s="515">
        <v>59</v>
      </c>
      <c r="BV165" s="515">
        <v>5</v>
      </c>
      <c r="BW165" s="419">
        <f t="shared" si="158"/>
        <v>0</v>
      </c>
      <c r="BX165" s="420">
        <f t="shared" si="159"/>
        <v>1</v>
      </c>
      <c r="BY165" s="413">
        <f t="shared" si="160"/>
        <v>218</v>
      </c>
      <c r="BZ165" s="447">
        <f t="shared" si="145"/>
        <v>0</v>
      </c>
      <c r="CA165" s="600" t="s">
        <v>875</v>
      </c>
      <c r="CB165" s="561">
        <v>1</v>
      </c>
      <c r="CC165" s="451">
        <f t="shared" si="140"/>
        <v>218</v>
      </c>
      <c r="CD165" s="552">
        <v>3</v>
      </c>
      <c r="CE165" s="418" t="str">
        <f t="shared" si="141"/>
        <v>Excellent coverage</v>
      </c>
      <c r="CF165" s="515">
        <v>0</v>
      </c>
      <c r="CG165" s="543" t="s">
        <v>65</v>
      </c>
      <c r="CH165" s="602"/>
    </row>
    <row r="166" spans="2:86" s="40" customFormat="1" ht="30.75" customHeight="1" x14ac:dyDescent="0.2">
      <c r="B166" s="512" t="s">
        <v>205</v>
      </c>
      <c r="C166" s="513" t="s">
        <v>561</v>
      </c>
      <c r="D166" s="514" t="s">
        <v>275</v>
      </c>
      <c r="E166" s="513" t="s">
        <v>206</v>
      </c>
      <c r="F166" s="514">
        <v>97.848529999999997</v>
      </c>
      <c r="G166" s="514">
        <v>23.4008</v>
      </c>
      <c r="H166" s="514" t="s">
        <v>467</v>
      </c>
      <c r="I166" s="514" t="s">
        <v>218</v>
      </c>
      <c r="J166" s="515">
        <v>85</v>
      </c>
      <c r="K166" s="515">
        <v>325</v>
      </c>
      <c r="L166" s="515">
        <v>325</v>
      </c>
      <c r="M166" s="405" t="str">
        <f t="shared" si="161"/>
        <v>2. Medium</v>
      </c>
      <c r="N166" s="516" t="s">
        <v>239</v>
      </c>
      <c r="O166" s="530" t="s">
        <v>237</v>
      </c>
      <c r="P166" s="439" t="str">
        <f t="shared" si="126"/>
        <v>Covered</v>
      </c>
      <c r="Q166" s="531">
        <v>42460</v>
      </c>
      <c r="R166" s="532"/>
      <c r="S166" s="531"/>
      <c r="T166" s="516" t="s">
        <v>260</v>
      </c>
      <c r="U166" s="436" t="str">
        <f t="shared" si="127"/>
        <v>Documented</v>
      </c>
      <c r="V166" s="542">
        <v>0</v>
      </c>
      <c r="W166" s="515">
        <v>0</v>
      </c>
      <c r="X166" s="543" t="s">
        <v>19</v>
      </c>
      <c r="Y166" s="552">
        <v>1</v>
      </c>
      <c r="Z166" s="515">
        <v>0</v>
      </c>
      <c r="AA166" s="543">
        <v>86400</v>
      </c>
      <c r="AB166" s="560">
        <v>1</v>
      </c>
      <c r="AC166" s="561">
        <v>0</v>
      </c>
      <c r="AD166" s="443">
        <f t="shared" si="110"/>
        <v>1</v>
      </c>
      <c r="AE166" s="407">
        <f t="shared" si="128"/>
        <v>325</v>
      </c>
      <c r="AF166" s="408">
        <f t="shared" si="162"/>
        <v>1</v>
      </c>
      <c r="AG166" s="409">
        <f t="shared" si="129"/>
        <v>325</v>
      </c>
      <c r="AH166" s="406">
        <f t="shared" si="163"/>
        <v>1</v>
      </c>
      <c r="AI166" s="409">
        <f t="shared" si="130"/>
        <v>325</v>
      </c>
      <c r="AJ166" s="410" t="str">
        <f t="shared" si="164"/>
        <v>80-100%</v>
      </c>
      <c r="AK166" s="406">
        <f t="shared" si="165"/>
        <v>0</v>
      </c>
      <c r="AL166" s="411">
        <f t="shared" si="166"/>
        <v>0</v>
      </c>
      <c r="AM166" s="409">
        <f t="shared" si="167"/>
        <v>0</v>
      </c>
      <c r="AN166" s="409">
        <f t="shared" si="168"/>
        <v>0</v>
      </c>
      <c r="AO166" s="409">
        <f t="shared" si="131"/>
        <v>325</v>
      </c>
      <c r="AP166" s="571">
        <v>1</v>
      </c>
      <c r="AQ166" s="567">
        <f t="shared" si="142"/>
        <v>325</v>
      </c>
      <c r="AR166" s="543"/>
      <c r="AS166" s="552">
        <v>138</v>
      </c>
      <c r="AT166" s="515">
        <v>86</v>
      </c>
      <c r="AU166" s="515">
        <v>0</v>
      </c>
      <c r="AV166" s="515" t="s">
        <v>299</v>
      </c>
      <c r="AW166" s="412">
        <f t="shared" si="146"/>
        <v>1</v>
      </c>
      <c r="AX166" s="409">
        <f t="shared" si="147"/>
        <v>325</v>
      </c>
      <c r="AY166" s="412">
        <f t="shared" si="148"/>
        <v>1</v>
      </c>
      <c r="AZ166" s="409">
        <f t="shared" si="149"/>
        <v>325</v>
      </c>
      <c r="BA166" s="412">
        <f t="shared" si="150"/>
        <v>0</v>
      </c>
      <c r="BB166" s="409">
        <f t="shared" si="151"/>
        <v>0</v>
      </c>
      <c r="BC166" s="550">
        <v>2</v>
      </c>
      <c r="BD166" s="571">
        <v>1</v>
      </c>
      <c r="BE166" s="413">
        <f t="shared" si="169"/>
        <v>325</v>
      </c>
      <c r="BF166" s="414">
        <f t="shared" si="135"/>
        <v>18.25</v>
      </c>
      <c r="BG166" s="515">
        <v>1</v>
      </c>
      <c r="BH166" s="550" t="s">
        <v>91</v>
      </c>
      <c r="BI166" s="412">
        <f t="shared" si="152"/>
        <v>0.30769230769230771</v>
      </c>
      <c r="BJ166" s="409">
        <f t="shared" si="153"/>
        <v>100</v>
      </c>
      <c r="BK166" s="414">
        <f t="shared" si="154"/>
        <v>2.25</v>
      </c>
      <c r="BL166" s="571">
        <v>0.31</v>
      </c>
      <c r="BM166" s="409">
        <f t="shared" si="155"/>
        <v>100.75</v>
      </c>
      <c r="BN166" s="515">
        <v>0</v>
      </c>
      <c r="BO166" s="412">
        <f t="shared" si="156"/>
        <v>0</v>
      </c>
      <c r="BP166" s="414">
        <f t="shared" si="157"/>
        <v>3.25</v>
      </c>
      <c r="BQ166" s="557">
        <v>0.7</v>
      </c>
      <c r="BR166" s="589" t="s">
        <v>673</v>
      </c>
      <c r="BS166" s="594">
        <v>42125</v>
      </c>
      <c r="BT166" s="415">
        <f t="shared" si="143"/>
        <v>42490</v>
      </c>
      <c r="BU166" s="515">
        <v>82</v>
      </c>
      <c r="BV166" s="515">
        <v>5</v>
      </c>
      <c r="BW166" s="419">
        <f t="shared" si="158"/>
        <v>3</v>
      </c>
      <c r="BX166" s="420">
        <f t="shared" si="159"/>
        <v>0.96470588235294119</v>
      </c>
      <c r="BY166" s="413">
        <f t="shared" si="160"/>
        <v>313.52941176470591</v>
      </c>
      <c r="BZ166" s="447">
        <f t="shared" si="145"/>
        <v>0</v>
      </c>
      <c r="CA166" s="542"/>
      <c r="CB166" s="561">
        <v>0.25</v>
      </c>
      <c r="CC166" s="451">
        <f t="shared" si="140"/>
        <v>81.25</v>
      </c>
      <c r="CD166" s="552">
        <v>3</v>
      </c>
      <c r="CE166" s="418" t="str">
        <f t="shared" si="141"/>
        <v>Excellent coverage</v>
      </c>
      <c r="CF166" s="515">
        <v>0</v>
      </c>
      <c r="CG166" s="543" t="s">
        <v>66</v>
      </c>
      <c r="CH166" s="602"/>
    </row>
    <row r="167" spans="2:86" s="40" customFormat="1" ht="30.75" customHeight="1" x14ac:dyDescent="0.2">
      <c r="B167" s="512" t="s">
        <v>205</v>
      </c>
      <c r="C167" s="513" t="s">
        <v>562</v>
      </c>
      <c r="D167" s="514" t="s">
        <v>275</v>
      </c>
      <c r="E167" s="513" t="s">
        <v>207</v>
      </c>
      <c r="F167" s="514">
        <v>97.926813999999993</v>
      </c>
      <c r="G167" s="514">
        <v>23.450914000000001</v>
      </c>
      <c r="H167" s="514" t="s">
        <v>467</v>
      </c>
      <c r="I167" s="514" t="s">
        <v>218</v>
      </c>
      <c r="J167" s="515">
        <v>63</v>
      </c>
      <c r="K167" s="515">
        <v>296</v>
      </c>
      <c r="L167" s="515">
        <v>296</v>
      </c>
      <c r="M167" s="405" t="str">
        <f t="shared" si="161"/>
        <v>2. Medium</v>
      </c>
      <c r="N167" s="516" t="s">
        <v>239</v>
      </c>
      <c r="O167" s="530" t="s">
        <v>237</v>
      </c>
      <c r="P167" s="439" t="str">
        <f t="shared" si="126"/>
        <v>Covered</v>
      </c>
      <c r="Q167" s="531">
        <v>42460</v>
      </c>
      <c r="R167" s="532"/>
      <c r="S167" s="531"/>
      <c r="T167" s="516" t="s">
        <v>260</v>
      </c>
      <c r="U167" s="436" t="str">
        <f t="shared" si="127"/>
        <v>Documented</v>
      </c>
      <c r="V167" s="542">
        <v>0</v>
      </c>
      <c r="W167" s="515">
        <v>0</v>
      </c>
      <c r="X167" s="543" t="s">
        <v>19</v>
      </c>
      <c r="Y167" s="552">
        <v>1</v>
      </c>
      <c r="Z167" s="515">
        <v>0</v>
      </c>
      <c r="AA167" s="543">
        <v>2000</v>
      </c>
      <c r="AB167" s="560">
        <v>1</v>
      </c>
      <c r="AC167" s="561">
        <v>0</v>
      </c>
      <c r="AD167" s="443">
        <f t="shared" si="110"/>
        <v>1</v>
      </c>
      <c r="AE167" s="407">
        <f t="shared" si="128"/>
        <v>296</v>
      </c>
      <c r="AF167" s="408">
        <f t="shared" si="162"/>
        <v>1</v>
      </c>
      <c r="AG167" s="409">
        <f t="shared" si="129"/>
        <v>296</v>
      </c>
      <c r="AH167" s="406">
        <f t="shared" si="163"/>
        <v>1</v>
      </c>
      <c r="AI167" s="409">
        <f t="shared" si="130"/>
        <v>296</v>
      </c>
      <c r="AJ167" s="410" t="str">
        <f t="shared" si="164"/>
        <v>80-100%</v>
      </c>
      <c r="AK167" s="406">
        <f t="shared" si="165"/>
        <v>0</v>
      </c>
      <c r="AL167" s="411">
        <f t="shared" si="166"/>
        <v>0</v>
      </c>
      <c r="AM167" s="409">
        <f t="shared" si="167"/>
        <v>0</v>
      </c>
      <c r="AN167" s="409">
        <f t="shared" si="168"/>
        <v>0</v>
      </c>
      <c r="AO167" s="409">
        <f t="shared" si="131"/>
        <v>296</v>
      </c>
      <c r="AP167" s="571">
        <v>1</v>
      </c>
      <c r="AQ167" s="567">
        <f t="shared" si="142"/>
        <v>296</v>
      </c>
      <c r="AR167" s="543"/>
      <c r="AS167" s="552">
        <v>15</v>
      </c>
      <c r="AT167" s="515">
        <v>6</v>
      </c>
      <c r="AU167" s="515">
        <v>0</v>
      </c>
      <c r="AV167" s="515" t="s">
        <v>91</v>
      </c>
      <c r="AW167" s="412">
        <f t="shared" si="146"/>
        <v>0.40540540540540543</v>
      </c>
      <c r="AX167" s="409">
        <f t="shared" si="147"/>
        <v>120</v>
      </c>
      <c r="AY167" s="412">
        <f t="shared" si="148"/>
        <v>0.40540540540540543</v>
      </c>
      <c r="AZ167" s="409">
        <f t="shared" si="149"/>
        <v>120</v>
      </c>
      <c r="BA167" s="412">
        <f t="shared" si="150"/>
        <v>0</v>
      </c>
      <c r="BB167" s="409">
        <f t="shared" si="151"/>
        <v>0</v>
      </c>
      <c r="BC167" s="550">
        <v>3</v>
      </c>
      <c r="BD167" s="571">
        <v>0.65</v>
      </c>
      <c r="BE167" s="413">
        <f t="shared" si="169"/>
        <v>192.4</v>
      </c>
      <c r="BF167" s="414">
        <f t="shared" si="135"/>
        <v>17.8</v>
      </c>
      <c r="BG167" s="515">
        <v>2</v>
      </c>
      <c r="BH167" s="550" t="s">
        <v>91</v>
      </c>
      <c r="BI167" s="412">
        <f t="shared" si="152"/>
        <v>0.67567567567567566</v>
      </c>
      <c r="BJ167" s="409">
        <f t="shared" si="153"/>
        <v>200</v>
      </c>
      <c r="BK167" s="414">
        <f t="shared" si="154"/>
        <v>0.96</v>
      </c>
      <c r="BL167" s="571">
        <v>0.68</v>
      </c>
      <c r="BM167" s="409">
        <f t="shared" si="155"/>
        <v>201.28</v>
      </c>
      <c r="BN167" s="515">
        <v>2</v>
      </c>
      <c r="BO167" s="412">
        <f t="shared" si="156"/>
        <v>0.67567567567567566</v>
      </c>
      <c r="BP167" s="414">
        <f t="shared" si="157"/>
        <v>0.96</v>
      </c>
      <c r="BQ167" s="557">
        <v>0.86</v>
      </c>
      <c r="BR167" s="589" t="s">
        <v>866</v>
      </c>
      <c r="BS167" s="594">
        <v>41183</v>
      </c>
      <c r="BT167" s="415" t="str">
        <f t="shared" si="143"/>
        <v>To be realised</v>
      </c>
      <c r="BU167" s="515">
        <v>84</v>
      </c>
      <c r="BV167" s="515">
        <v>2</v>
      </c>
      <c r="BW167" s="419">
        <f t="shared" si="158"/>
        <v>63</v>
      </c>
      <c r="BX167" s="420">
        <f t="shared" si="159"/>
        <v>0</v>
      </c>
      <c r="BY167" s="413">
        <f t="shared" si="160"/>
        <v>0</v>
      </c>
      <c r="BZ167" s="447">
        <f t="shared" si="145"/>
        <v>29</v>
      </c>
      <c r="CA167" s="542"/>
      <c r="CB167" s="561">
        <v>0.3</v>
      </c>
      <c r="CC167" s="451">
        <f t="shared" si="140"/>
        <v>88.8</v>
      </c>
      <c r="CD167" s="552">
        <v>2</v>
      </c>
      <c r="CE167" s="418" t="str">
        <f t="shared" si="141"/>
        <v>Excellent coverage</v>
      </c>
      <c r="CF167" s="515">
        <v>0</v>
      </c>
      <c r="CG167" s="543" t="s">
        <v>65</v>
      </c>
      <c r="CH167" s="602"/>
    </row>
    <row r="168" spans="2:86" s="40" customFormat="1" ht="30.75" customHeight="1" x14ac:dyDescent="0.2">
      <c r="B168" s="512" t="s">
        <v>205</v>
      </c>
      <c r="C168" s="513" t="s">
        <v>563</v>
      </c>
      <c r="D168" s="514" t="s">
        <v>275</v>
      </c>
      <c r="E168" s="513" t="s">
        <v>208</v>
      </c>
      <c r="F168" s="514">
        <v>97.947360000000003</v>
      </c>
      <c r="G168" s="514">
        <v>23.460349999999998</v>
      </c>
      <c r="H168" s="514" t="s">
        <v>467</v>
      </c>
      <c r="I168" s="514" t="s">
        <v>218</v>
      </c>
      <c r="J168" s="515">
        <v>34</v>
      </c>
      <c r="K168" s="515">
        <v>150</v>
      </c>
      <c r="L168" s="515">
        <v>150</v>
      </c>
      <c r="M168" s="405" t="str">
        <f t="shared" si="161"/>
        <v>1. Small</v>
      </c>
      <c r="N168" s="516" t="s">
        <v>235</v>
      </c>
      <c r="O168" s="530" t="s">
        <v>235</v>
      </c>
      <c r="P168" s="439" t="str">
        <f t="shared" si="126"/>
        <v>Covered</v>
      </c>
      <c r="Q168" s="531">
        <v>42369</v>
      </c>
      <c r="R168" s="532"/>
      <c r="S168" s="531"/>
      <c r="T168" s="516" t="s">
        <v>260</v>
      </c>
      <c r="U168" s="436" t="str">
        <f t="shared" si="127"/>
        <v>Documented</v>
      </c>
      <c r="V168" s="542">
        <v>0</v>
      </c>
      <c r="W168" s="515">
        <v>0</v>
      </c>
      <c r="X168" s="543" t="s">
        <v>19</v>
      </c>
      <c r="Y168" s="552">
        <v>1</v>
      </c>
      <c r="Z168" s="515">
        <v>0</v>
      </c>
      <c r="AA168" s="543">
        <v>10960</v>
      </c>
      <c r="AB168" s="560">
        <v>1</v>
      </c>
      <c r="AC168" s="561">
        <v>0</v>
      </c>
      <c r="AD168" s="443">
        <f t="shared" si="110"/>
        <v>1</v>
      </c>
      <c r="AE168" s="407">
        <f t="shared" si="128"/>
        <v>150</v>
      </c>
      <c r="AF168" s="408">
        <f t="shared" si="162"/>
        <v>1</v>
      </c>
      <c r="AG168" s="409">
        <f t="shared" si="129"/>
        <v>150</v>
      </c>
      <c r="AH168" s="406">
        <f t="shared" si="163"/>
        <v>1</v>
      </c>
      <c r="AI168" s="409">
        <f t="shared" si="130"/>
        <v>150</v>
      </c>
      <c r="AJ168" s="410" t="str">
        <f t="shared" si="164"/>
        <v>80-100%</v>
      </c>
      <c r="AK168" s="406">
        <f t="shared" si="165"/>
        <v>0</v>
      </c>
      <c r="AL168" s="411">
        <f t="shared" si="166"/>
        <v>0</v>
      </c>
      <c r="AM168" s="409">
        <f t="shared" si="167"/>
        <v>0</v>
      </c>
      <c r="AN168" s="409">
        <f t="shared" si="168"/>
        <v>0</v>
      </c>
      <c r="AO168" s="409">
        <f t="shared" si="131"/>
        <v>150</v>
      </c>
      <c r="AP168" s="571">
        <v>1</v>
      </c>
      <c r="AQ168" s="567">
        <f t="shared" si="142"/>
        <v>150</v>
      </c>
      <c r="AR168" s="543" t="s">
        <v>848</v>
      </c>
      <c r="AS168" s="552">
        <v>10</v>
      </c>
      <c r="AT168" s="515">
        <v>0</v>
      </c>
      <c r="AU168" s="515">
        <v>8</v>
      </c>
      <c r="AV168" s="515" t="s">
        <v>299</v>
      </c>
      <c r="AW168" s="412">
        <f t="shared" si="146"/>
        <v>1</v>
      </c>
      <c r="AX168" s="409">
        <f t="shared" si="147"/>
        <v>150</v>
      </c>
      <c r="AY168" s="412">
        <f t="shared" si="148"/>
        <v>0</v>
      </c>
      <c r="AZ168" s="409">
        <f t="shared" si="149"/>
        <v>0</v>
      </c>
      <c r="BA168" s="412">
        <f t="shared" si="150"/>
        <v>1</v>
      </c>
      <c r="BB168" s="409">
        <f t="shared" si="151"/>
        <v>150</v>
      </c>
      <c r="BC168" s="550">
        <v>2</v>
      </c>
      <c r="BD168" s="571">
        <v>1</v>
      </c>
      <c r="BE168" s="413">
        <f t="shared" si="169"/>
        <v>150</v>
      </c>
      <c r="BF168" s="414">
        <f t="shared" si="135"/>
        <v>1.5</v>
      </c>
      <c r="BG168" s="515">
        <v>2</v>
      </c>
      <c r="BH168" s="550" t="s">
        <v>299</v>
      </c>
      <c r="BI168" s="412">
        <f t="shared" si="152"/>
        <v>1</v>
      </c>
      <c r="BJ168" s="409">
        <f t="shared" si="153"/>
        <v>150</v>
      </c>
      <c r="BK168" s="414">
        <f t="shared" si="154"/>
        <v>0</v>
      </c>
      <c r="BL168" s="571">
        <v>1</v>
      </c>
      <c r="BM168" s="409">
        <f t="shared" si="155"/>
        <v>150</v>
      </c>
      <c r="BN168" s="515">
        <v>0</v>
      </c>
      <c r="BO168" s="412">
        <f t="shared" si="156"/>
        <v>0</v>
      </c>
      <c r="BP168" s="414">
        <f t="shared" si="157"/>
        <v>1.5</v>
      </c>
      <c r="BQ168" s="557">
        <v>0</v>
      </c>
      <c r="BR168" s="589" t="s">
        <v>806</v>
      </c>
      <c r="BS168" s="594"/>
      <c r="BT168" s="415" t="str">
        <f t="shared" si="143"/>
        <v>To be realised</v>
      </c>
      <c r="BU168" s="515">
        <v>0</v>
      </c>
      <c r="BV168" s="515">
        <v>3</v>
      </c>
      <c r="BW168" s="419">
        <f t="shared" si="158"/>
        <v>34</v>
      </c>
      <c r="BX168" s="420">
        <f t="shared" si="159"/>
        <v>0</v>
      </c>
      <c r="BY168" s="413">
        <f t="shared" si="160"/>
        <v>0</v>
      </c>
      <c r="BZ168" s="447" t="str">
        <f t="shared" si="145"/>
        <v>Column BN to be completed</v>
      </c>
      <c r="CA168" s="542" t="s">
        <v>807</v>
      </c>
      <c r="CB168" s="561">
        <v>0</v>
      </c>
      <c r="CC168" s="451">
        <f t="shared" si="140"/>
        <v>0</v>
      </c>
      <c r="CD168" s="552">
        <v>2</v>
      </c>
      <c r="CE168" s="418" t="str">
        <f t="shared" si="141"/>
        <v>Excellent coverage</v>
      </c>
      <c r="CF168" s="515">
        <v>0</v>
      </c>
      <c r="CG168" s="543" t="s">
        <v>65</v>
      </c>
      <c r="CH168" s="602"/>
    </row>
    <row r="169" spans="2:86" s="40" customFormat="1" ht="30.75" customHeight="1" x14ac:dyDescent="0.2">
      <c r="B169" s="512" t="s">
        <v>205</v>
      </c>
      <c r="C169" s="513" t="s">
        <v>564</v>
      </c>
      <c r="D169" s="514" t="s">
        <v>275</v>
      </c>
      <c r="E169" s="513" t="s">
        <v>209</v>
      </c>
      <c r="F169" s="514">
        <v>97.793306999999999</v>
      </c>
      <c r="G169" s="514">
        <v>23.589089000000001</v>
      </c>
      <c r="H169" s="514" t="s">
        <v>467</v>
      </c>
      <c r="I169" s="514" t="s">
        <v>218</v>
      </c>
      <c r="J169" s="515">
        <v>76</v>
      </c>
      <c r="K169" s="515">
        <v>403</v>
      </c>
      <c r="L169" s="515">
        <v>403</v>
      </c>
      <c r="M169" s="405" t="str">
        <f t="shared" si="161"/>
        <v>2. Medium</v>
      </c>
      <c r="N169" s="516" t="s">
        <v>239</v>
      </c>
      <c r="O169" s="530" t="s">
        <v>237</v>
      </c>
      <c r="P169" s="439" t="str">
        <f t="shared" si="126"/>
        <v>Covered</v>
      </c>
      <c r="Q169" s="531">
        <v>42460</v>
      </c>
      <c r="R169" s="532"/>
      <c r="S169" s="531"/>
      <c r="T169" s="516" t="s">
        <v>260</v>
      </c>
      <c r="U169" s="436" t="str">
        <f t="shared" si="127"/>
        <v>Documented</v>
      </c>
      <c r="V169" s="542">
        <v>0</v>
      </c>
      <c r="W169" s="515">
        <v>0</v>
      </c>
      <c r="X169" s="543" t="s">
        <v>19</v>
      </c>
      <c r="Y169" s="552">
        <v>0</v>
      </c>
      <c r="Z169" s="515">
        <v>0</v>
      </c>
      <c r="AA169" s="543">
        <v>100000</v>
      </c>
      <c r="AB169" s="560">
        <v>1</v>
      </c>
      <c r="AC169" s="561">
        <v>0</v>
      </c>
      <c r="AD169" s="443">
        <f t="shared" si="110"/>
        <v>1</v>
      </c>
      <c r="AE169" s="407">
        <f t="shared" si="128"/>
        <v>403</v>
      </c>
      <c r="AF169" s="408">
        <f t="shared" si="162"/>
        <v>1</v>
      </c>
      <c r="AG169" s="409">
        <f t="shared" si="129"/>
        <v>403</v>
      </c>
      <c r="AH169" s="406">
        <f t="shared" si="163"/>
        <v>1</v>
      </c>
      <c r="AI169" s="409">
        <f t="shared" si="130"/>
        <v>403</v>
      </c>
      <c r="AJ169" s="410" t="str">
        <f t="shared" si="164"/>
        <v>80-100%</v>
      </c>
      <c r="AK169" s="406">
        <f t="shared" si="165"/>
        <v>0</v>
      </c>
      <c r="AL169" s="411">
        <f t="shared" si="166"/>
        <v>0</v>
      </c>
      <c r="AM169" s="409">
        <f t="shared" si="167"/>
        <v>1.0075000000000001</v>
      </c>
      <c r="AN169" s="409">
        <f t="shared" si="168"/>
        <v>0</v>
      </c>
      <c r="AO169" s="409">
        <f t="shared" si="131"/>
        <v>403</v>
      </c>
      <c r="AP169" s="571">
        <v>1</v>
      </c>
      <c r="AQ169" s="567">
        <f t="shared" si="142"/>
        <v>403</v>
      </c>
      <c r="AR169" s="543"/>
      <c r="AS169" s="552">
        <v>74</v>
      </c>
      <c r="AT169" s="515">
        <v>74</v>
      </c>
      <c r="AU169" s="515">
        <v>0</v>
      </c>
      <c r="AV169" s="515" t="s">
        <v>298</v>
      </c>
      <c r="AW169" s="412">
        <f t="shared" si="146"/>
        <v>1</v>
      </c>
      <c r="AX169" s="409">
        <f t="shared" si="147"/>
        <v>403</v>
      </c>
      <c r="AY169" s="412">
        <f t="shared" si="148"/>
        <v>1</v>
      </c>
      <c r="AZ169" s="409">
        <f t="shared" si="149"/>
        <v>403</v>
      </c>
      <c r="BA169" s="412">
        <f t="shared" si="150"/>
        <v>0</v>
      </c>
      <c r="BB169" s="409">
        <f t="shared" si="151"/>
        <v>0</v>
      </c>
      <c r="BC169" s="550">
        <v>2</v>
      </c>
      <c r="BD169" s="571">
        <v>1</v>
      </c>
      <c r="BE169" s="413">
        <f t="shared" si="169"/>
        <v>403</v>
      </c>
      <c r="BF169" s="414">
        <f t="shared" si="135"/>
        <v>22.15</v>
      </c>
      <c r="BG169" s="515">
        <v>0</v>
      </c>
      <c r="BH169" s="550" t="s">
        <v>788</v>
      </c>
      <c r="BI169" s="412">
        <f t="shared" si="152"/>
        <v>0</v>
      </c>
      <c r="BJ169" s="409">
        <f t="shared" si="153"/>
        <v>0</v>
      </c>
      <c r="BK169" s="414">
        <f t="shared" si="154"/>
        <v>4.03</v>
      </c>
      <c r="BL169" s="571">
        <v>0</v>
      </c>
      <c r="BM169" s="409">
        <f t="shared" si="155"/>
        <v>0</v>
      </c>
      <c r="BN169" s="515">
        <v>0</v>
      </c>
      <c r="BO169" s="412">
        <f t="shared" si="156"/>
        <v>0</v>
      </c>
      <c r="BP169" s="414">
        <f t="shared" si="157"/>
        <v>4.03</v>
      </c>
      <c r="BQ169" s="557">
        <v>0.7</v>
      </c>
      <c r="BR169" s="589" t="s">
        <v>674</v>
      </c>
      <c r="BS169" s="594">
        <v>42125</v>
      </c>
      <c r="BT169" s="415">
        <f t="shared" si="143"/>
        <v>42490</v>
      </c>
      <c r="BU169" s="515">
        <v>78</v>
      </c>
      <c r="BV169" s="515">
        <v>5</v>
      </c>
      <c r="BW169" s="419">
        <f t="shared" si="158"/>
        <v>0</v>
      </c>
      <c r="BX169" s="420">
        <f t="shared" si="159"/>
        <v>1</v>
      </c>
      <c r="BY169" s="413">
        <f t="shared" si="160"/>
        <v>403</v>
      </c>
      <c r="BZ169" s="447">
        <f t="shared" si="145"/>
        <v>0</v>
      </c>
      <c r="CA169" s="542"/>
      <c r="CB169" s="561">
        <v>0</v>
      </c>
      <c r="CC169" s="451">
        <f t="shared" si="140"/>
        <v>0</v>
      </c>
      <c r="CD169" s="552">
        <v>2</v>
      </c>
      <c r="CE169" s="418" t="str">
        <f t="shared" si="141"/>
        <v>Excellent coverage</v>
      </c>
      <c r="CF169" s="515">
        <v>0</v>
      </c>
      <c r="CG169" s="543" t="s">
        <v>65</v>
      </c>
      <c r="CH169" s="602"/>
    </row>
    <row r="170" spans="2:86" s="40" customFormat="1" ht="30.75" customHeight="1" x14ac:dyDescent="0.2">
      <c r="B170" s="512" t="s">
        <v>205</v>
      </c>
      <c r="C170" s="513" t="s">
        <v>565</v>
      </c>
      <c r="D170" s="514" t="s">
        <v>275</v>
      </c>
      <c r="E170" s="513" t="s">
        <v>210</v>
      </c>
      <c r="F170" s="514">
        <v>98.220614999999995</v>
      </c>
      <c r="G170" s="514">
        <v>23.400155999999999</v>
      </c>
      <c r="H170" s="514" t="s">
        <v>467</v>
      </c>
      <c r="I170" s="514" t="s">
        <v>218</v>
      </c>
      <c r="J170" s="515">
        <v>45</v>
      </c>
      <c r="K170" s="515">
        <v>211</v>
      </c>
      <c r="L170" s="515">
        <v>211</v>
      </c>
      <c r="M170" s="405" t="str">
        <f t="shared" ref="M170:M171" si="170">IF(J170&gt;50,IF(J170&gt;250,IF(J170&gt;500,IF(J170&gt;1000,"5. Massive","4. Big"),"3. Large"),"2. Medium"),"1. Small")</f>
        <v>1. Small</v>
      </c>
      <c r="N170" s="516" t="s">
        <v>239</v>
      </c>
      <c r="O170" s="530" t="s">
        <v>237</v>
      </c>
      <c r="P170" s="439" t="str">
        <f t="shared" si="126"/>
        <v>Covered</v>
      </c>
      <c r="Q170" s="531">
        <v>42460</v>
      </c>
      <c r="R170" s="532"/>
      <c r="S170" s="531"/>
      <c r="T170" s="516" t="s">
        <v>260</v>
      </c>
      <c r="U170" s="436" t="str">
        <f t="shared" ref="U170:U171" si="171">IF(T170="Not documented","Not documented","Documented")</f>
        <v>Documented</v>
      </c>
      <c r="V170" s="542">
        <v>0</v>
      </c>
      <c r="W170" s="515">
        <v>0</v>
      </c>
      <c r="X170" s="543" t="s">
        <v>19</v>
      </c>
      <c r="Y170" s="552">
        <v>1</v>
      </c>
      <c r="Z170" s="515">
        <v>0</v>
      </c>
      <c r="AA170" s="543">
        <v>0</v>
      </c>
      <c r="AB170" s="560">
        <v>1</v>
      </c>
      <c r="AC170" s="561">
        <v>0</v>
      </c>
      <c r="AD170" s="443">
        <f t="shared" ref="AD170:AD171" si="172">IF((((V170/15)+((W170/30)/15)+Y170*400+Z170*500+(AA170/15))/L170)&gt;1,1,(((V170/15)+((W170/30)/15)+Y170*400+Z170*500+(AA170/15))/L170))</f>
        <v>1</v>
      </c>
      <c r="AE170" s="407">
        <f t="shared" ref="AE170:AE171" si="173">AD170*L170</f>
        <v>211</v>
      </c>
      <c r="AF170" s="408">
        <f t="shared" ref="AF170:AF171" si="174">IF(((Y170*400+Z170*500+(AA170/15))/L170)&gt;1,1,(Y170*400+Z170*500+(AA170/15))/L170)</f>
        <v>1</v>
      </c>
      <c r="AG170" s="409">
        <f t="shared" ref="AG170:AG171" si="175">AF170*L170</f>
        <v>211</v>
      </c>
      <c r="AH170" s="406">
        <f t="shared" ref="AH170:AH171" si="176">IF(AC170=0,AD170,IF(AC170&lt;AD170,AD170,AC170))</f>
        <v>1</v>
      </c>
      <c r="AI170" s="409">
        <f t="shared" ref="AI170:AI171" si="177">AH170*L170</f>
        <v>211</v>
      </c>
      <c r="AJ170" s="410" t="str">
        <f t="shared" ref="AJ170:AJ171" si="178">IF(AD170&gt;0.15,IF(AD170&gt;0.3,IF(AD170&gt;0.45,IF(AD170&gt;0.6,IF(AD170&gt;0.8,"80-100%","60-80%"),"45-60%"),"30-45%"),"15-30%"),"0-10%")</f>
        <v>80-100%</v>
      </c>
      <c r="AK170" s="406">
        <f t="shared" ref="AK170:AK171" si="179">IF((AD170-AF170)&lt; 0, 0, AD170-AF170)</f>
        <v>0</v>
      </c>
      <c r="AL170" s="411">
        <f t="shared" ref="AL170:AL171" si="180">AK170*L170</f>
        <v>0</v>
      </c>
      <c r="AM170" s="409">
        <f t="shared" ref="AM170:AM171" si="181">IF(L170/400-(Y170+Z170)&lt;0,0,L170/400-(Y170+Z170))</f>
        <v>0</v>
      </c>
      <c r="AN170" s="409">
        <f t="shared" ref="AN170:AN171" si="182">AC170*J170</f>
        <v>0</v>
      </c>
      <c r="AO170" s="409">
        <f t="shared" ref="AO170:AO171" si="183">AB170*L170</f>
        <v>211</v>
      </c>
      <c r="AP170" s="571">
        <v>1</v>
      </c>
      <c r="AQ170" s="567">
        <f t="shared" si="142"/>
        <v>211</v>
      </c>
      <c r="AR170" s="543" t="s">
        <v>849</v>
      </c>
      <c r="AS170" s="552">
        <v>49</v>
      </c>
      <c r="AT170" s="515">
        <v>41</v>
      </c>
      <c r="AU170" s="515">
        <v>0</v>
      </c>
      <c r="AV170" s="515" t="s">
        <v>298</v>
      </c>
      <c r="AW170" s="412">
        <f t="shared" ref="AW170:AW171" si="184">IF((((AT170+AU170)*20)/L170)&gt;1,1,(((AT170+AU170)*20)/L170))</f>
        <v>1</v>
      </c>
      <c r="AX170" s="409">
        <f t="shared" ref="AX170:AX171" si="185">AW170*L170</f>
        <v>211</v>
      </c>
      <c r="AY170" s="412">
        <f t="shared" ref="AY170:AY171" si="186">AW170-BA170</f>
        <v>1</v>
      </c>
      <c r="AZ170" s="409">
        <f t="shared" ref="AZ170:AZ171" si="187">AY170*L170</f>
        <v>211</v>
      </c>
      <c r="BA170" s="412">
        <f t="shared" ref="BA170:BA171" si="188">IF(((AU170*20)/L170)&gt;1,1,((AU170*20)/L170))</f>
        <v>0</v>
      </c>
      <c r="BB170" s="409">
        <f t="shared" ref="BB170:BB171" si="189">BA170*L170</f>
        <v>0</v>
      </c>
      <c r="BC170" s="550">
        <v>2</v>
      </c>
      <c r="BD170" s="571">
        <v>1</v>
      </c>
      <c r="BE170" s="413">
        <f t="shared" ref="BE170:BE171" si="190">BD170*L170</f>
        <v>211</v>
      </c>
      <c r="BF170" s="414">
        <f t="shared" ref="BF170:BF171" si="191">IF((L170/20-AU170+BC170)&lt;0,0,(L170/20-AU170+BC170))</f>
        <v>12.55</v>
      </c>
      <c r="BG170" s="515">
        <v>0</v>
      </c>
      <c r="BH170" s="550" t="s">
        <v>788</v>
      </c>
      <c r="BI170" s="412">
        <f t="shared" ref="BI170:BI171" si="192">IF((BG170*100/L170)&gt;1,1,(BG170*100/L170))</f>
        <v>0</v>
      </c>
      <c r="BJ170" s="409">
        <f t="shared" ref="BJ170:BJ171" si="193">BI170*L170</f>
        <v>0</v>
      </c>
      <c r="BK170" s="414">
        <f t="shared" ref="BK170:BK171" si="194">IF(K170/100-BG170&lt;0,0,K170/100-BG170)</f>
        <v>2.11</v>
      </c>
      <c r="BL170" s="571">
        <v>0</v>
      </c>
      <c r="BM170" s="409">
        <f t="shared" ref="BM170:BM171" si="195">BL170*L170</f>
        <v>0</v>
      </c>
      <c r="BN170" s="515">
        <v>0</v>
      </c>
      <c r="BO170" s="412">
        <f t="shared" ref="BO170:BO171" si="196">IF((BN170*100/L170)&gt;1,1,(BN170*100/L170))</f>
        <v>0</v>
      </c>
      <c r="BP170" s="414">
        <f t="shared" ref="BP170:BP171" si="197">IF(K170/100-BN170&lt;0,0,K170/100-BN170)</f>
        <v>2.11</v>
      </c>
      <c r="BQ170" s="557">
        <v>0.7</v>
      </c>
      <c r="BR170" s="589" t="s">
        <v>673</v>
      </c>
      <c r="BS170" s="594">
        <v>42125</v>
      </c>
      <c r="BT170" s="415">
        <f t="shared" ref="BT170:BT171" si="198">IF(BS170="","To be realised",IF(BS170="n/a","n/a",IF(BS170+365&lt;$E$2,"To be realised",BS170+365)))</f>
        <v>42490</v>
      </c>
      <c r="BU170" s="515">
        <v>49</v>
      </c>
      <c r="BV170" s="515">
        <v>5</v>
      </c>
      <c r="BW170" s="419">
        <f t="shared" ref="BW170:BW171" si="199">IF(BT170="n/a",0,IF(BT170="To be realised",J170,IF((J170-BU170)&lt;0,0,(J170-BU170))))</f>
        <v>0</v>
      </c>
      <c r="BX170" s="420">
        <f t="shared" ref="BX170:BX171" si="200">IF(BW170=0,1,(J170-BW170)/J170)</f>
        <v>1</v>
      </c>
      <c r="BY170" s="413">
        <f t="shared" ref="BY170:BY171" si="201">BX170*L170</f>
        <v>211</v>
      </c>
      <c r="BZ170" s="447">
        <f t="shared" ref="BZ170:BZ171" si="202">IF(BS170="","Column BN to be completed", IF(BS170="n/a",0,IF(($E$2-BS170-30)/30-BV170&lt;0,0,ROUND((($E$2-BS170-30)/30-BV170),0))))</f>
        <v>0</v>
      </c>
      <c r="CA170" s="542"/>
      <c r="CB170" s="561">
        <v>1</v>
      </c>
      <c r="CC170" s="451">
        <f t="shared" ref="CC170:CC171" si="203">CB170*L170</f>
        <v>211</v>
      </c>
      <c r="CD170" s="552">
        <v>0</v>
      </c>
      <c r="CE170" s="418" t="str">
        <f t="shared" ref="CE170:CE171" si="204">IF(CD170=0,"No coverage",IF(L170/CD170&gt;1000,"Low coverage",IF(L170/CD170&gt;750,"Average coverage",IF(L170/CD170&gt;500,"Good coverage","Excellent coverage"))))</f>
        <v>No coverage</v>
      </c>
      <c r="CF170" s="515">
        <v>0</v>
      </c>
      <c r="CG170" s="543" t="s">
        <v>65</v>
      </c>
      <c r="CH170" s="602"/>
    </row>
    <row r="171" spans="2:86" s="40" customFormat="1" ht="30.75" customHeight="1" x14ac:dyDescent="0.2">
      <c r="B171" s="512" t="s">
        <v>205</v>
      </c>
      <c r="C171" s="513" t="s">
        <v>566</v>
      </c>
      <c r="D171" s="514" t="s">
        <v>275</v>
      </c>
      <c r="E171" s="513" t="s">
        <v>211</v>
      </c>
      <c r="F171" s="514">
        <v>98.213958000000005</v>
      </c>
      <c r="G171" s="514">
        <v>23.391741</v>
      </c>
      <c r="H171" s="514" t="s">
        <v>467</v>
      </c>
      <c r="I171" s="514" t="s">
        <v>218</v>
      </c>
      <c r="J171" s="515">
        <v>67</v>
      </c>
      <c r="K171" s="515">
        <v>350</v>
      </c>
      <c r="L171" s="515">
        <v>350</v>
      </c>
      <c r="M171" s="405" t="str">
        <f t="shared" si="170"/>
        <v>2. Medium</v>
      </c>
      <c r="N171" s="516" t="s">
        <v>235</v>
      </c>
      <c r="O171" s="530" t="s">
        <v>235</v>
      </c>
      <c r="P171" s="439" t="str">
        <f t="shared" si="126"/>
        <v>Covered</v>
      </c>
      <c r="Q171" s="531">
        <v>42369</v>
      </c>
      <c r="R171" s="532"/>
      <c r="S171" s="531"/>
      <c r="T171" s="516" t="s">
        <v>260</v>
      </c>
      <c r="U171" s="436" t="str">
        <f t="shared" si="171"/>
        <v>Documented</v>
      </c>
      <c r="V171" s="542">
        <v>0</v>
      </c>
      <c r="W171" s="515">
        <v>0</v>
      </c>
      <c r="X171" s="543" t="s">
        <v>19</v>
      </c>
      <c r="Y171" s="552">
        <v>0</v>
      </c>
      <c r="Z171" s="515">
        <v>0</v>
      </c>
      <c r="AA171" s="543">
        <v>14400</v>
      </c>
      <c r="AB171" s="560">
        <v>1</v>
      </c>
      <c r="AC171" s="561">
        <v>0</v>
      </c>
      <c r="AD171" s="443">
        <f t="shared" si="172"/>
        <v>1</v>
      </c>
      <c r="AE171" s="407">
        <f t="shared" si="173"/>
        <v>350</v>
      </c>
      <c r="AF171" s="408">
        <f t="shared" si="174"/>
        <v>1</v>
      </c>
      <c r="AG171" s="409">
        <f t="shared" si="175"/>
        <v>350</v>
      </c>
      <c r="AH171" s="406">
        <f t="shared" si="176"/>
        <v>1</v>
      </c>
      <c r="AI171" s="409">
        <f t="shared" si="177"/>
        <v>350</v>
      </c>
      <c r="AJ171" s="410" t="str">
        <f t="shared" si="178"/>
        <v>80-100%</v>
      </c>
      <c r="AK171" s="406">
        <f t="shared" si="179"/>
        <v>0</v>
      </c>
      <c r="AL171" s="411">
        <f t="shared" si="180"/>
        <v>0</v>
      </c>
      <c r="AM171" s="409">
        <f t="shared" si="181"/>
        <v>0.875</v>
      </c>
      <c r="AN171" s="409">
        <f t="shared" si="182"/>
        <v>0</v>
      </c>
      <c r="AO171" s="409">
        <f t="shared" si="183"/>
        <v>350</v>
      </c>
      <c r="AP171" s="571">
        <v>1</v>
      </c>
      <c r="AQ171" s="567">
        <f t="shared" si="142"/>
        <v>350</v>
      </c>
      <c r="AR171" s="543" t="s">
        <v>848</v>
      </c>
      <c r="AS171" s="552">
        <v>12</v>
      </c>
      <c r="AT171" s="515">
        <v>12</v>
      </c>
      <c r="AU171" s="515">
        <v>8</v>
      </c>
      <c r="AV171" s="515" t="s">
        <v>299</v>
      </c>
      <c r="AW171" s="412">
        <f t="shared" si="184"/>
        <v>1</v>
      </c>
      <c r="AX171" s="409">
        <f t="shared" si="185"/>
        <v>350</v>
      </c>
      <c r="AY171" s="412">
        <f t="shared" si="186"/>
        <v>0.54285714285714293</v>
      </c>
      <c r="AZ171" s="409">
        <f t="shared" si="187"/>
        <v>190.00000000000003</v>
      </c>
      <c r="BA171" s="412">
        <f t="shared" si="188"/>
        <v>0.45714285714285713</v>
      </c>
      <c r="BB171" s="409">
        <f t="shared" si="189"/>
        <v>160</v>
      </c>
      <c r="BC171" s="550">
        <v>2</v>
      </c>
      <c r="BD171" s="571">
        <v>1</v>
      </c>
      <c r="BE171" s="413">
        <f t="shared" si="190"/>
        <v>350</v>
      </c>
      <c r="BF171" s="414">
        <f t="shared" si="191"/>
        <v>11.5</v>
      </c>
      <c r="BG171" s="515">
        <v>2</v>
      </c>
      <c r="BH171" s="550" t="s">
        <v>299</v>
      </c>
      <c r="BI171" s="412">
        <f t="shared" si="192"/>
        <v>0.5714285714285714</v>
      </c>
      <c r="BJ171" s="409">
        <f t="shared" si="193"/>
        <v>200</v>
      </c>
      <c r="BK171" s="414">
        <f t="shared" si="194"/>
        <v>1.5</v>
      </c>
      <c r="BL171" s="571">
        <v>0.56999999999999995</v>
      </c>
      <c r="BM171" s="409">
        <f t="shared" si="195"/>
        <v>199.49999999999997</v>
      </c>
      <c r="BN171" s="515">
        <v>0</v>
      </c>
      <c r="BO171" s="412">
        <f t="shared" si="196"/>
        <v>0</v>
      </c>
      <c r="BP171" s="414">
        <f t="shared" si="197"/>
        <v>3.5</v>
      </c>
      <c r="BQ171" s="557">
        <v>0</v>
      </c>
      <c r="BR171" s="589"/>
      <c r="BS171" s="594"/>
      <c r="BT171" s="415" t="str">
        <f t="shared" si="198"/>
        <v>To be realised</v>
      </c>
      <c r="BU171" s="515">
        <v>0</v>
      </c>
      <c r="BV171" s="515">
        <v>3</v>
      </c>
      <c r="BW171" s="419">
        <f t="shared" si="199"/>
        <v>67</v>
      </c>
      <c r="BX171" s="420">
        <f t="shared" si="200"/>
        <v>0</v>
      </c>
      <c r="BY171" s="413">
        <f t="shared" si="201"/>
        <v>0</v>
      </c>
      <c r="BZ171" s="447" t="str">
        <f t="shared" si="202"/>
        <v>Column BN to be completed</v>
      </c>
      <c r="CA171" s="542" t="s">
        <v>807</v>
      </c>
      <c r="CB171" s="561">
        <v>0</v>
      </c>
      <c r="CC171" s="451">
        <f t="shared" si="203"/>
        <v>0</v>
      </c>
      <c r="CD171" s="552">
        <v>2</v>
      </c>
      <c r="CE171" s="418" t="str">
        <f t="shared" si="204"/>
        <v>Excellent coverage</v>
      </c>
      <c r="CF171" s="515">
        <v>0</v>
      </c>
      <c r="CG171" s="543" t="s">
        <v>65</v>
      </c>
      <c r="CH171" s="602"/>
    </row>
    <row r="172" spans="2:86" s="40" customFormat="1" ht="30.75" customHeight="1" x14ac:dyDescent="0.2">
      <c r="B172" s="512" t="s">
        <v>205</v>
      </c>
      <c r="C172" s="513" t="s">
        <v>567</v>
      </c>
      <c r="D172" s="514" t="s">
        <v>275</v>
      </c>
      <c r="E172" s="513" t="s">
        <v>212</v>
      </c>
      <c r="F172" s="514">
        <v>97.819062000000002</v>
      </c>
      <c r="G172" s="514">
        <v>23.694047000000001</v>
      </c>
      <c r="H172" s="514" t="s">
        <v>467</v>
      </c>
      <c r="I172" s="514" t="s">
        <v>218</v>
      </c>
      <c r="J172" s="515">
        <v>75</v>
      </c>
      <c r="K172" s="515">
        <v>269</v>
      </c>
      <c r="L172" s="515">
        <v>269</v>
      </c>
      <c r="M172" s="405"/>
      <c r="N172" s="516" t="s">
        <v>239</v>
      </c>
      <c r="O172" s="530" t="s">
        <v>237</v>
      </c>
      <c r="P172" s="439" t="str">
        <f t="shared" si="126"/>
        <v>Covered</v>
      </c>
      <c r="Q172" s="531">
        <v>42460</v>
      </c>
      <c r="R172" s="532"/>
      <c r="S172" s="531"/>
      <c r="T172" s="516" t="s">
        <v>260</v>
      </c>
      <c r="U172" s="436" t="str">
        <f t="shared" si="127"/>
        <v>Documented</v>
      </c>
      <c r="V172" s="542">
        <v>0</v>
      </c>
      <c r="W172" s="515">
        <v>0</v>
      </c>
      <c r="X172" s="543" t="s">
        <v>19</v>
      </c>
      <c r="Y172" s="552">
        <v>0</v>
      </c>
      <c r="Z172" s="515">
        <v>0</v>
      </c>
      <c r="AA172" s="543">
        <v>57600</v>
      </c>
      <c r="AB172" s="560">
        <v>1</v>
      </c>
      <c r="AC172" s="561">
        <v>0</v>
      </c>
      <c r="AD172" s="443">
        <f t="shared" ref="AD172:AD173" si="205">IF((((V172/15)+((W172/30)/15)+Y172*400+Z172*500+(AA172/15))/L172)&gt;1,1,(((V172/15)+((W172/30)/15)+Y172*400+Z172*500+(AA172/15))/L172))</f>
        <v>1</v>
      </c>
      <c r="AE172" s="407">
        <f t="shared" ref="AE172:AE173" si="206">AD172*L172</f>
        <v>269</v>
      </c>
      <c r="AF172" s="408">
        <f t="shared" ref="AF172:AF173" si="207">IF(((Y172*400+Z172*500+(AA172/15))/L172)&gt;1,1,(Y172*400+Z172*500+(AA172/15))/L172)</f>
        <v>1</v>
      </c>
      <c r="AG172" s="409">
        <f t="shared" ref="AG172:AG173" si="208">AF172*L172</f>
        <v>269</v>
      </c>
      <c r="AH172" s="406">
        <f t="shared" ref="AH172:AH173" si="209">IF(AC172=0,AD172,IF(AC172&lt;AD172,AD172,AC172))</f>
        <v>1</v>
      </c>
      <c r="AI172" s="409">
        <f t="shared" ref="AI172:AI173" si="210">AH172*L172</f>
        <v>269</v>
      </c>
      <c r="AJ172" s="410" t="str">
        <f t="shared" ref="AJ172:AJ173" si="211">IF(AD172&gt;0.15,IF(AD172&gt;0.3,IF(AD172&gt;0.45,IF(AD172&gt;0.6,IF(AD172&gt;0.8,"80-100%","60-80%"),"45-60%"),"30-45%"),"15-30%"),"0-10%")</f>
        <v>80-100%</v>
      </c>
      <c r="AK172" s="406">
        <f t="shared" ref="AK172:AK173" si="212">IF((AD172-AF172)&lt; 0, 0, AD172-AF172)</f>
        <v>0</v>
      </c>
      <c r="AL172" s="411">
        <f t="shared" ref="AL172:AL173" si="213">AK172*L172</f>
        <v>0</v>
      </c>
      <c r="AM172" s="409">
        <f t="shared" ref="AM172:AM173" si="214">IF(L172/400-(Y172+Z172)&lt;0,0,L172/400-(Y172+Z172))</f>
        <v>0.67249999999999999</v>
      </c>
      <c r="AN172" s="409">
        <f t="shared" ref="AN172:AN173" si="215">AC172*J172</f>
        <v>0</v>
      </c>
      <c r="AO172" s="409">
        <f t="shared" ref="AO172:AO173" si="216">AB172*L172</f>
        <v>269</v>
      </c>
      <c r="AP172" s="571">
        <v>1</v>
      </c>
      <c r="AQ172" s="567">
        <f t="shared" si="142"/>
        <v>269</v>
      </c>
      <c r="AR172" s="543"/>
      <c r="AS172" s="552">
        <v>9</v>
      </c>
      <c r="AT172" s="515">
        <v>9</v>
      </c>
      <c r="AU172" s="515">
        <v>9</v>
      </c>
      <c r="AV172" s="515" t="s">
        <v>298</v>
      </c>
      <c r="AW172" s="412">
        <f t="shared" si="146"/>
        <v>1</v>
      </c>
      <c r="AX172" s="409">
        <f t="shared" si="147"/>
        <v>269</v>
      </c>
      <c r="AY172" s="412">
        <f t="shared" si="148"/>
        <v>0.33085501858736055</v>
      </c>
      <c r="AZ172" s="409">
        <f t="shared" si="149"/>
        <v>88.999999999999986</v>
      </c>
      <c r="BA172" s="412">
        <f t="shared" si="150"/>
        <v>0.66914498141263945</v>
      </c>
      <c r="BB172" s="409">
        <f t="shared" si="151"/>
        <v>180</v>
      </c>
      <c r="BC172" s="550">
        <v>4</v>
      </c>
      <c r="BD172" s="571">
        <v>1</v>
      </c>
      <c r="BE172" s="413"/>
      <c r="BF172" s="414"/>
      <c r="BG172" s="515">
        <v>2</v>
      </c>
      <c r="BH172" s="550" t="s">
        <v>91</v>
      </c>
      <c r="BI172" s="412">
        <f t="shared" si="152"/>
        <v>0.74349442379182151</v>
      </c>
      <c r="BJ172" s="409">
        <f t="shared" si="153"/>
        <v>200</v>
      </c>
      <c r="BK172" s="414">
        <f t="shared" si="154"/>
        <v>0.69</v>
      </c>
      <c r="BL172" s="566">
        <v>0.75</v>
      </c>
      <c r="BM172" s="409">
        <f t="shared" si="155"/>
        <v>201.75</v>
      </c>
      <c r="BN172" s="515">
        <v>0</v>
      </c>
      <c r="BO172" s="412">
        <f t="shared" si="156"/>
        <v>0</v>
      </c>
      <c r="BP172" s="414">
        <f t="shared" si="157"/>
        <v>2.69</v>
      </c>
      <c r="BQ172" s="557">
        <v>0.8</v>
      </c>
      <c r="BR172" s="589" t="s">
        <v>675</v>
      </c>
      <c r="BS172" s="594">
        <v>42135</v>
      </c>
      <c r="BT172" s="415">
        <f t="shared" si="143"/>
        <v>42500</v>
      </c>
      <c r="BU172" s="515">
        <v>85</v>
      </c>
      <c r="BV172" s="515">
        <v>2</v>
      </c>
      <c r="BW172" s="419">
        <f t="shared" si="158"/>
        <v>0</v>
      </c>
      <c r="BX172" s="420">
        <f t="shared" si="159"/>
        <v>1</v>
      </c>
      <c r="BY172" s="413">
        <f t="shared" si="160"/>
        <v>269</v>
      </c>
      <c r="BZ172" s="447">
        <f t="shared" si="145"/>
        <v>0</v>
      </c>
      <c r="CA172" s="542"/>
      <c r="CB172" s="561">
        <v>0.35</v>
      </c>
      <c r="CC172" s="451"/>
      <c r="CD172" s="552">
        <v>2</v>
      </c>
      <c r="CE172" s="418" t="str">
        <f t="shared" si="141"/>
        <v>Excellent coverage</v>
      </c>
      <c r="CF172" s="515">
        <v>0</v>
      </c>
      <c r="CG172" s="543" t="s">
        <v>65</v>
      </c>
      <c r="CH172" s="602"/>
    </row>
    <row r="173" spans="2:86" s="40" customFormat="1" ht="30.75" customHeight="1" x14ac:dyDescent="0.2">
      <c r="B173" s="512" t="s">
        <v>808</v>
      </c>
      <c r="C173" s="513" t="s">
        <v>632</v>
      </c>
      <c r="D173" s="514" t="s">
        <v>275</v>
      </c>
      <c r="E173" s="513" t="s">
        <v>231</v>
      </c>
      <c r="F173" s="514">
        <v>98.128</v>
      </c>
      <c r="G173" s="514">
        <v>23.24</v>
      </c>
      <c r="H173" s="514" t="s">
        <v>467</v>
      </c>
      <c r="I173" s="514" t="s">
        <v>218</v>
      </c>
      <c r="J173" s="515">
        <v>67</v>
      </c>
      <c r="K173" s="515">
        <v>392</v>
      </c>
      <c r="L173" s="515">
        <v>392</v>
      </c>
      <c r="M173" s="405" t="str">
        <f t="shared" ref="M173" si="217">IF(J173&gt;50,IF(J173&gt;250,IF(J173&gt;500,IF(J173&gt;1000,"5. Massive","4. Big"),"3. Large"),"2. Medium"),"1. Small")</f>
        <v>2. Medium</v>
      </c>
      <c r="N173" s="516" t="s">
        <v>290</v>
      </c>
      <c r="O173" s="530" t="s">
        <v>237</v>
      </c>
      <c r="P173" s="439" t="str">
        <f t="shared" si="126"/>
        <v>Covered</v>
      </c>
      <c r="Q173" s="531">
        <v>42460</v>
      </c>
      <c r="R173" s="532"/>
      <c r="S173" s="531"/>
      <c r="T173" s="516" t="s">
        <v>260</v>
      </c>
      <c r="U173" s="436" t="str">
        <f t="shared" ref="U173" si="218">IF(T173="Not documented","Not documented","Documented")</f>
        <v>Documented</v>
      </c>
      <c r="V173" s="542">
        <v>0</v>
      </c>
      <c r="W173" s="515">
        <v>0</v>
      </c>
      <c r="X173" s="543" t="s">
        <v>19</v>
      </c>
      <c r="Y173" s="552">
        <v>0</v>
      </c>
      <c r="Z173" s="515">
        <v>0</v>
      </c>
      <c r="AA173" s="543">
        <v>17000</v>
      </c>
      <c r="AB173" s="560">
        <v>0</v>
      </c>
      <c r="AC173" s="561">
        <v>0</v>
      </c>
      <c r="AD173" s="443">
        <f t="shared" si="205"/>
        <v>1</v>
      </c>
      <c r="AE173" s="407">
        <f t="shared" si="206"/>
        <v>392</v>
      </c>
      <c r="AF173" s="408">
        <f t="shared" si="207"/>
        <v>1</v>
      </c>
      <c r="AG173" s="409">
        <f t="shared" si="208"/>
        <v>392</v>
      </c>
      <c r="AH173" s="406">
        <f t="shared" si="209"/>
        <v>1</v>
      </c>
      <c r="AI173" s="409">
        <f t="shared" si="210"/>
        <v>392</v>
      </c>
      <c r="AJ173" s="410" t="str">
        <f t="shared" si="211"/>
        <v>80-100%</v>
      </c>
      <c r="AK173" s="406">
        <f t="shared" si="212"/>
        <v>0</v>
      </c>
      <c r="AL173" s="411">
        <f t="shared" si="213"/>
        <v>0</v>
      </c>
      <c r="AM173" s="409">
        <f t="shared" si="214"/>
        <v>0.98</v>
      </c>
      <c r="AN173" s="409">
        <f t="shared" si="215"/>
        <v>0</v>
      </c>
      <c r="AO173" s="409">
        <f t="shared" si="216"/>
        <v>0</v>
      </c>
      <c r="AP173" s="571">
        <v>1</v>
      </c>
      <c r="AQ173" s="567">
        <f t="shared" si="142"/>
        <v>392</v>
      </c>
      <c r="AR173" s="543" t="s">
        <v>850</v>
      </c>
      <c r="AS173" s="552">
        <v>4</v>
      </c>
      <c r="AT173" s="515">
        <v>4</v>
      </c>
      <c r="AU173" s="515">
        <v>0</v>
      </c>
      <c r="AV173" s="515" t="s">
        <v>298</v>
      </c>
      <c r="AW173" s="412">
        <f t="shared" ref="AW173" si="219">IF((((AT173+AU173)*20)/L173)&gt;1,1,(((AT173+AU173)*20)/L173))</f>
        <v>0.20408163265306123</v>
      </c>
      <c r="AX173" s="409">
        <f t="shared" ref="AX173" si="220">AW173*L173</f>
        <v>80</v>
      </c>
      <c r="AY173" s="412">
        <f t="shared" ref="AY173" si="221">AW173-BA173</f>
        <v>0.20408163265306123</v>
      </c>
      <c r="AZ173" s="409">
        <f t="shared" ref="AZ173" si="222">AY173*L173</f>
        <v>80</v>
      </c>
      <c r="BA173" s="412">
        <f t="shared" ref="BA173" si="223">IF(((AU173*20)/L173)&gt;1,1,((AU173*20)/L173))</f>
        <v>0</v>
      </c>
      <c r="BB173" s="409">
        <f t="shared" ref="BB173" si="224">BA173*L173</f>
        <v>0</v>
      </c>
      <c r="BC173" s="550">
        <v>0</v>
      </c>
      <c r="BD173" s="571">
        <v>0.2</v>
      </c>
      <c r="BE173" s="413">
        <f t="shared" ref="BE173" si="225">BD173*L173</f>
        <v>78.400000000000006</v>
      </c>
      <c r="BF173" s="414">
        <f t="shared" ref="BF173" si="226">IF((L173/20-AU173+BC173)&lt;0,0,(L173/20-AU173+BC173))</f>
        <v>19.600000000000001</v>
      </c>
      <c r="BG173" s="515">
        <v>0</v>
      </c>
      <c r="BH173" s="550"/>
      <c r="BI173" s="412">
        <f t="shared" ref="BI173" si="227">IF((BG173*100/L173)&gt;1,1,(BG173*100/L173))</f>
        <v>0</v>
      </c>
      <c r="BJ173" s="409">
        <f t="shared" ref="BJ173" si="228">BI173*L173</f>
        <v>0</v>
      </c>
      <c r="BK173" s="414">
        <f t="shared" ref="BK173" si="229">IF(K173/100-BG173&lt;0,0,K173/100-BG173)</f>
        <v>3.92</v>
      </c>
      <c r="BL173" s="566">
        <v>0</v>
      </c>
      <c r="BM173" s="409">
        <f t="shared" ref="BM173" si="230">BL173*L173</f>
        <v>0</v>
      </c>
      <c r="BN173" s="515">
        <v>0</v>
      </c>
      <c r="BO173" s="412">
        <f t="shared" ref="BO173" si="231">IF((BN173*100/L173)&gt;1,1,(BN173*100/L173))</f>
        <v>0</v>
      </c>
      <c r="BP173" s="414">
        <f t="shared" ref="BP173" si="232">IF(K173/100-BN173&lt;0,0,K173/100-BN173)</f>
        <v>3.92</v>
      </c>
      <c r="BQ173" s="557">
        <v>0.7</v>
      </c>
      <c r="BR173" s="589" t="s">
        <v>870</v>
      </c>
      <c r="BS173" s="594"/>
      <c r="BT173" s="415" t="str">
        <f t="shared" ref="BT173" si="233">IF(BS173="","To be realised",IF(BS173="n/a","n/a",IF(BS173+365&lt;$E$2,"To be realised",BS173+365)))</f>
        <v>To be realised</v>
      </c>
      <c r="BU173" s="515">
        <v>0</v>
      </c>
      <c r="BV173" s="515">
        <v>2</v>
      </c>
      <c r="BW173" s="419">
        <f t="shared" ref="BW173" si="234">IF(BT173="n/a",0,IF(BT173="To be realised",J173,IF((J173-BU173)&lt;0,0,(J173-BU173))))</f>
        <v>67</v>
      </c>
      <c r="BX173" s="420">
        <f t="shared" ref="BX173" si="235">IF(BW173=0,1,(J173-BW173)/J173)</f>
        <v>0</v>
      </c>
      <c r="BY173" s="413">
        <f t="shared" ref="BY173" si="236">BX173*L173</f>
        <v>0</v>
      </c>
      <c r="BZ173" s="447" t="str">
        <f t="shared" ref="BZ173" si="237">IF(BS173="","Column BN to be completed", IF(BS173="n/a",0,IF(($E$2-BS173-30)/30-BV173&lt;0,0,ROUND((($E$2-BS173-30)/30-BV173),0))))</f>
        <v>Column BN to be completed</v>
      </c>
      <c r="CA173" s="542"/>
      <c r="CB173" s="561">
        <v>0</v>
      </c>
      <c r="CC173" s="451">
        <f t="shared" ref="CC173" si="238">CB173*L173</f>
        <v>0</v>
      </c>
      <c r="CD173" s="552">
        <v>0</v>
      </c>
      <c r="CE173" s="418" t="str">
        <f t="shared" ref="CE173" si="239">IF(CD173=0,"No coverage",IF(L173/CD173&gt;1000,"Low coverage",IF(L173/CD173&gt;750,"Average coverage",IF(L173/CD173&gt;500,"Good coverage","Excellent coverage"))))</f>
        <v>No coverage</v>
      </c>
      <c r="CF173" s="515">
        <v>0</v>
      </c>
      <c r="CG173" s="543" t="s">
        <v>65</v>
      </c>
      <c r="CH173" s="602"/>
    </row>
    <row r="174" spans="2:86" ht="30.75" customHeight="1" x14ac:dyDescent="0.2">
      <c r="B174" s="512" t="s">
        <v>205</v>
      </c>
      <c r="C174" s="513" t="s">
        <v>568</v>
      </c>
      <c r="D174" s="514" t="s">
        <v>275</v>
      </c>
      <c r="E174" s="513" t="s">
        <v>213</v>
      </c>
      <c r="F174" s="514">
        <v>97.837040000000002</v>
      </c>
      <c r="G174" s="514">
        <v>23.38503</v>
      </c>
      <c r="H174" s="514" t="s">
        <v>467</v>
      </c>
      <c r="I174" s="514" t="s">
        <v>218</v>
      </c>
      <c r="J174" s="515">
        <v>178</v>
      </c>
      <c r="K174" s="515">
        <v>826</v>
      </c>
      <c r="L174" s="515">
        <v>826</v>
      </c>
      <c r="M174" s="405" t="str">
        <f>IF(J174&gt;50,IF(J174&gt;250,IF(J174&gt;500,IF(J174&gt;1000,"5. Massive","4. Big"),"3. Large"),"2. Medium"),"1. Small")</f>
        <v>2. Medium</v>
      </c>
      <c r="N174" s="516" t="s">
        <v>239</v>
      </c>
      <c r="O174" s="530" t="s">
        <v>237</v>
      </c>
      <c r="P174" s="439" t="str">
        <f>IF(O174="None","Not covered","Covered")</f>
        <v>Covered</v>
      </c>
      <c r="Q174" s="531">
        <v>42460</v>
      </c>
      <c r="R174" s="532"/>
      <c r="S174" s="531"/>
      <c r="T174" s="516" t="s">
        <v>260</v>
      </c>
      <c r="U174" s="436" t="str">
        <f>IF(T174="Not documented","Not documented","Documented")</f>
        <v>Documented</v>
      </c>
      <c r="V174" s="542">
        <v>0</v>
      </c>
      <c r="W174" s="515">
        <v>0</v>
      </c>
      <c r="X174" s="543" t="s">
        <v>19</v>
      </c>
      <c r="Y174" s="552">
        <v>0</v>
      </c>
      <c r="Z174" s="515">
        <v>0</v>
      </c>
      <c r="AA174" s="543">
        <v>60000</v>
      </c>
      <c r="AB174" s="560">
        <v>1</v>
      </c>
      <c r="AC174" s="561">
        <v>0</v>
      </c>
      <c r="AD174" s="443">
        <f t="shared" ref="AD174:AD176" si="240">IF((((V174/15)+((W174/30)/15)+Y174*400+Z174*500+(AA174/15))/L174)&gt;1,1,(((V174/15)+((W174/30)/15)+Y174*400+Z174*500+(AA174/15))/L174))</f>
        <v>1</v>
      </c>
      <c r="AE174" s="407">
        <f t="shared" ref="AE174:AE176" si="241">AD174*L174</f>
        <v>826</v>
      </c>
      <c r="AF174" s="408">
        <f t="shared" ref="AF174:AF176" si="242">IF(((Y174*400+Z174*500+(AA174/15))/L174)&gt;1,1,(Y174*400+Z174*500+(AA174/15))/L174)</f>
        <v>1</v>
      </c>
      <c r="AG174" s="409">
        <f t="shared" ref="AG174:AG176" si="243">AF174*L174</f>
        <v>826</v>
      </c>
      <c r="AH174" s="406">
        <f t="shared" ref="AH174:AH176" si="244">IF(AC174=0,AD174,IF(AC174&lt;AD174,AD174,AC174))</f>
        <v>1</v>
      </c>
      <c r="AI174" s="409">
        <f t="shared" ref="AI174:AI176" si="245">AH174*L174</f>
        <v>826</v>
      </c>
      <c r="AJ174" s="410" t="str">
        <f t="shared" ref="AJ174:AJ176" si="246">IF(AD174&gt;0.15,IF(AD174&gt;0.3,IF(AD174&gt;0.45,IF(AD174&gt;0.6,IF(AD174&gt;0.8,"80-100%","60-80%"),"45-60%"),"30-45%"),"15-30%"),"0-10%")</f>
        <v>80-100%</v>
      </c>
      <c r="AK174" s="406">
        <f t="shared" ref="AK174:AK176" si="247">IF((AD174-AF174)&lt; 0, 0, AD174-AF174)</f>
        <v>0</v>
      </c>
      <c r="AL174" s="411">
        <f t="shared" ref="AL174:AL176" si="248">AK174*L174</f>
        <v>0</v>
      </c>
      <c r="AM174" s="409">
        <f t="shared" ref="AM174:AM176" si="249">IF(L174/400-(Y174+Z174)&lt;0,0,L174/400-(Y174+Z174))</f>
        <v>2.0649999999999999</v>
      </c>
      <c r="AN174" s="409">
        <f t="shared" ref="AN174:AN176" si="250">AC174*J174</f>
        <v>0</v>
      </c>
      <c r="AO174" s="409">
        <f t="shared" ref="AO174:AO176" si="251">AB174*L174</f>
        <v>826</v>
      </c>
      <c r="AP174" s="571">
        <v>1</v>
      </c>
      <c r="AQ174" s="567">
        <f t="shared" si="142"/>
        <v>826</v>
      </c>
      <c r="AR174" s="572"/>
      <c r="AS174" s="552">
        <v>81</v>
      </c>
      <c r="AT174" s="515">
        <v>81</v>
      </c>
      <c r="AU174" s="515">
        <v>0</v>
      </c>
      <c r="AV174" s="515" t="s">
        <v>299</v>
      </c>
      <c r="AW174" s="412">
        <f t="shared" ref="AW174:AW176" si="252">IF((((AT174+AU174)*20)/L174)&gt;1,1,(((AT174+AU174)*20)/L174))</f>
        <v>1</v>
      </c>
      <c r="AX174" s="409">
        <f t="shared" ref="AX174:AX176" si="253">AW174*L174</f>
        <v>826</v>
      </c>
      <c r="AY174" s="412">
        <f t="shared" ref="AY174:AY176" si="254">AW174-BA174</f>
        <v>1</v>
      </c>
      <c r="AZ174" s="409">
        <f t="shared" ref="AZ174:AZ176" si="255">AY174*L174</f>
        <v>826</v>
      </c>
      <c r="BA174" s="412">
        <f t="shared" ref="BA174:BA176" si="256">IF(((AU174*20)/L174)&gt;1,1,((AU174*20)/L174))</f>
        <v>0</v>
      </c>
      <c r="BB174" s="409">
        <f t="shared" ref="BB174:BB176" si="257">BA174*L174</f>
        <v>0</v>
      </c>
      <c r="BC174" s="550">
        <v>3</v>
      </c>
      <c r="BD174" s="571">
        <v>1</v>
      </c>
      <c r="BE174" s="413">
        <f t="shared" ref="BE174:BE176" si="258">BD174*L174</f>
        <v>826</v>
      </c>
      <c r="BF174" s="414">
        <f t="shared" ref="BF174:BF176" si="259">IF((L174/20-AU174+BC174)&lt;0,0,(L174/20-AU174+BC174))</f>
        <v>44.3</v>
      </c>
      <c r="BG174" s="515">
        <v>0</v>
      </c>
      <c r="BH174" s="550" t="s">
        <v>788</v>
      </c>
      <c r="BI174" s="412">
        <f t="shared" ref="BI174:BI176" si="260">IF((BG174*100/L174)&gt;1,1,(BG174*100/L174))</f>
        <v>0</v>
      </c>
      <c r="BJ174" s="409">
        <f t="shared" ref="BJ174:BJ176" si="261">BI174*L174</f>
        <v>0</v>
      </c>
      <c r="BK174" s="414">
        <f t="shared" ref="BK174:BK176" si="262">IF(K174/100-BG174&lt;0,0,K174/100-BG174)</f>
        <v>8.26</v>
      </c>
      <c r="BL174" s="566">
        <v>0</v>
      </c>
      <c r="BM174" s="409">
        <f>BL174*L174</f>
        <v>0</v>
      </c>
      <c r="BN174" s="515">
        <v>1</v>
      </c>
      <c r="BO174" s="412">
        <f t="shared" ref="BO174:BO176" si="263">IF((BN174*100/L174)&gt;1,1,(BN174*100/L174))</f>
        <v>0.12106537530266344</v>
      </c>
      <c r="BP174" s="414">
        <f t="shared" ref="BP174:BP176" si="264">IF(K174/100-BN174&lt;0,0,K174/100-BN174)</f>
        <v>7.26</v>
      </c>
      <c r="BQ174" s="557">
        <v>0.7</v>
      </c>
      <c r="BR174" s="589" t="s">
        <v>676</v>
      </c>
      <c r="BS174" s="594">
        <v>42125</v>
      </c>
      <c r="BT174" s="415">
        <f>IF(BS174="","To be realised",IF(BS174="n/a","n/a",IF(BS174+365&lt;$E$2,"To be realised",BS174+365)))</f>
        <v>42490</v>
      </c>
      <c r="BU174" s="515">
        <v>173</v>
      </c>
      <c r="BV174" s="515">
        <v>5</v>
      </c>
      <c r="BW174" s="419">
        <f t="shared" ref="BW174:BW176" si="265">IF(BT174="n/a",0,IF(BT174="To be realised",J174,IF((J174-BU174)&lt;0,0,(J174-BU174))))</f>
        <v>5</v>
      </c>
      <c r="BX174" s="420">
        <f t="shared" ref="BX174:BX176" si="266">IF(BW174=0,1,(J174-BW174)/J174)</f>
        <v>0.9719101123595506</v>
      </c>
      <c r="BY174" s="413">
        <f t="shared" ref="BY174:BY176" si="267">BX174*L174</f>
        <v>802.79775280898878</v>
      </c>
      <c r="BZ174" s="447">
        <f t="shared" ref="BZ174:BZ176" si="268">IF(BS174="","Column BN to be completed", IF(BS174="n/a",0,IF(($E$2-BS174-30)/30-BV174&lt;0,0,ROUND((($E$2-BS174-30)/30-BV174),0))))</f>
        <v>0</v>
      </c>
      <c r="CA174" s="542"/>
      <c r="CB174" s="561">
        <v>0</v>
      </c>
      <c r="CC174" s="451">
        <f>CB174*L174</f>
        <v>0</v>
      </c>
      <c r="CD174" s="552">
        <v>0</v>
      </c>
      <c r="CE174" s="418" t="str">
        <f>IF(CD174=0,"No coverage",IF(L174/CD174&gt;1000,"Low coverage",IF(L174/CD174&gt;750,"Average coverage",IF(L174/CD174&gt;500,"Good coverage","Excellent coverage"))))</f>
        <v>No coverage</v>
      </c>
      <c r="CF174" s="515">
        <v>0</v>
      </c>
      <c r="CG174" s="543" t="s">
        <v>65</v>
      </c>
      <c r="CH174" s="602"/>
    </row>
    <row r="175" spans="2:86" ht="30.75" customHeight="1" x14ac:dyDescent="0.2">
      <c r="B175" s="512" t="s">
        <v>232</v>
      </c>
      <c r="C175" s="513" t="s">
        <v>631</v>
      </c>
      <c r="D175" s="514" t="s">
        <v>276</v>
      </c>
      <c r="E175" s="513" t="s">
        <v>476</v>
      </c>
      <c r="F175" s="514">
        <v>97.406869999999998</v>
      </c>
      <c r="G175" s="514">
        <v>23.092880000000001</v>
      </c>
      <c r="H175" s="514" t="s">
        <v>467</v>
      </c>
      <c r="I175" s="514" t="s">
        <v>218</v>
      </c>
      <c r="J175" s="515">
        <v>10</v>
      </c>
      <c r="K175" s="515">
        <v>47</v>
      </c>
      <c r="L175" s="515">
        <v>47</v>
      </c>
      <c r="M175" s="405" t="str">
        <f>IF(J175&gt;50,IF(J175&gt;250,IF(J175&gt;500,IF(J175&gt;1000,"5. Massive","4. Big"),"3. Large"),"2. Medium"),"1. Small")</f>
        <v>1. Small</v>
      </c>
      <c r="N175" s="516" t="s">
        <v>239</v>
      </c>
      <c r="O175" s="530" t="s">
        <v>237</v>
      </c>
      <c r="P175" s="439" t="str">
        <f>IF(O175="None","Not covered","Covered")</f>
        <v>Covered</v>
      </c>
      <c r="Q175" s="531">
        <v>42460</v>
      </c>
      <c r="R175" s="532"/>
      <c r="S175" s="531"/>
      <c r="T175" s="516" t="s">
        <v>260</v>
      </c>
      <c r="U175" s="436" t="str">
        <f>IF(T175="Not documented","Not documented","Documented")</f>
        <v>Documented</v>
      </c>
      <c r="V175" s="542">
        <v>0</v>
      </c>
      <c r="W175" s="515">
        <v>0</v>
      </c>
      <c r="X175" s="543" t="s">
        <v>19</v>
      </c>
      <c r="Y175" s="552">
        <v>0</v>
      </c>
      <c r="Z175" s="515">
        <v>0</v>
      </c>
      <c r="AA175" s="543">
        <v>2000</v>
      </c>
      <c r="AB175" s="560">
        <v>1</v>
      </c>
      <c r="AC175" s="561">
        <v>0</v>
      </c>
      <c r="AD175" s="443">
        <f t="shared" si="240"/>
        <v>1</v>
      </c>
      <c r="AE175" s="407">
        <f t="shared" si="241"/>
        <v>47</v>
      </c>
      <c r="AF175" s="408">
        <f t="shared" si="242"/>
        <v>1</v>
      </c>
      <c r="AG175" s="409">
        <f t="shared" si="243"/>
        <v>47</v>
      </c>
      <c r="AH175" s="406">
        <f t="shared" si="244"/>
        <v>1</v>
      </c>
      <c r="AI175" s="409">
        <f t="shared" si="245"/>
        <v>47</v>
      </c>
      <c r="AJ175" s="410" t="str">
        <f t="shared" si="246"/>
        <v>80-100%</v>
      </c>
      <c r="AK175" s="406">
        <f t="shared" si="247"/>
        <v>0</v>
      </c>
      <c r="AL175" s="411">
        <f t="shared" si="248"/>
        <v>0</v>
      </c>
      <c r="AM175" s="409">
        <f t="shared" si="249"/>
        <v>0.11749999999999999</v>
      </c>
      <c r="AN175" s="409">
        <f t="shared" si="250"/>
        <v>0</v>
      </c>
      <c r="AO175" s="409">
        <f t="shared" si="251"/>
        <v>47</v>
      </c>
      <c r="AP175" s="571">
        <v>1</v>
      </c>
      <c r="AQ175" s="567">
        <f t="shared" si="142"/>
        <v>47</v>
      </c>
      <c r="AR175" s="543"/>
      <c r="AS175" s="552">
        <v>0</v>
      </c>
      <c r="AT175" s="515">
        <v>2</v>
      </c>
      <c r="AU175" s="515">
        <v>2</v>
      </c>
      <c r="AV175" s="515" t="s">
        <v>91</v>
      </c>
      <c r="AW175" s="412">
        <f t="shared" si="252"/>
        <v>1</v>
      </c>
      <c r="AX175" s="409">
        <f t="shared" si="253"/>
        <v>47</v>
      </c>
      <c r="AY175" s="412">
        <f t="shared" si="254"/>
        <v>0.14893617021276595</v>
      </c>
      <c r="AZ175" s="409">
        <f t="shared" si="255"/>
        <v>7</v>
      </c>
      <c r="BA175" s="412">
        <f t="shared" si="256"/>
        <v>0.85106382978723405</v>
      </c>
      <c r="BB175" s="409">
        <f t="shared" si="257"/>
        <v>40</v>
      </c>
      <c r="BC175" s="550">
        <v>2</v>
      </c>
      <c r="BD175" s="571">
        <v>1</v>
      </c>
      <c r="BE175" s="413">
        <f t="shared" si="258"/>
        <v>47</v>
      </c>
      <c r="BF175" s="414">
        <f t="shared" si="259"/>
        <v>2.35</v>
      </c>
      <c r="BG175" s="515">
        <v>2</v>
      </c>
      <c r="BH175" s="550" t="s">
        <v>91</v>
      </c>
      <c r="BI175" s="412">
        <f t="shared" si="260"/>
        <v>1</v>
      </c>
      <c r="BJ175" s="409">
        <f t="shared" si="261"/>
        <v>47</v>
      </c>
      <c r="BK175" s="414">
        <f t="shared" si="262"/>
        <v>0</v>
      </c>
      <c r="BL175" s="566">
        <v>1</v>
      </c>
      <c r="BM175" s="409">
        <f>BL175*L175</f>
        <v>47</v>
      </c>
      <c r="BN175" s="515">
        <v>2</v>
      </c>
      <c r="BO175" s="412">
        <f t="shared" si="263"/>
        <v>1</v>
      </c>
      <c r="BP175" s="414">
        <f t="shared" si="264"/>
        <v>0</v>
      </c>
      <c r="BQ175" s="557">
        <v>1</v>
      </c>
      <c r="BR175" s="589"/>
      <c r="BS175" s="594">
        <v>42125</v>
      </c>
      <c r="BT175" s="415">
        <f>IF(BS175="","To be realised",IF(BS175="n/a","n/a",IF(BS175+365&lt;$E$2,"To be realised",BS175+365)))</f>
        <v>42490</v>
      </c>
      <c r="BU175" s="515">
        <v>14</v>
      </c>
      <c r="BV175" s="515">
        <v>5</v>
      </c>
      <c r="BW175" s="419">
        <f t="shared" si="265"/>
        <v>0</v>
      </c>
      <c r="BX175" s="420">
        <f t="shared" si="266"/>
        <v>1</v>
      </c>
      <c r="BY175" s="413">
        <f t="shared" si="267"/>
        <v>47</v>
      </c>
      <c r="BZ175" s="447">
        <f t="shared" si="268"/>
        <v>0</v>
      </c>
      <c r="CA175" s="542"/>
      <c r="CB175" s="561">
        <v>0.5</v>
      </c>
      <c r="CC175" s="451">
        <f>CB175*L175</f>
        <v>23.5</v>
      </c>
      <c r="CD175" s="552">
        <v>2</v>
      </c>
      <c r="CE175" s="418" t="str">
        <f>IF(CD175=0,"No coverage",IF(L175/CD175&gt;1000,"Low coverage",IF(L175/CD175&gt;750,"Average coverage",IF(L175/CD175&gt;500,"Good coverage","Excellent coverage"))))</f>
        <v>Excellent coverage</v>
      </c>
      <c r="CF175" s="515">
        <v>0</v>
      </c>
      <c r="CG175" s="543" t="s">
        <v>65</v>
      </c>
      <c r="CH175" s="602"/>
    </row>
    <row r="176" spans="2:86" ht="30.75" customHeight="1" thickBot="1" x14ac:dyDescent="0.25">
      <c r="B176" s="512" t="s">
        <v>187</v>
      </c>
      <c r="C176" s="513"/>
      <c r="D176" s="514" t="s">
        <v>276</v>
      </c>
      <c r="E176" s="513" t="s">
        <v>655</v>
      </c>
      <c r="F176" s="514" t="s">
        <v>491</v>
      </c>
      <c r="G176" s="514" t="s">
        <v>491</v>
      </c>
      <c r="H176" s="514" t="s">
        <v>478</v>
      </c>
      <c r="I176" s="514" t="s">
        <v>226</v>
      </c>
      <c r="J176" s="515">
        <v>100</v>
      </c>
      <c r="K176" s="515">
        <v>446</v>
      </c>
      <c r="L176" s="515">
        <v>446</v>
      </c>
      <c r="M176" s="405" t="str">
        <f>IF(J176&gt;50,IF(J176&gt;250,IF(J176&gt;500,IF(J176&gt;1000,"5. Massive","4. Big"),"3. Large"),"2. Medium"),"1. Small")</f>
        <v>2. Medium</v>
      </c>
      <c r="N176" s="516" t="s">
        <v>235</v>
      </c>
      <c r="O176" s="530" t="s">
        <v>235</v>
      </c>
      <c r="P176" s="439" t="str">
        <f>IF(O176="None","Not covered","Covered")</f>
        <v>Covered</v>
      </c>
      <c r="Q176" s="531" t="s">
        <v>656</v>
      </c>
      <c r="R176" s="532"/>
      <c r="S176" s="531"/>
      <c r="T176" s="516" t="s">
        <v>260</v>
      </c>
      <c r="U176" s="437" t="str">
        <f>IF(T176="Not documented","Not documented","Documented")</f>
        <v>Documented</v>
      </c>
      <c r="V176" s="542">
        <v>0</v>
      </c>
      <c r="W176" s="515">
        <v>0</v>
      </c>
      <c r="X176" s="543" t="s">
        <v>19</v>
      </c>
      <c r="Y176" s="552">
        <v>0</v>
      </c>
      <c r="Z176" s="515">
        <v>0</v>
      </c>
      <c r="AA176" s="543">
        <v>0</v>
      </c>
      <c r="AB176" s="560">
        <v>0</v>
      </c>
      <c r="AC176" s="561">
        <v>0</v>
      </c>
      <c r="AD176" s="443">
        <f t="shared" si="240"/>
        <v>0</v>
      </c>
      <c r="AE176" s="407">
        <f t="shared" si="241"/>
        <v>0</v>
      </c>
      <c r="AF176" s="408">
        <f t="shared" si="242"/>
        <v>0</v>
      </c>
      <c r="AG176" s="409">
        <f t="shared" si="243"/>
        <v>0</v>
      </c>
      <c r="AH176" s="406">
        <f t="shared" si="244"/>
        <v>0</v>
      </c>
      <c r="AI176" s="409">
        <f t="shared" si="245"/>
        <v>0</v>
      </c>
      <c r="AJ176" s="410" t="str">
        <f t="shared" si="246"/>
        <v>0-10%</v>
      </c>
      <c r="AK176" s="406">
        <f t="shared" si="247"/>
        <v>0</v>
      </c>
      <c r="AL176" s="411">
        <f t="shared" si="248"/>
        <v>0</v>
      </c>
      <c r="AM176" s="409">
        <f t="shared" si="249"/>
        <v>1.115</v>
      </c>
      <c r="AN176" s="409">
        <f t="shared" si="250"/>
        <v>0</v>
      </c>
      <c r="AO176" s="409">
        <f t="shared" si="251"/>
        <v>0</v>
      </c>
      <c r="AP176" s="571">
        <v>0</v>
      </c>
      <c r="AQ176" s="567">
        <f t="shared" si="142"/>
        <v>0</v>
      </c>
      <c r="AR176" s="543"/>
      <c r="AS176" s="552">
        <v>0</v>
      </c>
      <c r="AT176" s="515">
        <v>0</v>
      </c>
      <c r="AU176" s="515">
        <v>0</v>
      </c>
      <c r="AV176" s="515" t="s">
        <v>91</v>
      </c>
      <c r="AW176" s="412">
        <f t="shared" si="252"/>
        <v>0</v>
      </c>
      <c r="AX176" s="409">
        <f t="shared" si="253"/>
        <v>0</v>
      </c>
      <c r="AY176" s="412">
        <f t="shared" si="254"/>
        <v>0</v>
      </c>
      <c r="AZ176" s="409">
        <f t="shared" si="255"/>
        <v>0</v>
      </c>
      <c r="BA176" s="412">
        <f t="shared" si="256"/>
        <v>0</v>
      </c>
      <c r="BB176" s="409">
        <f t="shared" si="257"/>
        <v>0</v>
      </c>
      <c r="BC176" s="550">
        <v>0</v>
      </c>
      <c r="BD176" s="571">
        <v>0</v>
      </c>
      <c r="BE176" s="413">
        <f t="shared" si="258"/>
        <v>0</v>
      </c>
      <c r="BF176" s="414">
        <f t="shared" si="259"/>
        <v>22.3</v>
      </c>
      <c r="BG176" s="515">
        <v>0</v>
      </c>
      <c r="BH176" s="550" t="s">
        <v>91</v>
      </c>
      <c r="BI176" s="412">
        <f t="shared" si="260"/>
        <v>0</v>
      </c>
      <c r="BJ176" s="409">
        <f t="shared" si="261"/>
        <v>0</v>
      </c>
      <c r="BK176" s="414">
        <f t="shared" si="262"/>
        <v>4.46</v>
      </c>
      <c r="BL176" s="566">
        <v>0</v>
      </c>
      <c r="BM176" s="409">
        <f>BL176*L176</f>
        <v>0</v>
      </c>
      <c r="BN176" s="515">
        <v>0</v>
      </c>
      <c r="BO176" s="412">
        <f t="shared" si="263"/>
        <v>0</v>
      </c>
      <c r="BP176" s="414">
        <f t="shared" si="264"/>
        <v>4.46</v>
      </c>
      <c r="BQ176" s="559">
        <v>0</v>
      </c>
      <c r="BR176" s="590"/>
      <c r="BS176" s="594"/>
      <c r="BT176" s="415" t="str">
        <f>IF(BS176="","To be realised",IF(BS176="n/a","n/a",IF(BS176+365&lt;$E$2,"To be realised",BS176+365)))</f>
        <v>To be realised</v>
      </c>
      <c r="BU176" s="515">
        <v>0</v>
      </c>
      <c r="BV176" s="515">
        <v>0</v>
      </c>
      <c r="BW176" s="419">
        <f t="shared" si="265"/>
        <v>100</v>
      </c>
      <c r="BX176" s="420">
        <f t="shared" si="266"/>
        <v>0</v>
      </c>
      <c r="BY176" s="413">
        <f t="shared" si="267"/>
        <v>0</v>
      </c>
      <c r="BZ176" s="447" t="str">
        <f t="shared" si="268"/>
        <v>Column BN to be completed</v>
      </c>
      <c r="CA176" s="542" t="s">
        <v>677</v>
      </c>
      <c r="CB176" s="561">
        <v>0</v>
      </c>
      <c r="CC176" s="452">
        <f>CB176*L176</f>
        <v>0</v>
      </c>
      <c r="CD176" s="552">
        <v>0</v>
      </c>
      <c r="CE176" s="418" t="str">
        <f>IF(CD176=0,"No coverage",IF(L176/CD176&gt;1000,"Low coverage",IF(L176/CD176&gt;750,"Average coverage",IF(L176/CD176&gt;500,"Good coverage","Excellent coverage"))))</f>
        <v>No coverage</v>
      </c>
      <c r="CF176" s="515">
        <v>0</v>
      </c>
      <c r="CG176" s="543" t="s">
        <v>66</v>
      </c>
      <c r="CH176" s="602"/>
    </row>
    <row r="177" spans="2:86" ht="30.75" customHeight="1" x14ac:dyDescent="0.25">
      <c r="B177" s="512" t="s">
        <v>808</v>
      </c>
      <c r="C177" s="513"/>
      <c r="D177" s="514" t="s">
        <v>275</v>
      </c>
      <c r="E177" s="513" t="s">
        <v>812</v>
      </c>
      <c r="F177" s="514" t="s">
        <v>491</v>
      </c>
      <c r="G177" s="514" t="s">
        <v>491</v>
      </c>
      <c r="H177" s="514" t="s">
        <v>467</v>
      </c>
      <c r="I177" s="514" t="s">
        <v>218</v>
      </c>
      <c r="J177" s="518">
        <v>76</v>
      </c>
      <c r="K177" s="518">
        <v>222</v>
      </c>
      <c r="L177" s="518">
        <v>222</v>
      </c>
      <c r="M177" s="405" t="str">
        <f t="shared" ref="M177" si="269">IF(J177&gt;50,IF(J177&gt;250,IF(J177&gt;500,IF(J177&gt;1000,"5. Massive","4. Big"),"3. Large"),"2. Medium"),"1. Small")</f>
        <v>2. Medium</v>
      </c>
      <c r="N177" s="519" t="s">
        <v>239</v>
      </c>
      <c r="O177" s="533" t="s">
        <v>237</v>
      </c>
      <c r="P177" s="439" t="s">
        <v>685</v>
      </c>
      <c r="Q177" s="531">
        <v>42460</v>
      </c>
      <c r="R177" s="514"/>
      <c r="S177" s="535"/>
      <c r="T177" s="516" t="s">
        <v>260</v>
      </c>
      <c r="U177" s="436" t="str">
        <f t="shared" ref="U177" si="270">IF(T177="Not documented","Not documented","Documented")</f>
        <v>Documented</v>
      </c>
      <c r="V177" s="544">
        <v>0</v>
      </c>
      <c r="W177" s="518">
        <v>0</v>
      </c>
      <c r="X177" s="545" t="s">
        <v>19</v>
      </c>
      <c r="Y177" s="544">
        <v>0</v>
      </c>
      <c r="Z177" s="518">
        <v>0</v>
      </c>
      <c r="AA177" s="545">
        <v>0</v>
      </c>
      <c r="AB177" s="558">
        <v>0</v>
      </c>
      <c r="AC177" s="559">
        <v>0</v>
      </c>
      <c r="AD177" s="443">
        <f t="shared" ref="AD177" si="271">IF((((V177/15)+((W177/30)/15)+Y177*400+Z177*500+(AA177/15))/L177)&gt;1,1,(((V177/15)+((W177/30)/15)+Y177*400+Z177*500+(AA177/15))/L177))</f>
        <v>0</v>
      </c>
      <c r="AE177" s="407">
        <f t="shared" ref="AE177" si="272">AD177*L177</f>
        <v>0</v>
      </c>
      <c r="AF177" s="408">
        <f t="shared" ref="AF177" si="273">IF(((Y177*400+Z177*500+(AA177/15))/L177)&gt;1,1,(Y177*400+Z177*500+(AA177/15))/L177)</f>
        <v>0</v>
      </c>
      <c r="AG177" s="409">
        <f t="shared" ref="AG177" si="274">AF177*L177</f>
        <v>0</v>
      </c>
      <c r="AH177" s="406">
        <f t="shared" ref="AH177" si="275">IF(AC177=0,AD177,IF(AC177&lt;AD177,AD177,AC177))</f>
        <v>0</v>
      </c>
      <c r="AI177" s="409">
        <f t="shared" ref="AI177" si="276">AH177*L177</f>
        <v>0</v>
      </c>
      <c r="AJ177" s="410" t="str">
        <f t="shared" ref="AJ177" si="277">IF(AD177&gt;0.15,IF(AD177&gt;0.3,IF(AD177&gt;0.45,IF(AD177&gt;0.6,IF(AD177&gt;0.8,"80-100%","60-80%"),"45-60%"),"30-45%"),"15-30%"),"0-10%")</f>
        <v>0-10%</v>
      </c>
      <c r="AK177" s="406">
        <f t="shared" ref="AK177" si="278">IF((AD177-AF177)&lt; 0, 0, AD177-AF177)</f>
        <v>0</v>
      </c>
      <c r="AL177" s="411">
        <f t="shared" ref="AL177" si="279">AK177*L177</f>
        <v>0</v>
      </c>
      <c r="AM177" s="409">
        <f t="shared" ref="AM177" si="280">IF(L177/400-(Y177+Z177)&lt;0,0,L177/400-(Y177+Z177))</f>
        <v>0.55500000000000005</v>
      </c>
      <c r="AN177" s="409">
        <f t="shared" ref="AN177" si="281">AC177*J177</f>
        <v>0</v>
      </c>
      <c r="AO177" s="409">
        <f t="shared" ref="AO177" si="282">AB177*L177</f>
        <v>0</v>
      </c>
      <c r="AP177" s="569">
        <v>0</v>
      </c>
      <c r="AQ177" s="567">
        <f t="shared" si="142"/>
        <v>0</v>
      </c>
      <c r="AR177" s="543" t="s">
        <v>851</v>
      </c>
      <c r="AS177" s="544">
        <v>0</v>
      </c>
      <c r="AT177" s="518">
        <v>0</v>
      </c>
      <c r="AU177" s="518">
        <v>4</v>
      </c>
      <c r="AV177" s="518" t="s">
        <v>298</v>
      </c>
      <c r="AW177" s="412">
        <f t="shared" ref="AW177" si="283">IF((((AT177+AU177)*20)/L177)&gt;1,1,(((AT177+AU177)*20)/L177))</f>
        <v>0.36036036036036034</v>
      </c>
      <c r="AX177" s="409">
        <f t="shared" ref="AX177" si="284">AW177*L177</f>
        <v>80</v>
      </c>
      <c r="AY177" s="412">
        <f t="shared" ref="AY177" si="285">AW177-BA177</f>
        <v>0</v>
      </c>
      <c r="AZ177" s="409">
        <f t="shared" ref="AZ177" si="286">AY177*L177</f>
        <v>0</v>
      </c>
      <c r="BA177" s="412">
        <f t="shared" ref="BA177" si="287">IF(((AU177*20)/L177)&gt;1,1,((AU177*20)/L177))</f>
        <v>0.36036036036036034</v>
      </c>
      <c r="BB177" s="409">
        <f t="shared" ref="BB177" si="288">BA177*L177</f>
        <v>80</v>
      </c>
      <c r="BC177" s="582">
        <v>0</v>
      </c>
      <c r="BD177" s="569">
        <v>0.36</v>
      </c>
      <c r="BE177" s="413">
        <f t="shared" ref="BE177" si="289">BD177*L177</f>
        <v>79.92</v>
      </c>
      <c r="BF177" s="414">
        <f t="shared" ref="BF177" si="290">IF((L177/20-AU177+BC177)&lt;0,0,(L177/20-AU177+BC177))</f>
        <v>7.1</v>
      </c>
      <c r="BG177" s="583">
        <v>0</v>
      </c>
      <c r="BH177" s="582"/>
      <c r="BI177" s="412">
        <f t="shared" ref="BI177" si="291">IF((BG177*100/L177)&gt;1,1,(BG177*100/L177))</f>
        <v>0</v>
      </c>
      <c r="BJ177" s="409">
        <f t="shared" ref="BJ177" si="292">BI177*L177</f>
        <v>0</v>
      </c>
      <c r="BK177" s="414">
        <f t="shared" ref="BK177" si="293">IF(K177/100-BG177&lt;0,0,K177/100-BG177)</f>
        <v>2.2200000000000002</v>
      </c>
      <c r="BL177" s="584">
        <v>0</v>
      </c>
      <c r="BM177" s="409"/>
      <c r="BN177" s="583">
        <v>0</v>
      </c>
      <c r="BO177" s="412">
        <f t="shared" ref="BO177" si="294">IF((BN177*100/L177)&gt;1,1,(BN177*100/L177))</f>
        <v>0</v>
      </c>
      <c r="BP177" s="414">
        <f t="shared" ref="BP177" si="295">IF(K177/100-BN177&lt;0,0,K177/100-BN177)</f>
        <v>2.2200000000000002</v>
      </c>
      <c r="BQ177" s="581">
        <v>1</v>
      </c>
      <c r="BR177" s="590"/>
      <c r="BS177" s="594">
        <v>42125</v>
      </c>
      <c r="BT177" s="415">
        <f t="shared" ref="BT177" si="296">IF(BS177="","To be realised",IF(BS177="n/a","n/a",IF(BS177+365&lt;$E$2,"To be realised",BS177+365)))</f>
        <v>42490</v>
      </c>
      <c r="BU177" s="579">
        <v>46</v>
      </c>
      <c r="BV177" s="579">
        <v>4</v>
      </c>
      <c r="BW177" s="419">
        <f t="shared" ref="BW177" si="297">IF(BT177="n/a",0,IF(BT177="To be realised",J177,IF((J177-BU177)&lt;0,0,(J177-BU177))))</f>
        <v>30</v>
      </c>
      <c r="BX177" s="420">
        <f t="shared" ref="BX177" si="298">IF(BW177=0,1,(J177-BW177)/J177)</f>
        <v>0.60526315789473684</v>
      </c>
      <c r="BY177" s="413">
        <f t="shared" ref="BY177" si="299">BX177*L177</f>
        <v>134.36842105263159</v>
      </c>
      <c r="BZ177" s="447">
        <f t="shared" ref="BZ177" si="300">IF(BS177="","Column BN to be completed", IF(BS177="n/a",0,IF(($E$2-BS177-30)/30-BV177&lt;0,0,ROUND((($E$2-BS177-30)/30-BV177),0))))</f>
        <v>0</v>
      </c>
      <c r="CA177" s="597"/>
      <c r="CB177" s="559">
        <v>0</v>
      </c>
      <c r="CC177" s="451"/>
      <c r="CD177" s="598">
        <v>0</v>
      </c>
      <c r="CE177" s="418" t="str">
        <f t="shared" ref="CE177" si="301">IF(CD177=0,"No coverage",IF(L177/CD177&gt;1000,"Low coverage",IF(L177/CD177&gt;750,"Average coverage",IF(L177/CD177&gt;500,"Good coverage","Excellent coverage"))))</f>
        <v>No coverage</v>
      </c>
      <c r="CF177" s="515"/>
      <c r="CG177" s="607" t="s">
        <v>66</v>
      </c>
      <c r="CH177" s="604"/>
    </row>
    <row r="178" spans="2:86" s="40" customFormat="1" ht="30.75" customHeight="1" x14ac:dyDescent="0.2">
      <c r="B178" s="512" t="s">
        <v>187</v>
      </c>
      <c r="C178" s="513" t="s">
        <v>669</v>
      </c>
      <c r="D178" s="514" t="s">
        <v>276</v>
      </c>
      <c r="E178" s="513" t="s">
        <v>653</v>
      </c>
      <c r="F178" s="514">
        <v>97.127340000000004</v>
      </c>
      <c r="G178" s="514">
        <v>23.24954</v>
      </c>
      <c r="H178" s="514" t="s">
        <v>467</v>
      </c>
      <c r="I178" s="514" t="s">
        <v>218</v>
      </c>
      <c r="J178" s="515">
        <v>38</v>
      </c>
      <c r="K178" s="515">
        <v>164</v>
      </c>
      <c r="L178" s="515">
        <v>164</v>
      </c>
      <c r="M178" s="405" t="str">
        <f t="shared" si="161"/>
        <v>1. Small</v>
      </c>
      <c r="N178" s="516" t="s">
        <v>239</v>
      </c>
      <c r="O178" s="530" t="s">
        <v>237</v>
      </c>
      <c r="P178" s="439" t="str">
        <f t="shared" si="126"/>
        <v>Covered</v>
      </c>
      <c r="Q178" s="531">
        <v>42460</v>
      </c>
      <c r="R178" s="532"/>
      <c r="S178" s="531"/>
      <c r="T178" s="516" t="s">
        <v>260</v>
      </c>
      <c r="U178" s="436" t="str">
        <f t="shared" si="127"/>
        <v>Documented</v>
      </c>
      <c r="V178" s="542">
        <v>0</v>
      </c>
      <c r="W178" s="515">
        <v>0</v>
      </c>
      <c r="X178" s="543" t="s">
        <v>19</v>
      </c>
      <c r="Y178" s="552">
        <v>0</v>
      </c>
      <c r="Z178" s="515">
        <v>0</v>
      </c>
      <c r="AA178" s="543">
        <v>7000</v>
      </c>
      <c r="AB178" s="560">
        <v>1</v>
      </c>
      <c r="AC178" s="561">
        <v>0</v>
      </c>
      <c r="AD178" s="443">
        <f t="shared" si="110"/>
        <v>1</v>
      </c>
      <c r="AE178" s="407">
        <f t="shared" si="128"/>
        <v>164</v>
      </c>
      <c r="AF178" s="408">
        <f t="shared" si="162"/>
        <v>1</v>
      </c>
      <c r="AG178" s="409">
        <f t="shared" si="129"/>
        <v>164</v>
      </c>
      <c r="AH178" s="406">
        <f t="shared" si="163"/>
        <v>1</v>
      </c>
      <c r="AI178" s="409">
        <f t="shared" si="130"/>
        <v>164</v>
      </c>
      <c r="AJ178" s="410" t="str">
        <f t="shared" si="164"/>
        <v>80-100%</v>
      </c>
      <c r="AK178" s="406">
        <f t="shared" si="165"/>
        <v>0</v>
      </c>
      <c r="AL178" s="411">
        <f t="shared" si="166"/>
        <v>0</v>
      </c>
      <c r="AM178" s="409">
        <f t="shared" si="167"/>
        <v>0.41</v>
      </c>
      <c r="AN178" s="409">
        <f t="shared" si="168"/>
        <v>0</v>
      </c>
      <c r="AO178" s="409">
        <f t="shared" si="131"/>
        <v>164</v>
      </c>
      <c r="AP178" s="571">
        <v>1</v>
      </c>
      <c r="AQ178" s="567">
        <f t="shared" si="142"/>
        <v>164</v>
      </c>
      <c r="AR178" s="543"/>
      <c r="AS178" s="552">
        <v>2</v>
      </c>
      <c r="AT178" s="515">
        <v>18</v>
      </c>
      <c r="AU178" s="515">
        <v>0</v>
      </c>
      <c r="AV178" s="515" t="s">
        <v>299</v>
      </c>
      <c r="AW178" s="412">
        <f t="shared" si="146"/>
        <v>1</v>
      </c>
      <c r="AX178" s="409">
        <f t="shared" si="147"/>
        <v>164</v>
      </c>
      <c r="AY178" s="412">
        <f t="shared" si="148"/>
        <v>1</v>
      </c>
      <c r="AZ178" s="409">
        <f t="shared" si="149"/>
        <v>164</v>
      </c>
      <c r="BA178" s="412">
        <f t="shared" si="150"/>
        <v>0</v>
      </c>
      <c r="BB178" s="409">
        <f t="shared" si="151"/>
        <v>0</v>
      </c>
      <c r="BC178" s="550">
        <v>2</v>
      </c>
      <c r="BD178" s="571">
        <v>1</v>
      </c>
      <c r="BE178" s="413">
        <f t="shared" si="169"/>
        <v>164</v>
      </c>
      <c r="BF178" s="414">
        <f t="shared" si="135"/>
        <v>10.199999999999999</v>
      </c>
      <c r="BG178" s="515">
        <v>0</v>
      </c>
      <c r="BH178" s="550" t="s">
        <v>788</v>
      </c>
      <c r="BI178" s="412">
        <f t="shared" si="152"/>
        <v>0</v>
      </c>
      <c r="BJ178" s="409">
        <f t="shared" si="153"/>
        <v>0</v>
      </c>
      <c r="BK178" s="414">
        <f t="shared" si="154"/>
        <v>1.64</v>
      </c>
      <c r="BL178" s="566">
        <v>0</v>
      </c>
      <c r="BM178" s="409">
        <f t="shared" si="155"/>
        <v>0</v>
      </c>
      <c r="BN178" s="515">
        <v>1</v>
      </c>
      <c r="BO178" s="412">
        <f t="shared" si="156"/>
        <v>0.6097560975609756</v>
      </c>
      <c r="BP178" s="414">
        <f t="shared" si="157"/>
        <v>0.6399999999999999</v>
      </c>
      <c r="BQ178" s="557">
        <v>0.8</v>
      </c>
      <c r="BR178" s="589" t="s">
        <v>676</v>
      </c>
      <c r="BS178" s="594">
        <v>42125</v>
      </c>
      <c r="BT178" s="415">
        <f t="shared" si="143"/>
        <v>42490</v>
      </c>
      <c r="BU178" s="515">
        <v>39</v>
      </c>
      <c r="BV178" s="515">
        <v>5</v>
      </c>
      <c r="BW178" s="419">
        <f t="shared" si="158"/>
        <v>0</v>
      </c>
      <c r="BX178" s="420">
        <f t="shared" si="159"/>
        <v>1</v>
      </c>
      <c r="BY178" s="413">
        <f t="shared" si="160"/>
        <v>164</v>
      </c>
      <c r="BZ178" s="447">
        <f t="shared" si="145"/>
        <v>0</v>
      </c>
      <c r="CA178" s="542"/>
      <c r="CB178" s="561">
        <v>0</v>
      </c>
      <c r="CC178" s="451">
        <f t="shared" si="140"/>
        <v>0</v>
      </c>
      <c r="CD178" s="552">
        <v>0</v>
      </c>
      <c r="CE178" s="418" t="str">
        <f t="shared" si="141"/>
        <v>No coverage</v>
      </c>
      <c r="CF178" s="515">
        <v>0</v>
      </c>
      <c r="CG178" s="543" t="s">
        <v>65</v>
      </c>
      <c r="CH178" s="602"/>
    </row>
    <row r="179" spans="2:86" s="40" customFormat="1" ht="30.75" customHeight="1" thickBot="1" x14ac:dyDescent="0.25">
      <c r="B179" s="512" t="s">
        <v>187</v>
      </c>
      <c r="C179" s="513" t="s">
        <v>745</v>
      </c>
      <c r="D179" s="514" t="s">
        <v>276</v>
      </c>
      <c r="E179" s="513" t="s">
        <v>654</v>
      </c>
      <c r="F179" s="514">
        <v>97.123440000000002</v>
      </c>
      <c r="G179" s="514">
        <v>23.24568</v>
      </c>
      <c r="H179" s="514" t="s">
        <v>467</v>
      </c>
      <c r="I179" s="514" t="s">
        <v>218</v>
      </c>
      <c r="J179" s="515">
        <v>31</v>
      </c>
      <c r="K179" s="515">
        <v>182</v>
      </c>
      <c r="L179" s="515">
        <v>182</v>
      </c>
      <c r="M179" s="405" t="str">
        <f t="shared" si="161"/>
        <v>1. Small</v>
      </c>
      <c r="N179" s="516" t="s">
        <v>235</v>
      </c>
      <c r="O179" s="530" t="s">
        <v>235</v>
      </c>
      <c r="P179" s="439" t="str">
        <f t="shared" si="126"/>
        <v>Covered</v>
      </c>
      <c r="Q179" s="531">
        <v>42369</v>
      </c>
      <c r="R179" s="532"/>
      <c r="S179" s="531"/>
      <c r="T179" s="516" t="s">
        <v>260</v>
      </c>
      <c r="U179" s="437" t="str">
        <f t="shared" si="127"/>
        <v>Documented</v>
      </c>
      <c r="V179" s="542">
        <v>0</v>
      </c>
      <c r="W179" s="515">
        <v>0</v>
      </c>
      <c r="X179" s="543" t="s">
        <v>19</v>
      </c>
      <c r="Y179" s="552">
        <v>0</v>
      </c>
      <c r="Z179" s="515">
        <v>0</v>
      </c>
      <c r="AA179" s="543">
        <v>28800</v>
      </c>
      <c r="AB179" s="560">
        <v>0.8</v>
      </c>
      <c r="AC179" s="561">
        <v>0</v>
      </c>
      <c r="AD179" s="443">
        <f t="shared" si="110"/>
        <v>1</v>
      </c>
      <c r="AE179" s="407">
        <f t="shared" si="128"/>
        <v>182</v>
      </c>
      <c r="AF179" s="408">
        <f t="shared" si="162"/>
        <v>1</v>
      </c>
      <c r="AG179" s="409">
        <f t="shared" si="129"/>
        <v>182</v>
      </c>
      <c r="AH179" s="406">
        <f t="shared" si="163"/>
        <v>1</v>
      </c>
      <c r="AI179" s="409">
        <f t="shared" si="130"/>
        <v>182</v>
      </c>
      <c r="AJ179" s="410" t="str">
        <f t="shared" si="164"/>
        <v>80-100%</v>
      </c>
      <c r="AK179" s="406">
        <f t="shared" si="165"/>
        <v>0</v>
      </c>
      <c r="AL179" s="411">
        <f t="shared" si="166"/>
        <v>0</v>
      </c>
      <c r="AM179" s="409">
        <f t="shared" si="167"/>
        <v>0.45500000000000002</v>
      </c>
      <c r="AN179" s="409">
        <f t="shared" si="168"/>
        <v>0</v>
      </c>
      <c r="AO179" s="409">
        <f t="shared" si="131"/>
        <v>145.6</v>
      </c>
      <c r="AP179" s="571">
        <v>1</v>
      </c>
      <c r="AQ179" s="567">
        <f t="shared" si="142"/>
        <v>182</v>
      </c>
      <c r="AR179" s="543" t="s">
        <v>848</v>
      </c>
      <c r="AS179" s="552">
        <v>16</v>
      </c>
      <c r="AT179" s="515">
        <v>6</v>
      </c>
      <c r="AU179" s="515">
        <v>6</v>
      </c>
      <c r="AV179" s="515" t="s">
        <v>299</v>
      </c>
      <c r="AW179" s="412">
        <f t="shared" si="146"/>
        <v>1</v>
      </c>
      <c r="AX179" s="409">
        <f t="shared" si="147"/>
        <v>182</v>
      </c>
      <c r="AY179" s="412">
        <f t="shared" si="148"/>
        <v>0.34065934065934067</v>
      </c>
      <c r="AZ179" s="409">
        <f t="shared" si="149"/>
        <v>62</v>
      </c>
      <c r="BA179" s="412">
        <f t="shared" si="150"/>
        <v>0.65934065934065933</v>
      </c>
      <c r="BB179" s="409">
        <f t="shared" si="151"/>
        <v>120</v>
      </c>
      <c r="BC179" s="550">
        <v>2</v>
      </c>
      <c r="BD179" s="571">
        <v>1</v>
      </c>
      <c r="BE179" s="413">
        <f t="shared" si="169"/>
        <v>182</v>
      </c>
      <c r="BF179" s="414">
        <f t="shared" si="135"/>
        <v>5.0999999999999996</v>
      </c>
      <c r="BG179" s="515">
        <v>2</v>
      </c>
      <c r="BH179" s="550" t="s">
        <v>299</v>
      </c>
      <c r="BI179" s="412">
        <f t="shared" si="152"/>
        <v>1</v>
      </c>
      <c r="BJ179" s="409">
        <f t="shared" si="153"/>
        <v>182</v>
      </c>
      <c r="BK179" s="414">
        <f t="shared" si="154"/>
        <v>0</v>
      </c>
      <c r="BL179" s="566">
        <v>1</v>
      </c>
      <c r="BM179" s="409">
        <f t="shared" si="155"/>
        <v>182</v>
      </c>
      <c r="BN179" s="515">
        <v>0</v>
      </c>
      <c r="BO179" s="412">
        <f t="shared" si="156"/>
        <v>0</v>
      </c>
      <c r="BP179" s="414">
        <f t="shared" si="157"/>
        <v>1.82</v>
      </c>
      <c r="BQ179" s="557">
        <v>0</v>
      </c>
      <c r="BR179" s="589"/>
      <c r="BS179" s="594">
        <v>41183</v>
      </c>
      <c r="BT179" s="415" t="str">
        <f t="shared" si="143"/>
        <v>To be realised</v>
      </c>
      <c r="BU179" s="515">
        <v>30</v>
      </c>
      <c r="BV179" s="515">
        <v>3</v>
      </c>
      <c r="BW179" s="419">
        <f t="shared" si="158"/>
        <v>31</v>
      </c>
      <c r="BX179" s="420">
        <f t="shared" si="159"/>
        <v>0</v>
      </c>
      <c r="BY179" s="413">
        <f t="shared" si="160"/>
        <v>0</v>
      </c>
      <c r="BZ179" s="447">
        <f t="shared" si="145"/>
        <v>28</v>
      </c>
      <c r="CA179" s="542" t="s">
        <v>807</v>
      </c>
      <c r="CB179" s="561">
        <v>0</v>
      </c>
      <c r="CC179" s="452">
        <f t="shared" si="140"/>
        <v>0</v>
      </c>
      <c r="CD179" s="552">
        <v>2</v>
      </c>
      <c r="CE179" s="418" t="str">
        <f t="shared" si="141"/>
        <v>Excellent coverage</v>
      </c>
      <c r="CF179" s="515">
        <v>0</v>
      </c>
      <c r="CG179" s="543" t="s">
        <v>301</v>
      </c>
      <c r="CH179" s="602"/>
    </row>
    <row r="180" spans="2:86" ht="30.75" customHeight="1" thickBot="1" x14ac:dyDescent="0.25">
      <c r="B180" s="522" t="s">
        <v>205</v>
      </c>
      <c r="C180" s="523"/>
      <c r="D180" s="524" t="s">
        <v>276</v>
      </c>
      <c r="E180" s="523" t="s">
        <v>839</v>
      </c>
      <c r="F180" s="524">
        <v>97.875889999999998</v>
      </c>
      <c r="G180" s="524">
        <v>23.44744</v>
      </c>
      <c r="H180" s="524" t="s">
        <v>467</v>
      </c>
      <c r="I180" s="524" t="s">
        <v>218</v>
      </c>
      <c r="J180" s="525">
        <v>104</v>
      </c>
      <c r="K180" s="525">
        <v>580</v>
      </c>
      <c r="L180" s="525">
        <v>580</v>
      </c>
      <c r="M180" s="421" t="str">
        <f t="shared" si="161"/>
        <v>2. Medium</v>
      </c>
      <c r="N180" s="526"/>
      <c r="O180" s="537" t="s">
        <v>237</v>
      </c>
      <c r="P180" s="441" t="str">
        <f t="shared" si="126"/>
        <v>Covered</v>
      </c>
      <c r="Q180" s="538">
        <v>42460</v>
      </c>
      <c r="R180" s="539"/>
      <c r="S180" s="538"/>
      <c r="T180" s="526" t="s">
        <v>260</v>
      </c>
      <c r="U180" s="437" t="str">
        <f t="shared" si="127"/>
        <v>Documented</v>
      </c>
      <c r="V180" s="546">
        <v>0</v>
      </c>
      <c r="W180" s="525">
        <v>0</v>
      </c>
      <c r="X180" s="547" t="s">
        <v>19</v>
      </c>
      <c r="Y180" s="553">
        <v>0</v>
      </c>
      <c r="Z180" s="525">
        <v>0</v>
      </c>
      <c r="AA180" s="547">
        <v>0</v>
      </c>
      <c r="AB180" s="562">
        <v>0</v>
      </c>
      <c r="AC180" s="563">
        <v>0</v>
      </c>
      <c r="AD180" s="444">
        <f t="shared" ref="AD180" si="302">IF((((V180/15)+((W180/30)/15)+Y180*400+Z180*500+(AA180/15))/L180)&gt;1,1,(((V180/15)+((W180/30)/15)+Y180*400+Z180*500+(AA180/15))/L180))</f>
        <v>0</v>
      </c>
      <c r="AE180" s="423">
        <f t="shared" ref="AE180" si="303">AD180*L180</f>
        <v>0</v>
      </c>
      <c r="AF180" s="424">
        <f t="shared" ref="AF180" si="304">IF(((Y180*400+Z180*500+(AA180/15))/L180)&gt;1,1,(Y180*400+Z180*500+(AA180/15))/L180)</f>
        <v>0</v>
      </c>
      <c r="AG180" s="425">
        <f t="shared" ref="AG180" si="305">AF180*L180</f>
        <v>0</v>
      </c>
      <c r="AH180" s="422">
        <f t="shared" ref="AH180" si="306">IF(AC180=0,AD180,IF(AC180&lt;AD180,AD180,AC180))</f>
        <v>0</v>
      </c>
      <c r="AI180" s="425">
        <f t="shared" ref="AI180" si="307">AH180*L180</f>
        <v>0</v>
      </c>
      <c r="AJ180" s="426" t="str">
        <f t="shared" ref="AJ180" si="308">IF(AD180&gt;0.15,IF(AD180&gt;0.3,IF(AD180&gt;0.45,IF(AD180&gt;0.6,IF(AD180&gt;0.8,"80-100%","60-80%"),"45-60%"),"30-45%"),"15-30%"),"0-10%")</f>
        <v>0-10%</v>
      </c>
      <c r="AK180" s="422">
        <f t="shared" ref="AK180" si="309">IF((AD180-AF180)&lt; 0, 0, AD180-AF180)</f>
        <v>0</v>
      </c>
      <c r="AL180" s="573"/>
      <c r="AM180" s="573"/>
      <c r="AN180" s="573"/>
      <c r="AO180" s="573"/>
      <c r="AP180" s="574">
        <v>1</v>
      </c>
      <c r="AQ180" s="575">
        <f t="shared" si="142"/>
        <v>580</v>
      </c>
      <c r="AR180" s="576" t="s">
        <v>852</v>
      </c>
      <c r="AS180" s="553">
        <v>12</v>
      </c>
      <c r="AT180" s="525">
        <v>12</v>
      </c>
      <c r="AU180" s="525">
        <v>0</v>
      </c>
      <c r="AV180" s="525" t="s">
        <v>299</v>
      </c>
      <c r="AW180" s="427">
        <f t="shared" ref="AW180" si="310">IF((((AT180+AU180)*20)/L180)&gt;1,1,(((AT180+AU180)*20)/L180))</f>
        <v>0.41379310344827586</v>
      </c>
      <c r="AX180" s="425">
        <f t="shared" ref="AX180" si="311">AW180*L180</f>
        <v>240</v>
      </c>
      <c r="AY180" s="427">
        <f t="shared" ref="AY180" si="312">AW180-BA180</f>
        <v>0.41379310344827586</v>
      </c>
      <c r="AZ180" s="425">
        <f t="shared" ref="AZ180" si="313">AY180*L180</f>
        <v>240</v>
      </c>
      <c r="BA180" s="427">
        <f t="shared" ref="BA180" si="314">IF(((AU180*20)/L180)&gt;1,1,((AU180*20)/L180))</f>
        <v>0</v>
      </c>
      <c r="BB180" s="425">
        <f t="shared" si="151"/>
        <v>0</v>
      </c>
      <c r="BC180" s="585">
        <v>0</v>
      </c>
      <c r="BD180" s="574">
        <v>1</v>
      </c>
      <c r="BE180" s="428">
        <f t="shared" ref="BE180" si="315">BD180*L180</f>
        <v>580</v>
      </c>
      <c r="BF180" s="429">
        <f t="shared" ref="BF180" si="316">IF((L180/20-AU180+BC180)&lt;0,0,(L180/20-AU180+BC180))</f>
        <v>29</v>
      </c>
      <c r="BG180" s="525">
        <v>0</v>
      </c>
      <c r="BH180" s="585" t="s">
        <v>299</v>
      </c>
      <c r="BI180" s="427">
        <f t="shared" ref="BI180" si="317">IF((BG180*100/L180)&gt;1,1,(BG180*100/L180))</f>
        <v>0</v>
      </c>
      <c r="BJ180" s="425">
        <f t="shared" ref="BJ180" si="318">BI180*L180</f>
        <v>0</v>
      </c>
      <c r="BK180" s="429">
        <f t="shared" ref="BK180" si="319">IF(K180/100-BG180&lt;0,0,K180/100-BG180)</f>
        <v>5.8</v>
      </c>
      <c r="BL180" s="586">
        <v>0</v>
      </c>
      <c r="BM180" s="425">
        <f t="shared" si="155"/>
        <v>0</v>
      </c>
      <c r="BN180" s="525">
        <v>0</v>
      </c>
      <c r="BO180" s="427">
        <f t="shared" ref="BO180" si="320">IF((BN180*100/L180)&gt;1,1,(BN180*100/L180))</f>
        <v>0</v>
      </c>
      <c r="BP180" s="429">
        <f t="shared" ref="BP180" si="321">IF(K180/100-BN180&lt;0,0,K180/100-BN180)</f>
        <v>5.8</v>
      </c>
      <c r="BQ180" s="587">
        <v>0</v>
      </c>
      <c r="BR180" s="591" t="s">
        <v>871</v>
      </c>
      <c r="BS180" s="596">
        <v>42102</v>
      </c>
      <c r="BT180" s="448">
        <f t="shared" si="143"/>
        <v>42467</v>
      </c>
      <c r="BU180" s="525">
        <v>73</v>
      </c>
      <c r="BV180" s="525">
        <v>0</v>
      </c>
      <c r="BW180" s="430">
        <f t="shared" ref="BW180" si="322">IF(BT180="n/a",0,IF(BT180="To be realised",J180,IF((J180-BU180)&lt;0,0,(J180-BU180))))</f>
        <v>31</v>
      </c>
      <c r="BX180" s="431">
        <f t="shared" ref="BX180" si="323">IF(BW180=0,1,(J180-BW180)/J180)</f>
        <v>0.70192307692307687</v>
      </c>
      <c r="BY180" s="428">
        <f t="shared" ref="BY180" si="324">BX180*L180</f>
        <v>407.11538461538458</v>
      </c>
      <c r="BZ180" s="449">
        <f t="shared" ref="BZ180" si="325">IF(BS180="","Column BN to be completed", IF(BS180="n/a",0,IF(($E$2-BS180-30)/30-BV180&lt;0,0,ROUND((($E$2-BS180-30)/30-BV180),0))))</f>
        <v>1</v>
      </c>
      <c r="CA180" s="546"/>
      <c r="CB180" s="563">
        <v>0</v>
      </c>
      <c r="CC180" s="452">
        <f t="shared" si="140"/>
        <v>0</v>
      </c>
      <c r="CD180" s="553">
        <v>0</v>
      </c>
      <c r="CE180" s="432" t="str">
        <f t="shared" si="141"/>
        <v>No coverage</v>
      </c>
      <c r="CF180" s="525">
        <v>0</v>
      </c>
      <c r="CG180" s="547" t="s">
        <v>66</v>
      </c>
      <c r="CH180" s="606"/>
    </row>
  </sheetData>
  <sheetProtection formatCells="0" formatRows="0" insertRows="0" sort="0" autoFilter="0" pivotTables="0"/>
  <autoFilter ref="B4:CH4"/>
  <dataConsolidate/>
  <mergeCells count="13">
    <mergeCell ref="BS3:BZ3"/>
    <mergeCell ref="CD3:CG3"/>
    <mergeCell ref="F2:L2"/>
    <mergeCell ref="F3:I3"/>
    <mergeCell ref="O3:T3"/>
    <mergeCell ref="V3:X3"/>
    <mergeCell ref="Y3:AA3"/>
    <mergeCell ref="AB3:AC3"/>
    <mergeCell ref="AS3:BQ3"/>
    <mergeCell ref="AD3:AR3"/>
    <mergeCell ref="V2:AR2"/>
    <mergeCell ref="AS2:BR2"/>
    <mergeCell ref="CA3:CC3"/>
  </mergeCells>
  <conditionalFormatting sqref="L5:L180">
    <cfRule type="cellIs" dxfId="1" priority="2" operator="notEqual">
      <formula>$K5</formula>
    </cfRule>
  </conditionalFormatting>
  <conditionalFormatting sqref="BD5:BD180">
    <cfRule type="cellIs" dxfId="0" priority="1" operator="lessThan">
      <formula>$AW5</formula>
    </cfRule>
  </conditionalFormatting>
  <dataValidations count="17">
    <dataValidation type="whole" allowBlank="1" showInputMessage="1" showErrorMessage="1" sqref="AS65472:AU65478 KT65472:KV65478 UP65472:UR65478 AEL65472:AEN65478 AOH65472:AOJ65478 AYD65472:AYF65478 BHZ65472:BIB65478 BRV65472:BRX65478 CBR65472:CBT65478 CLN65472:CLP65478 CVJ65472:CVL65478 DFF65472:DFH65478 DPB65472:DPD65478 DYX65472:DYZ65478 EIT65472:EIV65478 ESP65472:ESR65478 FCL65472:FCN65478 FMH65472:FMJ65478 FWD65472:FWF65478 GFZ65472:GGB65478 GPV65472:GPX65478 GZR65472:GZT65478 HJN65472:HJP65478 HTJ65472:HTL65478 IDF65472:IDH65478 INB65472:IND65478 IWX65472:IWZ65478 JGT65472:JGV65478 JQP65472:JQR65478 KAL65472:KAN65478 KKH65472:KKJ65478 KUD65472:KUF65478 LDZ65472:LEB65478 LNV65472:LNX65478 LXR65472:LXT65478 MHN65472:MHP65478 MRJ65472:MRL65478 NBF65472:NBH65478 NLB65472:NLD65478 NUX65472:NUZ65478 OET65472:OEV65478 OOP65472:OOR65478 OYL65472:OYN65478 PIH65472:PIJ65478 PSD65472:PSF65478 QBZ65472:QCB65478 QLV65472:QLX65478 QVR65472:QVT65478 RFN65472:RFP65478 RPJ65472:RPL65478 RZF65472:RZH65478 SJB65472:SJD65478 SSX65472:SSZ65478 TCT65472:TCV65478 TMP65472:TMR65478 TWL65472:TWN65478 UGH65472:UGJ65478 UQD65472:UQF65478 UZZ65472:VAB65478 VJV65472:VJX65478 VTR65472:VTT65478 WDN65472:WDP65478 WNJ65472:WNL65478 WXF65472:WXH65478 AS131008:AU131014 KT131008:KV131014 UP131008:UR131014 AEL131008:AEN131014 AOH131008:AOJ131014 AYD131008:AYF131014 BHZ131008:BIB131014 BRV131008:BRX131014 CBR131008:CBT131014 CLN131008:CLP131014 CVJ131008:CVL131014 DFF131008:DFH131014 DPB131008:DPD131014 DYX131008:DYZ131014 EIT131008:EIV131014 ESP131008:ESR131014 FCL131008:FCN131014 FMH131008:FMJ131014 FWD131008:FWF131014 GFZ131008:GGB131014 GPV131008:GPX131014 GZR131008:GZT131014 HJN131008:HJP131014 HTJ131008:HTL131014 IDF131008:IDH131014 INB131008:IND131014 IWX131008:IWZ131014 JGT131008:JGV131014 JQP131008:JQR131014 KAL131008:KAN131014 KKH131008:KKJ131014 KUD131008:KUF131014 LDZ131008:LEB131014 LNV131008:LNX131014 LXR131008:LXT131014 MHN131008:MHP131014 MRJ131008:MRL131014 NBF131008:NBH131014 NLB131008:NLD131014 NUX131008:NUZ131014 OET131008:OEV131014 OOP131008:OOR131014 OYL131008:OYN131014 PIH131008:PIJ131014 PSD131008:PSF131014 QBZ131008:QCB131014 QLV131008:QLX131014 QVR131008:QVT131014 RFN131008:RFP131014 RPJ131008:RPL131014 RZF131008:RZH131014 SJB131008:SJD131014 SSX131008:SSZ131014 TCT131008:TCV131014 TMP131008:TMR131014 TWL131008:TWN131014 UGH131008:UGJ131014 UQD131008:UQF131014 UZZ131008:VAB131014 VJV131008:VJX131014 VTR131008:VTT131014 WDN131008:WDP131014 WNJ131008:WNL131014 WXF131008:WXH131014 AS196544:AU196550 KT196544:KV196550 UP196544:UR196550 AEL196544:AEN196550 AOH196544:AOJ196550 AYD196544:AYF196550 BHZ196544:BIB196550 BRV196544:BRX196550 CBR196544:CBT196550 CLN196544:CLP196550 CVJ196544:CVL196550 DFF196544:DFH196550 DPB196544:DPD196550 DYX196544:DYZ196550 EIT196544:EIV196550 ESP196544:ESR196550 FCL196544:FCN196550 FMH196544:FMJ196550 FWD196544:FWF196550 GFZ196544:GGB196550 GPV196544:GPX196550 GZR196544:GZT196550 HJN196544:HJP196550 HTJ196544:HTL196550 IDF196544:IDH196550 INB196544:IND196550 IWX196544:IWZ196550 JGT196544:JGV196550 JQP196544:JQR196550 KAL196544:KAN196550 KKH196544:KKJ196550 KUD196544:KUF196550 LDZ196544:LEB196550 LNV196544:LNX196550 LXR196544:LXT196550 MHN196544:MHP196550 MRJ196544:MRL196550 NBF196544:NBH196550 NLB196544:NLD196550 NUX196544:NUZ196550 OET196544:OEV196550 OOP196544:OOR196550 OYL196544:OYN196550 PIH196544:PIJ196550 PSD196544:PSF196550 QBZ196544:QCB196550 QLV196544:QLX196550 QVR196544:QVT196550 RFN196544:RFP196550 RPJ196544:RPL196550 RZF196544:RZH196550 SJB196544:SJD196550 SSX196544:SSZ196550 TCT196544:TCV196550 TMP196544:TMR196550 TWL196544:TWN196550 UGH196544:UGJ196550 UQD196544:UQF196550 UZZ196544:VAB196550 VJV196544:VJX196550 VTR196544:VTT196550 WDN196544:WDP196550 WNJ196544:WNL196550 WXF196544:WXH196550 AS262080:AU262086 KT262080:KV262086 UP262080:UR262086 AEL262080:AEN262086 AOH262080:AOJ262086 AYD262080:AYF262086 BHZ262080:BIB262086 BRV262080:BRX262086 CBR262080:CBT262086 CLN262080:CLP262086 CVJ262080:CVL262086 DFF262080:DFH262086 DPB262080:DPD262086 DYX262080:DYZ262086 EIT262080:EIV262086 ESP262080:ESR262086 FCL262080:FCN262086 FMH262080:FMJ262086 FWD262080:FWF262086 GFZ262080:GGB262086 GPV262080:GPX262086 GZR262080:GZT262086 HJN262080:HJP262086 HTJ262080:HTL262086 IDF262080:IDH262086 INB262080:IND262086 IWX262080:IWZ262086 JGT262080:JGV262086 JQP262080:JQR262086 KAL262080:KAN262086 KKH262080:KKJ262086 KUD262080:KUF262086 LDZ262080:LEB262086 LNV262080:LNX262086 LXR262080:LXT262086 MHN262080:MHP262086 MRJ262080:MRL262086 NBF262080:NBH262086 NLB262080:NLD262086 NUX262080:NUZ262086 OET262080:OEV262086 OOP262080:OOR262086 OYL262080:OYN262086 PIH262080:PIJ262086 PSD262080:PSF262086 QBZ262080:QCB262086 QLV262080:QLX262086 QVR262080:QVT262086 RFN262080:RFP262086 RPJ262080:RPL262086 RZF262080:RZH262086 SJB262080:SJD262086 SSX262080:SSZ262086 TCT262080:TCV262086 TMP262080:TMR262086 TWL262080:TWN262086 UGH262080:UGJ262086 UQD262080:UQF262086 UZZ262080:VAB262086 VJV262080:VJX262086 VTR262080:VTT262086 WDN262080:WDP262086 WNJ262080:WNL262086 WXF262080:WXH262086 AS327616:AU327622 KT327616:KV327622 UP327616:UR327622 AEL327616:AEN327622 AOH327616:AOJ327622 AYD327616:AYF327622 BHZ327616:BIB327622 BRV327616:BRX327622 CBR327616:CBT327622 CLN327616:CLP327622 CVJ327616:CVL327622 DFF327616:DFH327622 DPB327616:DPD327622 DYX327616:DYZ327622 EIT327616:EIV327622 ESP327616:ESR327622 FCL327616:FCN327622 FMH327616:FMJ327622 FWD327616:FWF327622 GFZ327616:GGB327622 GPV327616:GPX327622 GZR327616:GZT327622 HJN327616:HJP327622 HTJ327616:HTL327622 IDF327616:IDH327622 INB327616:IND327622 IWX327616:IWZ327622 JGT327616:JGV327622 JQP327616:JQR327622 KAL327616:KAN327622 KKH327616:KKJ327622 KUD327616:KUF327622 LDZ327616:LEB327622 LNV327616:LNX327622 LXR327616:LXT327622 MHN327616:MHP327622 MRJ327616:MRL327622 NBF327616:NBH327622 NLB327616:NLD327622 NUX327616:NUZ327622 OET327616:OEV327622 OOP327616:OOR327622 OYL327616:OYN327622 PIH327616:PIJ327622 PSD327616:PSF327622 QBZ327616:QCB327622 QLV327616:QLX327622 QVR327616:QVT327622 RFN327616:RFP327622 RPJ327616:RPL327622 RZF327616:RZH327622 SJB327616:SJD327622 SSX327616:SSZ327622 TCT327616:TCV327622 TMP327616:TMR327622 TWL327616:TWN327622 UGH327616:UGJ327622 UQD327616:UQF327622 UZZ327616:VAB327622 VJV327616:VJX327622 VTR327616:VTT327622 WDN327616:WDP327622 WNJ327616:WNL327622 WXF327616:WXH327622 AS393152:AU393158 KT393152:KV393158 UP393152:UR393158 AEL393152:AEN393158 AOH393152:AOJ393158 AYD393152:AYF393158 BHZ393152:BIB393158 BRV393152:BRX393158 CBR393152:CBT393158 CLN393152:CLP393158 CVJ393152:CVL393158 DFF393152:DFH393158 DPB393152:DPD393158 DYX393152:DYZ393158 EIT393152:EIV393158 ESP393152:ESR393158 FCL393152:FCN393158 FMH393152:FMJ393158 FWD393152:FWF393158 GFZ393152:GGB393158 GPV393152:GPX393158 GZR393152:GZT393158 HJN393152:HJP393158 HTJ393152:HTL393158 IDF393152:IDH393158 INB393152:IND393158 IWX393152:IWZ393158 JGT393152:JGV393158 JQP393152:JQR393158 KAL393152:KAN393158 KKH393152:KKJ393158 KUD393152:KUF393158 LDZ393152:LEB393158 LNV393152:LNX393158 LXR393152:LXT393158 MHN393152:MHP393158 MRJ393152:MRL393158 NBF393152:NBH393158 NLB393152:NLD393158 NUX393152:NUZ393158 OET393152:OEV393158 OOP393152:OOR393158 OYL393152:OYN393158 PIH393152:PIJ393158 PSD393152:PSF393158 QBZ393152:QCB393158 QLV393152:QLX393158 QVR393152:QVT393158 RFN393152:RFP393158 RPJ393152:RPL393158 RZF393152:RZH393158 SJB393152:SJD393158 SSX393152:SSZ393158 TCT393152:TCV393158 TMP393152:TMR393158 TWL393152:TWN393158 UGH393152:UGJ393158 UQD393152:UQF393158 UZZ393152:VAB393158 VJV393152:VJX393158 VTR393152:VTT393158 WDN393152:WDP393158 WNJ393152:WNL393158 WXF393152:WXH393158 AS458688:AU458694 KT458688:KV458694 UP458688:UR458694 AEL458688:AEN458694 AOH458688:AOJ458694 AYD458688:AYF458694 BHZ458688:BIB458694 BRV458688:BRX458694 CBR458688:CBT458694 CLN458688:CLP458694 CVJ458688:CVL458694 DFF458688:DFH458694 DPB458688:DPD458694 DYX458688:DYZ458694 EIT458688:EIV458694 ESP458688:ESR458694 FCL458688:FCN458694 FMH458688:FMJ458694 FWD458688:FWF458694 GFZ458688:GGB458694 GPV458688:GPX458694 GZR458688:GZT458694 HJN458688:HJP458694 HTJ458688:HTL458694 IDF458688:IDH458694 INB458688:IND458694 IWX458688:IWZ458694 JGT458688:JGV458694 JQP458688:JQR458694 KAL458688:KAN458694 KKH458688:KKJ458694 KUD458688:KUF458694 LDZ458688:LEB458694 LNV458688:LNX458694 LXR458688:LXT458694 MHN458688:MHP458694 MRJ458688:MRL458694 NBF458688:NBH458694 NLB458688:NLD458694 NUX458688:NUZ458694 OET458688:OEV458694 OOP458688:OOR458694 OYL458688:OYN458694 PIH458688:PIJ458694 PSD458688:PSF458694 QBZ458688:QCB458694 QLV458688:QLX458694 QVR458688:QVT458694 RFN458688:RFP458694 RPJ458688:RPL458694 RZF458688:RZH458694 SJB458688:SJD458694 SSX458688:SSZ458694 TCT458688:TCV458694 TMP458688:TMR458694 TWL458688:TWN458694 UGH458688:UGJ458694 UQD458688:UQF458694 UZZ458688:VAB458694 VJV458688:VJX458694 VTR458688:VTT458694 WDN458688:WDP458694 WNJ458688:WNL458694 WXF458688:WXH458694 AS524224:AU524230 KT524224:KV524230 UP524224:UR524230 AEL524224:AEN524230 AOH524224:AOJ524230 AYD524224:AYF524230 BHZ524224:BIB524230 BRV524224:BRX524230 CBR524224:CBT524230 CLN524224:CLP524230 CVJ524224:CVL524230 DFF524224:DFH524230 DPB524224:DPD524230 DYX524224:DYZ524230 EIT524224:EIV524230 ESP524224:ESR524230 FCL524224:FCN524230 FMH524224:FMJ524230 FWD524224:FWF524230 GFZ524224:GGB524230 GPV524224:GPX524230 GZR524224:GZT524230 HJN524224:HJP524230 HTJ524224:HTL524230 IDF524224:IDH524230 INB524224:IND524230 IWX524224:IWZ524230 JGT524224:JGV524230 JQP524224:JQR524230 KAL524224:KAN524230 KKH524224:KKJ524230 KUD524224:KUF524230 LDZ524224:LEB524230 LNV524224:LNX524230 LXR524224:LXT524230 MHN524224:MHP524230 MRJ524224:MRL524230 NBF524224:NBH524230 NLB524224:NLD524230 NUX524224:NUZ524230 OET524224:OEV524230 OOP524224:OOR524230 OYL524224:OYN524230 PIH524224:PIJ524230 PSD524224:PSF524230 QBZ524224:QCB524230 QLV524224:QLX524230 QVR524224:QVT524230 RFN524224:RFP524230 RPJ524224:RPL524230 RZF524224:RZH524230 SJB524224:SJD524230 SSX524224:SSZ524230 TCT524224:TCV524230 TMP524224:TMR524230 TWL524224:TWN524230 UGH524224:UGJ524230 UQD524224:UQF524230 UZZ524224:VAB524230 VJV524224:VJX524230 VTR524224:VTT524230 WDN524224:WDP524230 WNJ524224:WNL524230 WXF524224:WXH524230 AS589760:AU589766 KT589760:KV589766 UP589760:UR589766 AEL589760:AEN589766 AOH589760:AOJ589766 AYD589760:AYF589766 BHZ589760:BIB589766 BRV589760:BRX589766 CBR589760:CBT589766 CLN589760:CLP589766 CVJ589760:CVL589766 DFF589760:DFH589766 DPB589760:DPD589766 DYX589760:DYZ589766 EIT589760:EIV589766 ESP589760:ESR589766 FCL589760:FCN589766 FMH589760:FMJ589766 FWD589760:FWF589766 GFZ589760:GGB589766 GPV589760:GPX589766 GZR589760:GZT589766 HJN589760:HJP589766 HTJ589760:HTL589766 IDF589760:IDH589766 INB589760:IND589766 IWX589760:IWZ589766 JGT589760:JGV589766 JQP589760:JQR589766 KAL589760:KAN589766 KKH589760:KKJ589766 KUD589760:KUF589766 LDZ589760:LEB589766 LNV589760:LNX589766 LXR589760:LXT589766 MHN589760:MHP589766 MRJ589760:MRL589766 NBF589760:NBH589766 NLB589760:NLD589766 NUX589760:NUZ589766 OET589760:OEV589766 OOP589760:OOR589766 OYL589760:OYN589766 PIH589760:PIJ589766 PSD589760:PSF589766 QBZ589760:QCB589766 QLV589760:QLX589766 QVR589760:QVT589766 RFN589760:RFP589766 RPJ589760:RPL589766 RZF589760:RZH589766 SJB589760:SJD589766 SSX589760:SSZ589766 TCT589760:TCV589766 TMP589760:TMR589766 TWL589760:TWN589766 UGH589760:UGJ589766 UQD589760:UQF589766 UZZ589760:VAB589766 VJV589760:VJX589766 VTR589760:VTT589766 WDN589760:WDP589766 WNJ589760:WNL589766 WXF589760:WXH589766 AS655296:AU655302 KT655296:KV655302 UP655296:UR655302 AEL655296:AEN655302 AOH655296:AOJ655302 AYD655296:AYF655302 BHZ655296:BIB655302 BRV655296:BRX655302 CBR655296:CBT655302 CLN655296:CLP655302 CVJ655296:CVL655302 DFF655296:DFH655302 DPB655296:DPD655302 DYX655296:DYZ655302 EIT655296:EIV655302 ESP655296:ESR655302 FCL655296:FCN655302 FMH655296:FMJ655302 FWD655296:FWF655302 GFZ655296:GGB655302 GPV655296:GPX655302 GZR655296:GZT655302 HJN655296:HJP655302 HTJ655296:HTL655302 IDF655296:IDH655302 INB655296:IND655302 IWX655296:IWZ655302 JGT655296:JGV655302 JQP655296:JQR655302 KAL655296:KAN655302 KKH655296:KKJ655302 KUD655296:KUF655302 LDZ655296:LEB655302 LNV655296:LNX655302 LXR655296:LXT655302 MHN655296:MHP655302 MRJ655296:MRL655302 NBF655296:NBH655302 NLB655296:NLD655302 NUX655296:NUZ655302 OET655296:OEV655302 OOP655296:OOR655302 OYL655296:OYN655302 PIH655296:PIJ655302 PSD655296:PSF655302 QBZ655296:QCB655302 QLV655296:QLX655302 QVR655296:QVT655302 RFN655296:RFP655302 RPJ655296:RPL655302 RZF655296:RZH655302 SJB655296:SJD655302 SSX655296:SSZ655302 TCT655296:TCV655302 TMP655296:TMR655302 TWL655296:TWN655302 UGH655296:UGJ655302 UQD655296:UQF655302 UZZ655296:VAB655302 VJV655296:VJX655302 VTR655296:VTT655302 WDN655296:WDP655302 WNJ655296:WNL655302 WXF655296:WXH655302 AS720832:AU720838 KT720832:KV720838 UP720832:UR720838 AEL720832:AEN720838 AOH720832:AOJ720838 AYD720832:AYF720838 BHZ720832:BIB720838 BRV720832:BRX720838 CBR720832:CBT720838 CLN720832:CLP720838 CVJ720832:CVL720838 DFF720832:DFH720838 DPB720832:DPD720838 DYX720832:DYZ720838 EIT720832:EIV720838 ESP720832:ESR720838 FCL720832:FCN720838 FMH720832:FMJ720838 FWD720832:FWF720838 GFZ720832:GGB720838 GPV720832:GPX720838 GZR720832:GZT720838 HJN720832:HJP720838 HTJ720832:HTL720838 IDF720832:IDH720838 INB720832:IND720838 IWX720832:IWZ720838 JGT720832:JGV720838 JQP720832:JQR720838 KAL720832:KAN720838 KKH720832:KKJ720838 KUD720832:KUF720838 LDZ720832:LEB720838 LNV720832:LNX720838 LXR720832:LXT720838 MHN720832:MHP720838 MRJ720832:MRL720838 NBF720832:NBH720838 NLB720832:NLD720838 NUX720832:NUZ720838 OET720832:OEV720838 OOP720832:OOR720838 OYL720832:OYN720838 PIH720832:PIJ720838 PSD720832:PSF720838 QBZ720832:QCB720838 QLV720832:QLX720838 QVR720832:QVT720838 RFN720832:RFP720838 RPJ720832:RPL720838 RZF720832:RZH720838 SJB720832:SJD720838 SSX720832:SSZ720838 TCT720832:TCV720838 TMP720832:TMR720838 TWL720832:TWN720838 UGH720832:UGJ720838 UQD720832:UQF720838 UZZ720832:VAB720838 VJV720832:VJX720838 VTR720832:VTT720838 WDN720832:WDP720838 WNJ720832:WNL720838 WXF720832:WXH720838 AS786368:AU786374 KT786368:KV786374 UP786368:UR786374 AEL786368:AEN786374 AOH786368:AOJ786374 AYD786368:AYF786374 BHZ786368:BIB786374 BRV786368:BRX786374 CBR786368:CBT786374 CLN786368:CLP786374 CVJ786368:CVL786374 DFF786368:DFH786374 DPB786368:DPD786374 DYX786368:DYZ786374 EIT786368:EIV786374 ESP786368:ESR786374 FCL786368:FCN786374 FMH786368:FMJ786374 FWD786368:FWF786374 GFZ786368:GGB786374 GPV786368:GPX786374 GZR786368:GZT786374 HJN786368:HJP786374 HTJ786368:HTL786374 IDF786368:IDH786374 INB786368:IND786374 IWX786368:IWZ786374 JGT786368:JGV786374 JQP786368:JQR786374 KAL786368:KAN786374 KKH786368:KKJ786374 KUD786368:KUF786374 LDZ786368:LEB786374 LNV786368:LNX786374 LXR786368:LXT786374 MHN786368:MHP786374 MRJ786368:MRL786374 NBF786368:NBH786374 NLB786368:NLD786374 NUX786368:NUZ786374 OET786368:OEV786374 OOP786368:OOR786374 OYL786368:OYN786374 PIH786368:PIJ786374 PSD786368:PSF786374 QBZ786368:QCB786374 QLV786368:QLX786374 QVR786368:QVT786374 RFN786368:RFP786374 RPJ786368:RPL786374 RZF786368:RZH786374 SJB786368:SJD786374 SSX786368:SSZ786374 TCT786368:TCV786374 TMP786368:TMR786374 TWL786368:TWN786374 UGH786368:UGJ786374 UQD786368:UQF786374 UZZ786368:VAB786374 VJV786368:VJX786374 VTR786368:VTT786374 WDN786368:WDP786374 WNJ786368:WNL786374 WXF786368:WXH786374 AS851904:AU851910 KT851904:KV851910 UP851904:UR851910 AEL851904:AEN851910 AOH851904:AOJ851910 AYD851904:AYF851910 BHZ851904:BIB851910 BRV851904:BRX851910 CBR851904:CBT851910 CLN851904:CLP851910 CVJ851904:CVL851910 DFF851904:DFH851910 DPB851904:DPD851910 DYX851904:DYZ851910 EIT851904:EIV851910 ESP851904:ESR851910 FCL851904:FCN851910 FMH851904:FMJ851910 FWD851904:FWF851910 GFZ851904:GGB851910 GPV851904:GPX851910 GZR851904:GZT851910 HJN851904:HJP851910 HTJ851904:HTL851910 IDF851904:IDH851910 INB851904:IND851910 IWX851904:IWZ851910 JGT851904:JGV851910 JQP851904:JQR851910 KAL851904:KAN851910 KKH851904:KKJ851910 KUD851904:KUF851910 LDZ851904:LEB851910 LNV851904:LNX851910 LXR851904:LXT851910 MHN851904:MHP851910 MRJ851904:MRL851910 NBF851904:NBH851910 NLB851904:NLD851910 NUX851904:NUZ851910 OET851904:OEV851910 OOP851904:OOR851910 OYL851904:OYN851910 PIH851904:PIJ851910 PSD851904:PSF851910 QBZ851904:QCB851910 QLV851904:QLX851910 QVR851904:QVT851910 RFN851904:RFP851910 RPJ851904:RPL851910 RZF851904:RZH851910 SJB851904:SJD851910 SSX851904:SSZ851910 TCT851904:TCV851910 TMP851904:TMR851910 TWL851904:TWN851910 UGH851904:UGJ851910 UQD851904:UQF851910 UZZ851904:VAB851910 VJV851904:VJX851910 VTR851904:VTT851910 WDN851904:WDP851910 WNJ851904:WNL851910 WXF851904:WXH851910 AS917440:AU917446 KT917440:KV917446 UP917440:UR917446 AEL917440:AEN917446 AOH917440:AOJ917446 AYD917440:AYF917446 BHZ917440:BIB917446 BRV917440:BRX917446 CBR917440:CBT917446 CLN917440:CLP917446 CVJ917440:CVL917446 DFF917440:DFH917446 DPB917440:DPD917446 DYX917440:DYZ917446 EIT917440:EIV917446 ESP917440:ESR917446 FCL917440:FCN917446 FMH917440:FMJ917446 FWD917440:FWF917446 GFZ917440:GGB917446 GPV917440:GPX917446 GZR917440:GZT917446 HJN917440:HJP917446 HTJ917440:HTL917446 IDF917440:IDH917446 INB917440:IND917446 IWX917440:IWZ917446 JGT917440:JGV917446 JQP917440:JQR917446 KAL917440:KAN917446 KKH917440:KKJ917446 KUD917440:KUF917446 LDZ917440:LEB917446 LNV917440:LNX917446 LXR917440:LXT917446 MHN917440:MHP917446 MRJ917440:MRL917446 NBF917440:NBH917446 NLB917440:NLD917446 NUX917440:NUZ917446 OET917440:OEV917446 OOP917440:OOR917446 OYL917440:OYN917446 PIH917440:PIJ917446 PSD917440:PSF917446 QBZ917440:QCB917446 QLV917440:QLX917446 QVR917440:QVT917446 RFN917440:RFP917446 RPJ917440:RPL917446 RZF917440:RZH917446 SJB917440:SJD917446 SSX917440:SSZ917446 TCT917440:TCV917446 TMP917440:TMR917446 TWL917440:TWN917446 UGH917440:UGJ917446 UQD917440:UQF917446 UZZ917440:VAB917446 VJV917440:VJX917446 VTR917440:VTT917446 WDN917440:WDP917446 WNJ917440:WNL917446 WXF917440:WXH917446 AS982976:AU982982 KT982976:KV982982 UP982976:UR982982 AEL982976:AEN982982 AOH982976:AOJ982982 AYD982976:AYF982982 BHZ982976:BIB982982 BRV982976:BRX982982 CBR982976:CBT982982 CLN982976:CLP982982 CVJ982976:CVL982982 DFF982976:DFH982982 DPB982976:DPD982982 DYX982976:DYZ982982 EIT982976:EIV982982 ESP982976:ESR982982 FCL982976:FCN982982 FMH982976:FMJ982982 FWD982976:FWF982982 GFZ982976:GGB982982 GPV982976:GPX982982 GZR982976:GZT982982 HJN982976:HJP982982 HTJ982976:HTL982982 IDF982976:IDH982982 INB982976:IND982982 IWX982976:IWZ982982 JGT982976:JGV982982 JQP982976:JQR982982 KAL982976:KAN982982 KKH982976:KKJ982982 KUD982976:KUF982982 LDZ982976:LEB982982 LNV982976:LNX982982 LXR982976:LXT982982 MHN982976:MHP982982 MRJ982976:MRL982982 NBF982976:NBH982982 NLB982976:NLD982982 NUX982976:NUZ982982 OET982976:OEV982982 OOP982976:OOR982982 OYL982976:OYN982982 PIH982976:PIJ982982 PSD982976:PSF982982 QBZ982976:QCB982982 QLV982976:QLX982982 QVR982976:QVT982982 RFN982976:RFP982982 RPJ982976:RPL982982 RZF982976:RZH982982 SJB982976:SJD982982 SSX982976:SSZ982982 TCT982976:TCV982982 TMP982976:TMR982982 TWL982976:TWN982982 UGH982976:UGJ982982 UQD982976:UQF982982 UZZ982976:VAB982982 VJV982976:VJX982982 VTR982976:VTT982982 WDN982976:WDP982982 WNJ982976:WNL982982 WXF982976:WXH982982 AS65454:AU65455 KT65454:KV65455 UP65454:UR65455 AEL65454:AEN65455 AOH65454:AOJ65455 AYD65454:AYF65455 BHZ65454:BIB65455 BRV65454:BRX65455 CBR65454:CBT65455 CLN65454:CLP65455 CVJ65454:CVL65455 DFF65454:DFH65455 DPB65454:DPD65455 DYX65454:DYZ65455 EIT65454:EIV65455 ESP65454:ESR65455 FCL65454:FCN65455 FMH65454:FMJ65455 FWD65454:FWF65455 GFZ65454:GGB65455 GPV65454:GPX65455 GZR65454:GZT65455 HJN65454:HJP65455 HTJ65454:HTL65455 IDF65454:IDH65455 INB65454:IND65455 IWX65454:IWZ65455 JGT65454:JGV65455 JQP65454:JQR65455 KAL65454:KAN65455 KKH65454:KKJ65455 KUD65454:KUF65455 LDZ65454:LEB65455 LNV65454:LNX65455 LXR65454:LXT65455 MHN65454:MHP65455 MRJ65454:MRL65455 NBF65454:NBH65455 NLB65454:NLD65455 NUX65454:NUZ65455 OET65454:OEV65455 OOP65454:OOR65455 OYL65454:OYN65455 PIH65454:PIJ65455 PSD65454:PSF65455 QBZ65454:QCB65455 QLV65454:QLX65455 QVR65454:QVT65455 RFN65454:RFP65455 RPJ65454:RPL65455 RZF65454:RZH65455 SJB65454:SJD65455 SSX65454:SSZ65455 TCT65454:TCV65455 TMP65454:TMR65455 TWL65454:TWN65455 UGH65454:UGJ65455 UQD65454:UQF65455 UZZ65454:VAB65455 VJV65454:VJX65455 VTR65454:VTT65455 WDN65454:WDP65455 WNJ65454:WNL65455 WXF65454:WXH65455 AS130990:AU130991 KT130990:KV130991 UP130990:UR130991 AEL130990:AEN130991 AOH130990:AOJ130991 AYD130990:AYF130991 BHZ130990:BIB130991 BRV130990:BRX130991 CBR130990:CBT130991 CLN130990:CLP130991 CVJ130990:CVL130991 DFF130990:DFH130991 DPB130990:DPD130991 DYX130990:DYZ130991 EIT130990:EIV130991 ESP130990:ESR130991 FCL130990:FCN130991 FMH130990:FMJ130991 FWD130990:FWF130991 GFZ130990:GGB130991 GPV130990:GPX130991 GZR130990:GZT130991 HJN130990:HJP130991 HTJ130990:HTL130991 IDF130990:IDH130991 INB130990:IND130991 IWX130990:IWZ130991 JGT130990:JGV130991 JQP130990:JQR130991 KAL130990:KAN130991 KKH130990:KKJ130991 KUD130990:KUF130991 LDZ130990:LEB130991 LNV130990:LNX130991 LXR130990:LXT130991 MHN130990:MHP130991 MRJ130990:MRL130991 NBF130990:NBH130991 NLB130990:NLD130991 NUX130990:NUZ130991 OET130990:OEV130991 OOP130990:OOR130991 OYL130990:OYN130991 PIH130990:PIJ130991 PSD130990:PSF130991 QBZ130990:QCB130991 QLV130990:QLX130991 QVR130990:QVT130991 RFN130990:RFP130991 RPJ130990:RPL130991 RZF130990:RZH130991 SJB130990:SJD130991 SSX130990:SSZ130991 TCT130990:TCV130991 TMP130990:TMR130991 TWL130990:TWN130991 UGH130990:UGJ130991 UQD130990:UQF130991 UZZ130990:VAB130991 VJV130990:VJX130991 VTR130990:VTT130991 WDN130990:WDP130991 WNJ130990:WNL130991 WXF130990:WXH130991 AS196526:AU196527 KT196526:KV196527 UP196526:UR196527 AEL196526:AEN196527 AOH196526:AOJ196527 AYD196526:AYF196527 BHZ196526:BIB196527 BRV196526:BRX196527 CBR196526:CBT196527 CLN196526:CLP196527 CVJ196526:CVL196527 DFF196526:DFH196527 DPB196526:DPD196527 DYX196526:DYZ196527 EIT196526:EIV196527 ESP196526:ESR196527 FCL196526:FCN196527 FMH196526:FMJ196527 FWD196526:FWF196527 GFZ196526:GGB196527 GPV196526:GPX196527 GZR196526:GZT196527 HJN196526:HJP196527 HTJ196526:HTL196527 IDF196526:IDH196527 INB196526:IND196527 IWX196526:IWZ196527 JGT196526:JGV196527 JQP196526:JQR196527 KAL196526:KAN196527 KKH196526:KKJ196527 KUD196526:KUF196527 LDZ196526:LEB196527 LNV196526:LNX196527 LXR196526:LXT196527 MHN196526:MHP196527 MRJ196526:MRL196527 NBF196526:NBH196527 NLB196526:NLD196527 NUX196526:NUZ196527 OET196526:OEV196527 OOP196526:OOR196527 OYL196526:OYN196527 PIH196526:PIJ196527 PSD196526:PSF196527 QBZ196526:QCB196527 QLV196526:QLX196527 QVR196526:QVT196527 RFN196526:RFP196527 RPJ196526:RPL196527 RZF196526:RZH196527 SJB196526:SJD196527 SSX196526:SSZ196527 TCT196526:TCV196527 TMP196526:TMR196527 TWL196526:TWN196527 UGH196526:UGJ196527 UQD196526:UQF196527 UZZ196526:VAB196527 VJV196526:VJX196527 VTR196526:VTT196527 WDN196526:WDP196527 WNJ196526:WNL196527 WXF196526:WXH196527 AS262062:AU262063 KT262062:KV262063 UP262062:UR262063 AEL262062:AEN262063 AOH262062:AOJ262063 AYD262062:AYF262063 BHZ262062:BIB262063 BRV262062:BRX262063 CBR262062:CBT262063 CLN262062:CLP262063 CVJ262062:CVL262063 DFF262062:DFH262063 DPB262062:DPD262063 DYX262062:DYZ262063 EIT262062:EIV262063 ESP262062:ESR262063 FCL262062:FCN262063 FMH262062:FMJ262063 FWD262062:FWF262063 GFZ262062:GGB262063 GPV262062:GPX262063 GZR262062:GZT262063 HJN262062:HJP262063 HTJ262062:HTL262063 IDF262062:IDH262063 INB262062:IND262063 IWX262062:IWZ262063 JGT262062:JGV262063 JQP262062:JQR262063 KAL262062:KAN262063 KKH262062:KKJ262063 KUD262062:KUF262063 LDZ262062:LEB262063 LNV262062:LNX262063 LXR262062:LXT262063 MHN262062:MHP262063 MRJ262062:MRL262063 NBF262062:NBH262063 NLB262062:NLD262063 NUX262062:NUZ262063 OET262062:OEV262063 OOP262062:OOR262063 OYL262062:OYN262063 PIH262062:PIJ262063 PSD262062:PSF262063 QBZ262062:QCB262063 QLV262062:QLX262063 QVR262062:QVT262063 RFN262062:RFP262063 RPJ262062:RPL262063 RZF262062:RZH262063 SJB262062:SJD262063 SSX262062:SSZ262063 TCT262062:TCV262063 TMP262062:TMR262063 TWL262062:TWN262063 UGH262062:UGJ262063 UQD262062:UQF262063 UZZ262062:VAB262063 VJV262062:VJX262063 VTR262062:VTT262063 WDN262062:WDP262063 WNJ262062:WNL262063 WXF262062:WXH262063 AS327598:AU327599 KT327598:KV327599 UP327598:UR327599 AEL327598:AEN327599 AOH327598:AOJ327599 AYD327598:AYF327599 BHZ327598:BIB327599 BRV327598:BRX327599 CBR327598:CBT327599 CLN327598:CLP327599 CVJ327598:CVL327599 DFF327598:DFH327599 DPB327598:DPD327599 DYX327598:DYZ327599 EIT327598:EIV327599 ESP327598:ESR327599 FCL327598:FCN327599 FMH327598:FMJ327599 FWD327598:FWF327599 GFZ327598:GGB327599 GPV327598:GPX327599 GZR327598:GZT327599 HJN327598:HJP327599 HTJ327598:HTL327599 IDF327598:IDH327599 INB327598:IND327599 IWX327598:IWZ327599 JGT327598:JGV327599 JQP327598:JQR327599 KAL327598:KAN327599 KKH327598:KKJ327599 KUD327598:KUF327599 LDZ327598:LEB327599 LNV327598:LNX327599 LXR327598:LXT327599 MHN327598:MHP327599 MRJ327598:MRL327599 NBF327598:NBH327599 NLB327598:NLD327599 NUX327598:NUZ327599 OET327598:OEV327599 OOP327598:OOR327599 OYL327598:OYN327599 PIH327598:PIJ327599 PSD327598:PSF327599 QBZ327598:QCB327599 QLV327598:QLX327599 QVR327598:QVT327599 RFN327598:RFP327599 RPJ327598:RPL327599 RZF327598:RZH327599 SJB327598:SJD327599 SSX327598:SSZ327599 TCT327598:TCV327599 TMP327598:TMR327599 TWL327598:TWN327599 UGH327598:UGJ327599 UQD327598:UQF327599 UZZ327598:VAB327599 VJV327598:VJX327599 VTR327598:VTT327599 WDN327598:WDP327599 WNJ327598:WNL327599 WXF327598:WXH327599 AS393134:AU393135 KT393134:KV393135 UP393134:UR393135 AEL393134:AEN393135 AOH393134:AOJ393135 AYD393134:AYF393135 BHZ393134:BIB393135 BRV393134:BRX393135 CBR393134:CBT393135 CLN393134:CLP393135 CVJ393134:CVL393135 DFF393134:DFH393135 DPB393134:DPD393135 DYX393134:DYZ393135 EIT393134:EIV393135 ESP393134:ESR393135 FCL393134:FCN393135 FMH393134:FMJ393135 FWD393134:FWF393135 GFZ393134:GGB393135 GPV393134:GPX393135 GZR393134:GZT393135 HJN393134:HJP393135 HTJ393134:HTL393135 IDF393134:IDH393135 INB393134:IND393135 IWX393134:IWZ393135 JGT393134:JGV393135 JQP393134:JQR393135 KAL393134:KAN393135 KKH393134:KKJ393135 KUD393134:KUF393135 LDZ393134:LEB393135 LNV393134:LNX393135 LXR393134:LXT393135 MHN393134:MHP393135 MRJ393134:MRL393135 NBF393134:NBH393135 NLB393134:NLD393135 NUX393134:NUZ393135 OET393134:OEV393135 OOP393134:OOR393135 OYL393134:OYN393135 PIH393134:PIJ393135 PSD393134:PSF393135 QBZ393134:QCB393135 QLV393134:QLX393135 QVR393134:QVT393135 RFN393134:RFP393135 RPJ393134:RPL393135 RZF393134:RZH393135 SJB393134:SJD393135 SSX393134:SSZ393135 TCT393134:TCV393135 TMP393134:TMR393135 TWL393134:TWN393135 UGH393134:UGJ393135 UQD393134:UQF393135 UZZ393134:VAB393135 VJV393134:VJX393135 VTR393134:VTT393135 WDN393134:WDP393135 WNJ393134:WNL393135 WXF393134:WXH393135 AS458670:AU458671 KT458670:KV458671 UP458670:UR458671 AEL458670:AEN458671 AOH458670:AOJ458671 AYD458670:AYF458671 BHZ458670:BIB458671 BRV458670:BRX458671 CBR458670:CBT458671 CLN458670:CLP458671 CVJ458670:CVL458671 DFF458670:DFH458671 DPB458670:DPD458671 DYX458670:DYZ458671 EIT458670:EIV458671 ESP458670:ESR458671 FCL458670:FCN458671 FMH458670:FMJ458671 FWD458670:FWF458671 GFZ458670:GGB458671 GPV458670:GPX458671 GZR458670:GZT458671 HJN458670:HJP458671 HTJ458670:HTL458671 IDF458670:IDH458671 INB458670:IND458671 IWX458670:IWZ458671 JGT458670:JGV458671 JQP458670:JQR458671 KAL458670:KAN458671 KKH458670:KKJ458671 KUD458670:KUF458671 LDZ458670:LEB458671 LNV458670:LNX458671 LXR458670:LXT458671 MHN458670:MHP458671 MRJ458670:MRL458671 NBF458670:NBH458671 NLB458670:NLD458671 NUX458670:NUZ458671 OET458670:OEV458671 OOP458670:OOR458671 OYL458670:OYN458671 PIH458670:PIJ458671 PSD458670:PSF458671 QBZ458670:QCB458671 QLV458670:QLX458671 QVR458670:QVT458671 RFN458670:RFP458671 RPJ458670:RPL458671 RZF458670:RZH458671 SJB458670:SJD458671 SSX458670:SSZ458671 TCT458670:TCV458671 TMP458670:TMR458671 TWL458670:TWN458671 UGH458670:UGJ458671 UQD458670:UQF458671 UZZ458670:VAB458671 VJV458670:VJX458671 VTR458670:VTT458671 WDN458670:WDP458671 WNJ458670:WNL458671 WXF458670:WXH458671 AS524206:AU524207 KT524206:KV524207 UP524206:UR524207 AEL524206:AEN524207 AOH524206:AOJ524207 AYD524206:AYF524207 BHZ524206:BIB524207 BRV524206:BRX524207 CBR524206:CBT524207 CLN524206:CLP524207 CVJ524206:CVL524207 DFF524206:DFH524207 DPB524206:DPD524207 DYX524206:DYZ524207 EIT524206:EIV524207 ESP524206:ESR524207 FCL524206:FCN524207 FMH524206:FMJ524207 FWD524206:FWF524207 GFZ524206:GGB524207 GPV524206:GPX524207 GZR524206:GZT524207 HJN524206:HJP524207 HTJ524206:HTL524207 IDF524206:IDH524207 INB524206:IND524207 IWX524206:IWZ524207 JGT524206:JGV524207 JQP524206:JQR524207 KAL524206:KAN524207 KKH524206:KKJ524207 KUD524206:KUF524207 LDZ524206:LEB524207 LNV524206:LNX524207 LXR524206:LXT524207 MHN524206:MHP524207 MRJ524206:MRL524207 NBF524206:NBH524207 NLB524206:NLD524207 NUX524206:NUZ524207 OET524206:OEV524207 OOP524206:OOR524207 OYL524206:OYN524207 PIH524206:PIJ524207 PSD524206:PSF524207 QBZ524206:QCB524207 QLV524206:QLX524207 QVR524206:QVT524207 RFN524206:RFP524207 RPJ524206:RPL524207 RZF524206:RZH524207 SJB524206:SJD524207 SSX524206:SSZ524207 TCT524206:TCV524207 TMP524206:TMR524207 TWL524206:TWN524207 UGH524206:UGJ524207 UQD524206:UQF524207 UZZ524206:VAB524207 VJV524206:VJX524207 VTR524206:VTT524207 WDN524206:WDP524207 WNJ524206:WNL524207 WXF524206:WXH524207 AS589742:AU589743 KT589742:KV589743 UP589742:UR589743 AEL589742:AEN589743 AOH589742:AOJ589743 AYD589742:AYF589743 BHZ589742:BIB589743 BRV589742:BRX589743 CBR589742:CBT589743 CLN589742:CLP589743 CVJ589742:CVL589743 DFF589742:DFH589743 DPB589742:DPD589743 DYX589742:DYZ589743 EIT589742:EIV589743 ESP589742:ESR589743 FCL589742:FCN589743 FMH589742:FMJ589743 FWD589742:FWF589743 GFZ589742:GGB589743 GPV589742:GPX589743 GZR589742:GZT589743 HJN589742:HJP589743 HTJ589742:HTL589743 IDF589742:IDH589743 INB589742:IND589743 IWX589742:IWZ589743 JGT589742:JGV589743 JQP589742:JQR589743 KAL589742:KAN589743 KKH589742:KKJ589743 KUD589742:KUF589743 LDZ589742:LEB589743 LNV589742:LNX589743 LXR589742:LXT589743 MHN589742:MHP589743 MRJ589742:MRL589743 NBF589742:NBH589743 NLB589742:NLD589743 NUX589742:NUZ589743 OET589742:OEV589743 OOP589742:OOR589743 OYL589742:OYN589743 PIH589742:PIJ589743 PSD589742:PSF589743 QBZ589742:QCB589743 QLV589742:QLX589743 QVR589742:QVT589743 RFN589742:RFP589743 RPJ589742:RPL589743 RZF589742:RZH589743 SJB589742:SJD589743 SSX589742:SSZ589743 TCT589742:TCV589743 TMP589742:TMR589743 TWL589742:TWN589743 UGH589742:UGJ589743 UQD589742:UQF589743 UZZ589742:VAB589743 VJV589742:VJX589743 VTR589742:VTT589743 WDN589742:WDP589743 WNJ589742:WNL589743 WXF589742:WXH589743 AS655278:AU655279 KT655278:KV655279 UP655278:UR655279 AEL655278:AEN655279 AOH655278:AOJ655279 AYD655278:AYF655279 BHZ655278:BIB655279 BRV655278:BRX655279 CBR655278:CBT655279 CLN655278:CLP655279 CVJ655278:CVL655279 DFF655278:DFH655279 DPB655278:DPD655279 DYX655278:DYZ655279 EIT655278:EIV655279 ESP655278:ESR655279 FCL655278:FCN655279 FMH655278:FMJ655279 FWD655278:FWF655279 GFZ655278:GGB655279 GPV655278:GPX655279 GZR655278:GZT655279 HJN655278:HJP655279 HTJ655278:HTL655279 IDF655278:IDH655279 INB655278:IND655279 IWX655278:IWZ655279 JGT655278:JGV655279 JQP655278:JQR655279 KAL655278:KAN655279 KKH655278:KKJ655279 KUD655278:KUF655279 LDZ655278:LEB655279 LNV655278:LNX655279 LXR655278:LXT655279 MHN655278:MHP655279 MRJ655278:MRL655279 NBF655278:NBH655279 NLB655278:NLD655279 NUX655278:NUZ655279 OET655278:OEV655279 OOP655278:OOR655279 OYL655278:OYN655279 PIH655278:PIJ655279 PSD655278:PSF655279 QBZ655278:QCB655279 QLV655278:QLX655279 QVR655278:QVT655279 RFN655278:RFP655279 RPJ655278:RPL655279 RZF655278:RZH655279 SJB655278:SJD655279 SSX655278:SSZ655279 TCT655278:TCV655279 TMP655278:TMR655279 TWL655278:TWN655279 UGH655278:UGJ655279 UQD655278:UQF655279 UZZ655278:VAB655279 VJV655278:VJX655279 VTR655278:VTT655279 WDN655278:WDP655279 WNJ655278:WNL655279 WXF655278:WXH655279 AS720814:AU720815 KT720814:KV720815 UP720814:UR720815 AEL720814:AEN720815 AOH720814:AOJ720815 AYD720814:AYF720815 BHZ720814:BIB720815 BRV720814:BRX720815 CBR720814:CBT720815 CLN720814:CLP720815 CVJ720814:CVL720815 DFF720814:DFH720815 DPB720814:DPD720815 DYX720814:DYZ720815 EIT720814:EIV720815 ESP720814:ESR720815 FCL720814:FCN720815 FMH720814:FMJ720815 FWD720814:FWF720815 GFZ720814:GGB720815 GPV720814:GPX720815 GZR720814:GZT720815 HJN720814:HJP720815 HTJ720814:HTL720815 IDF720814:IDH720815 INB720814:IND720815 IWX720814:IWZ720815 JGT720814:JGV720815 JQP720814:JQR720815 KAL720814:KAN720815 KKH720814:KKJ720815 KUD720814:KUF720815 LDZ720814:LEB720815 LNV720814:LNX720815 LXR720814:LXT720815 MHN720814:MHP720815 MRJ720814:MRL720815 NBF720814:NBH720815 NLB720814:NLD720815 NUX720814:NUZ720815 OET720814:OEV720815 OOP720814:OOR720815 OYL720814:OYN720815 PIH720814:PIJ720815 PSD720814:PSF720815 QBZ720814:QCB720815 QLV720814:QLX720815 QVR720814:QVT720815 RFN720814:RFP720815 RPJ720814:RPL720815 RZF720814:RZH720815 SJB720814:SJD720815 SSX720814:SSZ720815 TCT720814:TCV720815 TMP720814:TMR720815 TWL720814:TWN720815 UGH720814:UGJ720815 UQD720814:UQF720815 UZZ720814:VAB720815 VJV720814:VJX720815 VTR720814:VTT720815 WDN720814:WDP720815 WNJ720814:WNL720815 WXF720814:WXH720815 AS786350:AU786351 KT786350:KV786351 UP786350:UR786351 AEL786350:AEN786351 AOH786350:AOJ786351 AYD786350:AYF786351 BHZ786350:BIB786351 BRV786350:BRX786351 CBR786350:CBT786351 CLN786350:CLP786351 CVJ786350:CVL786351 DFF786350:DFH786351 DPB786350:DPD786351 DYX786350:DYZ786351 EIT786350:EIV786351 ESP786350:ESR786351 FCL786350:FCN786351 FMH786350:FMJ786351 FWD786350:FWF786351 GFZ786350:GGB786351 GPV786350:GPX786351 GZR786350:GZT786351 HJN786350:HJP786351 HTJ786350:HTL786351 IDF786350:IDH786351 INB786350:IND786351 IWX786350:IWZ786351 JGT786350:JGV786351 JQP786350:JQR786351 KAL786350:KAN786351 KKH786350:KKJ786351 KUD786350:KUF786351 LDZ786350:LEB786351 LNV786350:LNX786351 LXR786350:LXT786351 MHN786350:MHP786351 MRJ786350:MRL786351 NBF786350:NBH786351 NLB786350:NLD786351 NUX786350:NUZ786351 OET786350:OEV786351 OOP786350:OOR786351 OYL786350:OYN786351 PIH786350:PIJ786351 PSD786350:PSF786351 QBZ786350:QCB786351 QLV786350:QLX786351 QVR786350:QVT786351 RFN786350:RFP786351 RPJ786350:RPL786351 RZF786350:RZH786351 SJB786350:SJD786351 SSX786350:SSZ786351 TCT786350:TCV786351 TMP786350:TMR786351 TWL786350:TWN786351 UGH786350:UGJ786351 UQD786350:UQF786351 UZZ786350:VAB786351 VJV786350:VJX786351 VTR786350:VTT786351 WDN786350:WDP786351 WNJ786350:WNL786351 WXF786350:WXH786351 AS851886:AU851887 KT851886:KV851887 UP851886:UR851887 AEL851886:AEN851887 AOH851886:AOJ851887 AYD851886:AYF851887 BHZ851886:BIB851887 BRV851886:BRX851887 CBR851886:CBT851887 CLN851886:CLP851887 CVJ851886:CVL851887 DFF851886:DFH851887 DPB851886:DPD851887 DYX851886:DYZ851887 EIT851886:EIV851887 ESP851886:ESR851887 FCL851886:FCN851887 FMH851886:FMJ851887 FWD851886:FWF851887 GFZ851886:GGB851887 GPV851886:GPX851887 GZR851886:GZT851887 HJN851886:HJP851887 HTJ851886:HTL851887 IDF851886:IDH851887 INB851886:IND851887 IWX851886:IWZ851887 JGT851886:JGV851887 JQP851886:JQR851887 KAL851886:KAN851887 KKH851886:KKJ851887 KUD851886:KUF851887 LDZ851886:LEB851887 LNV851886:LNX851887 LXR851886:LXT851887 MHN851886:MHP851887 MRJ851886:MRL851887 NBF851886:NBH851887 NLB851886:NLD851887 NUX851886:NUZ851887 OET851886:OEV851887 OOP851886:OOR851887 OYL851886:OYN851887 PIH851886:PIJ851887 PSD851886:PSF851887 QBZ851886:QCB851887 QLV851886:QLX851887 QVR851886:QVT851887 RFN851886:RFP851887 RPJ851886:RPL851887 RZF851886:RZH851887 SJB851886:SJD851887 SSX851886:SSZ851887 TCT851886:TCV851887 TMP851886:TMR851887 TWL851886:TWN851887 UGH851886:UGJ851887 UQD851886:UQF851887 UZZ851886:VAB851887 VJV851886:VJX851887 VTR851886:VTT851887 WDN851886:WDP851887 WNJ851886:WNL851887 WXF851886:WXH851887 AS917422:AU917423 KT917422:KV917423 UP917422:UR917423 AEL917422:AEN917423 AOH917422:AOJ917423 AYD917422:AYF917423 BHZ917422:BIB917423 BRV917422:BRX917423 CBR917422:CBT917423 CLN917422:CLP917423 CVJ917422:CVL917423 DFF917422:DFH917423 DPB917422:DPD917423 DYX917422:DYZ917423 EIT917422:EIV917423 ESP917422:ESR917423 FCL917422:FCN917423 FMH917422:FMJ917423 FWD917422:FWF917423 GFZ917422:GGB917423 GPV917422:GPX917423 GZR917422:GZT917423 HJN917422:HJP917423 HTJ917422:HTL917423 IDF917422:IDH917423 INB917422:IND917423 IWX917422:IWZ917423 JGT917422:JGV917423 JQP917422:JQR917423 KAL917422:KAN917423 KKH917422:KKJ917423 KUD917422:KUF917423 LDZ917422:LEB917423 LNV917422:LNX917423 LXR917422:LXT917423 MHN917422:MHP917423 MRJ917422:MRL917423 NBF917422:NBH917423 NLB917422:NLD917423 NUX917422:NUZ917423 OET917422:OEV917423 OOP917422:OOR917423 OYL917422:OYN917423 PIH917422:PIJ917423 PSD917422:PSF917423 QBZ917422:QCB917423 QLV917422:QLX917423 QVR917422:QVT917423 RFN917422:RFP917423 RPJ917422:RPL917423 RZF917422:RZH917423 SJB917422:SJD917423 SSX917422:SSZ917423 TCT917422:TCV917423 TMP917422:TMR917423 TWL917422:TWN917423 UGH917422:UGJ917423 UQD917422:UQF917423 UZZ917422:VAB917423 VJV917422:VJX917423 VTR917422:VTT917423 WDN917422:WDP917423 WNJ917422:WNL917423 WXF917422:WXH917423 AS982958:AU982959 KT982958:KV982959 UP982958:UR982959 AEL982958:AEN982959 AOH982958:AOJ982959 AYD982958:AYF982959 BHZ982958:BIB982959 BRV982958:BRX982959 CBR982958:CBT982959 CLN982958:CLP982959 CVJ982958:CVL982959 DFF982958:DFH982959 DPB982958:DPD982959 DYX982958:DYZ982959 EIT982958:EIV982959 ESP982958:ESR982959 FCL982958:FCN982959 FMH982958:FMJ982959 FWD982958:FWF982959 GFZ982958:GGB982959 GPV982958:GPX982959 GZR982958:GZT982959 HJN982958:HJP982959 HTJ982958:HTL982959 IDF982958:IDH982959 INB982958:IND982959 IWX982958:IWZ982959 JGT982958:JGV982959 JQP982958:JQR982959 KAL982958:KAN982959 KKH982958:KKJ982959 KUD982958:KUF982959 LDZ982958:LEB982959 LNV982958:LNX982959 LXR982958:LXT982959 MHN982958:MHP982959 MRJ982958:MRL982959 NBF982958:NBH982959 NLB982958:NLD982959 NUX982958:NUZ982959 OET982958:OEV982959 OOP982958:OOR982959 OYL982958:OYN982959 PIH982958:PIJ982959 PSD982958:PSF982959 QBZ982958:QCB982959 QLV982958:QLX982959 QVR982958:QVT982959 RFN982958:RFP982959 RPJ982958:RPL982959 RZF982958:RZH982959 SJB982958:SJD982959 SSX982958:SSZ982959 TCT982958:TCV982959 TMP982958:TMR982959 TWL982958:TWN982959 UGH982958:UGJ982959 UQD982958:UQF982959 UZZ982958:VAB982959 VJV982958:VJX982959 VTR982958:VTT982959 WDN982958:WDP982959 WNJ982958:WNL982959 WXF982958:WXH982959 AS65374:AU65423 KT65374:KV65423 UP65374:UR65423 AEL65374:AEN65423 AOH65374:AOJ65423 AYD65374:AYF65423 BHZ65374:BIB65423 BRV65374:BRX65423 CBR65374:CBT65423 CLN65374:CLP65423 CVJ65374:CVL65423 DFF65374:DFH65423 DPB65374:DPD65423 DYX65374:DYZ65423 EIT65374:EIV65423 ESP65374:ESR65423 FCL65374:FCN65423 FMH65374:FMJ65423 FWD65374:FWF65423 GFZ65374:GGB65423 GPV65374:GPX65423 GZR65374:GZT65423 HJN65374:HJP65423 HTJ65374:HTL65423 IDF65374:IDH65423 INB65374:IND65423 IWX65374:IWZ65423 JGT65374:JGV65423 JQP65374:JQR65423 KAL65374:KAN65423 KKH65374:KKJ65423 KUD65374:KUF65423 LDZ65374:LEB65423 LNV65374:LNX65423 LXR65374:LXT65423 MHN65374:MHP65423 MRJ65374:MRL65423 NBF65374:NBH65423 NLB65374:NLD65423 NUX65374:NUZ65423 OET65374:OEV65423 OOP65374:OOR65423 OYL65374:OYN65423 PIH65374:PIJ65423 PSD65374:PSF65423 QBZ65374:QCB65423 QLV65374:QLX65423 QVR65374:QVT65423 RFN65374:RFP65423 RPJ65374:RPL65423 RZF65374:RZH65423 SJB65374:SJD65423 SSX65374:SSZ65423 TCT65374:TCV65423 TMP65374:TMR65423 TWL65374:TWN65423 UGH65374:UGJ65423 UQD65374:UQF65423 UZZ65374:VAB65423 VJV65374:VJX65423 VTR65374:VTT65423 WDN65374:WDP65423 WNJ65374:WNL65423 WXF65374:WXH65423 AS130910:AU130959 KT130910:KV130959 UP130910:UR130959 AEL130910:AEN130959 AOH130910:AOJ130959 AYD130910:AYF130959 BHZ130910:BIB130959 BRV130910:BRX130959 CBR130910:CBT130959 CLN130910:CLP130959 CVJ130910:CVL130959 DFF130910:DFH130959 DPB130910:DPD130959 DYX130910:DYZ130959 EIT130910:EIV130959 ESP130910:ESR130959 FCL130910:FCN130959 FMH130910:FMJ130959 FWD130910:FWF130959 GFZ130910:GGB130959 GPV130910:GPX130959 GZR130910:GZT130959 HJN130910:HJP130959 HTJ130910:HTL130959 IDF130910:IDH130959 INB130910:IND130959 IWX130910:IWZ130959 JGT130910:JGV130959 JQP130910:JQR130959 KAL130910:KAN130959 KKH130910:KKJ130959 KUD130910:KUF130959 LDZ130910:LEB130959 LNV130910:LNX130959 LXR130910:LXT130959 MHN130910:MHP130959 MRJ130910:MRL130959 NBF130910:NBH130959 NLB130910:NLD130959 NUX130910:NUZ130959 OET130910:OEV130959 OOP130910:OOR130959 OYL130910:OYN130959 PIH130910:PIJ130959 PSD130910:PSF130959 QBZ130910:QCB130959 QLV130910:QLX130959 QVR130910:QVT130959 RFN130910:RFP130959 RPJ130910:RPL130959 RZF130910:RZH130959 SJB130910:SJD130959 SSX130910:SSZ130959 TCT130910:TCV130959 TMP130910:TMR130959 TWL130910:TWN130959 UGH130910:UGJ130959 UQD130910:UQF130959 UZZ130910:VAB130959 VJV130910:VJX130959 VTR130910:VTT130959 WDN130910:WDP130959 WNJ130910:WNL130959 WXF130910:WXH130959 AS196446:AU196495 KT196446:KV196495 UP196446:UR196495 AEL196446:AEN196495 AOH196446:AOJ196495 AYD196446:AYF196495 BHZ196446:BIB196495 BRV196446:BRX196495 CBR196446:CBT196495 CLN196446:CLP196495 CVJ196446:CVL196495 DFF196446:DFH196495 DPB196446:DPD196495 DYX196446:DYZ196495 EIT196446:EIV196495 ESP196446:ESR196495 FCL196446:FCN196495 FMH196446:FMJ196495 FWD196446:FWF196495 GFZ196446:GGB196495 GPV196446:GPX196495 GZR196446:GZT196495 HJN196446:HJP196495 HTJ196446:HTL196495 IDF196446:IDH196495 INB196446:IND196495 IWX196446:IWZ196495 JGT196446:JGV196495 JQP196446:JQR196495 KAL196446:KAN196495 KKH196446:KKJ196495 KUD196446:KUF196495 LDZ196446:LEB196495 LNV196446:LNX196495 LXR196446:LXT196495 MHN196446:MHP196495 MRJ196446:MRL196495 NBF196446:NBH196495 NLB196446:NLD196495 NUX196446:NUZ196495 OET196446:OEV196495 OOP196446:OOR196495 OYL196446:OYN196495 PIH196446:PIJ196495 PSD196446:PSF196495 QBZ196446:QCB196495 QLV196446:QLX196495 QVR196446:QVT196495 RFN196446:RFP196495 RPJ196446:RPL196495 RZF196446:RZH196495 SJB196446:SJD196495 SSX196446:SSZ196495 TCT196446:TCV196495 TMP196446:TMR196495 TWL196446:TWN196495 UGH196446:UGJ196495 UQD196446:UQF196495 UZZ196446:VAB196495 VJV196446:VJX196495 VTR196446:VTT196495 WDN196446:WDP196495 WNJ196446:WNL196495 WXF196446:WXH196495 AS261982:AU262031 KT261982:KV262031 UP261982:UR262031 AEL261982:AEN262031 AOH261982:AOJ262031 AYD261982:AYF262031 BHZ261982:BIB262031 BRV261982:BRX262031 CBR261982:CBT262031 CLN261982:CLP262031 CVJ261982:CVL262031 DFF261982:DFH262031 DPB261982:DPD262031 DYX261982:DYZ262031 EIT261982:EIV262031 ESP261982:ESR262031 FCL261982:FCN262031 FMH261982:FMJ262031 FWD261982:FWF262031 GFZ261982:GGB262031 GPV261982:GPX262031 GZR261982:GZT262031 HJN261982:HJP262031 HTJ261982:HTL262031 IDF261982:IDH262031 INB261982:IND262031 IWX261982:IWZ262031 JGT261982:JGV262031 JQP261982:JQR262031 KAL261982:KAN262031 KKH261982:KKJ262031 KUD261982:KUF262031 LDZ261982:LEB262031 LNV261982:LNX262031 LXR261982:LXT262031 MHN261982:MHP262031 MRJ261982:MRL262031 NBF261982:NBH262031 NLB261982:NLD262031 NUX261982:NUZ262031 OET261982:OEV262031 OOP261982:OOR262031 OYL261982:OYN262031 PIH261982:PIJ262031 PSD261982:PSF262031 QBZ261982:QCB262031 QLV261982:QLX262031 QVR261982:QVT262031 RFN261982:RFP262031 RPJ261982:RPL262031 RZF261982:RZH262031 SJB261982:SJD262031 SSX261982:SSZ262031 TCT261982:TCV262031 TMP261982:TMR262031 TWL261982:TWN262031 UGH261982:UGJ262031 UQD261982:UQF262031 UZZ261982:VAB262031 VJV261982:VJX262031 VTR261982:VTT262031 WDN261982:WDP262031 WNJ261982:WNL262031 WXF261982:WXH262031 AS327518:AU327567 KT327518:KV327567 UP327518:UR327567 AEL327518:AEN327567 AOH327518:AOJ327567 AYD327518:AYF327567 BHZ327518:BIB327567 BRV327518:BRX327567 CBR327518:CBT327567 CLN327518:CLP327567 CVJ327518:CVL327567 DFF327518:DFH327567 DPB327518:DPD327567 DYX327518:DYZ327567 EIT327518:EIV327567 ESP327518:ESR327567 FCL327518:FCN327567 FMH327518:FMJ327567 FWD327518:FWF327567 GFZ327518:GGB327567 GPV327518:GPX327567 GZR327518:GZT327567 HJN327518:HJP327567 HTJ327518:HTL327567 IDF327518:IDH327567 INB327518:IND327567 IWX327518:IWZ327567 JGT327518:JGV327567 JQP327518:JQR327567 KAL327518:KAN327567 KKH327518:KKJ327567 KUD327518:KUF327567 LDZ327518:LEB327567 LNV327518:LNX327567 LXR327518:LXT327567 MHN327518:MHP327567 MRJ327518:MRL327567 NBF327518:NBH327567 NLB327518:NLD327567 NUX327518:NUZ327567 OET327518:OEV327567 OOP327518:OOR327567 OYL327518:OYN327567 PIH327518:PIJ327567 PSD327518:PSF327567 QBZ327518:QCB327567 QLV327518:QLX327567 QVR327518:QVT327567 RFN327518:RFP327567 RPJ327518:RPL327567 RZF327518:RZH327567 SJB327518:SJD327567 SSX327518:SSZ327567 TCT327518:TCV327567 TMP327518:TMR327567 TWL327518:TWN327567 UGH327518:UGJ327567 UQD327518:UQF327567 UZZ327518:VAB327567 VJV327518:VJX327567 VTR327518:VTT327567 WDN327518:WDP327567 WNJ327518:WNL327567 WXF327518:WXH327567 AS393054:AU393103 KT393054:KV393103 UP393054:UR393103 AEL393054:AEN393103 AOH393054:AOJ393103 AYD393054:AYF393103 BHZ393054:BIB393103 BRV393054:BRX393103 CBR393054:CBT393103 CLN393054:CLP393103 CVJ393054:CVL393103 DFF393054:DFH393103 DPB393054:DPD393103 DYX393054:DYZ393103 EIT393054:EIV393103 ESP393054:ESR393103 FCL393054:FCN393103 FMH393054:FMJ393103 FWD393054:FWF393103 GFZ393054:GGB393103 GPV393054:GPX393103 GZR393054:GZT393103 HJN393054:HJP393103 HTJ393054:HTL393103 IDF393054:IDH393103 INB393054:IND393103 IWX393054:IWZ393103 JGT393054:JGV393103 JQP393054:JQR393103 KAL393054:KAN393103 KKH393054:KKJ393103 KUD393054:KUF393103 LDZ393054:LEB393103 LNV393054:LNX393103 LXR393054:LXT393103 MHN393054:MHP393103 MRJ393054:MRL393103 NBF393054:NBH393103 NLB393054:NLD393103 NUX393054:NUZ393103 OET393054:OEV393103 OOP393054:OOR393103 OYL393054:OYN393103 PIH393054:PIJ393103 PSD393054:PSF393103 QBZ393054:QCB393103 QLV393054:QLX393103 QVR393054:QVT393103 RFN393054:RFP393103 RPJ393054:RPL393103 RZF393054:RZH393103 SJB393054:SJD393103 SSX393054:SSZ393103 TCT393054:TCV393103 TMP393054:TMR393103 TWL393054:TWN393103 UGH393054:UGJ393103 UQD393054:UQF393103 UZZ393054:VAB393103 VJV393054:VJX393103 VTR393054:VTT393103 WDN393054:WDP393103 WNJ393054:WNL393103 WXF393054:WXH393103 AS458590:AU458639 KT458590:KV458639 UP458590:UR458639 AEL458590:AEN458639 AOH458590:AOJ458639 AYD458590:AYF458639 BHZ458590:BIB458639 BRV458590:BRX458639 CBR458590:CBT458639 CLN458590:CLP458639 CVJ458590:CVL458639 DFF458590:DFH458639 DPB458590:DPD458639 DYX458590:DYZ458639 EIT458590:EIV458639 ESP458590:ESR458639 FCL458590:FCN458639 FMH458590:FMJ458639 FWD458590:FWF458639 GFZ458590:GGB458639 GPV458590:GPX458639 GZR458590:GZT458639 HJN458590:HJP458639 HTJ458590:HTL458639 IDF458590:IDH458639 INB458590:IND458639 IWX458590:IWZ458639 JGT458590:JGV458639 JQP458590:JQR458639 KAL458590:KAN458639 KKH458590:KKJ458639 KUD458590:KUF458639 LDZ458590:LEB458639 LNV458590:LNX458639 LXR458590:LXT458639 MHN458590:MHP458639 MRJ458590:MRL458639 NBF458590:NBH458639 NLB458590:NLD458639 NUX458590:NUZ458639 OET458590:OEV458639 OOP458590:OOR458639 OYL458590:OYN458639 PIH458590:PIJ458639 PSD458590:PSF458639 QBZ458590:QCB458639 QLV458590:QLX458639 QVR458590:QVT458639 RFN458590:RFP458639 RPJ458590:RPL458639 RZF458590:RZH458639 SJB458590:SJD458639 SSX458590:SSZ458639 TCT458590:TCV458639 TMP458590:TMR458639 TWL458590:TWN458639 UGH458590:UGJ458639 UQD458590:UQF458639 UZZ458590:VAB458639 VJV458590:VJX458639 VTR458590:VTT458639 WDN458590:WDP458639 WNJ458590:WNL458639 WXF458590:WXH458639 AS524126:AU524175 KT524126:KV524175 UP524126:UR524175 AEL524126:AEN524175 AOH524126:AOJ524175 AYD524126:AYF524175 BHZ524126:BIB524175 BRV524126:BRX524175 CBR524126:CBT524175 CLN524126:CLP524175 CVJ524126:CVL524175 DFF524126:DFH524175 DPB524126:DPD524175 DYX524126:DYZ524175 EIT524126:EIV524175 ESP524126:ESR524175 FCL524126:FCN524175 FMH524126:FMJ524175 FWD524126:FWF524175 GFZ524126:GGB524175 GPV524126:GPX524175 GZR524126:GZT524175 HJN524126:HJP524175 HTJ524126:HTL524175 IDF524126:IDH524175 INB524126:IND524175 IWX524126:IWZ524175 JGT524126:JGV524175 JQP524126:JQR524175 KAL524126:KAN524175 KKH524126:KKJ524175 KUD524126:KUF524175 LDZ524126:LEB524175 LNV524126:LNX524175 LXR524126:LXT524175 MHN524126:MHP524175 MRJ524126:MRL524175 NBF524126:NBH524175 NLB524126:NLD524175 NUX524126:NUZ524175 OET524126:OEV524175 OOP524126:OOR524175 OYL524126:OYN524175 PIH524126:PIJ524175 PSD524126:PSF524175 QBZ524126:QCB524175 QLV524126:QLX524175 QVR524126:QVT524175 RFN524126:RFP524175 RPJ524126:RPL524175 RZF524126:RZH524175 SJB524126:SJD524175 SSX524126:SSZ524175 TCT524126:TCV524175 TMP524126:TMR524175 TWL524126:TWN524175 UGH524126:UGJ524175 UQD524126:UQF524175 UZZ524126:VAB524175 VJV524126:VJX524175 VTR524126:VTT524175 WDN524126:WDP524175 WNJ524126:WNL524175 WXF524126:WXH524175 AS589662:AU589711 KT589662:KV589711 UP589662:UR589711 AEL589662:AEN589711 AOH589662:AOJ589711 AYD589662:AYF589711 BHZ589662:BIB589711 BRV589662:BRX589711 CBR589662:CBT589711 CLN589662:CLP589711 CVJ589662:CVL589711 DFF589662:DFH589711 DPB589662:DPD589711 DYX589662:DYZ589711 EIT589662:EIV589711 ESP589662:ESR589711 FCL589662:FCN589711 FMH589662:FMJ589711 FWD589662:FWF589711 GFZ589662:GGB589711 GPV589662:GPX589711 GZR589662:GZT589711 HJN589662:HJP589711 HTJ589662:HTL589711 IDF589662:IDH589711 INB589662:IND589711 IWX589662:IWZ589711 JGT589662:JGV589711 JQP589662:JQR589711 KAL589662:KAN589711 KKH589662:KKJ589711 KUD589662:KUF589711 LDZ589662:LEB589711 LNV589662:LNX589711 LXR589662:LXT589711 MHN589662:MHP589711 MRJ589662:MRL589711 NBF589662:NBH589711 NLB589662:NLD589711 NUX589662:NUZ589711 OET589662:OEV589711 OOP589662:OOR589711 OYL589662:OYN589711 PIH589662:PIJ589711 PSD589662:PSF589711 QBZ589662:QCB589711 QLV589662:QLX589711 QVR589662:QVT589711 RFN589662:RFP589711 RPJ589662:RPL589711 RZF589662:RZH589711 SJB589662:SJD589711 SSX589662:SSZ589711 TCT589662:TCV589711 TMP589662:TMR589711 TWL589662:TWN589711 UGH589662:UGJ589711 UQD589662:UQF589711 UZZ589662:VAB589711 VJV589662:VJX589711 VTR589662:VTT589711 WDN589662:WDP589711 WNJ589662:WNL589711 WXF589662:WXH589711 AS655198:AU655247 KT655198:KV655247 UP655198:UR655247 AEL655198:AEN655247 AOH655198:AOJ655247 AYD655198:AYF655247 BHZ655198:BIB655247 BRV655198:BRX655247 CBR655198:CBT655247 CLN655198:CLP655247 CVJ655198:CVL655247 DFF655198:DFH655247 DPB655198:DPD655247 DYX655198:DYZ655247 EIT655198:EIV655247 ESP655198:ESR655247 FCL655198:FCN655247 FMH655198:FMJ655247 FWD655198:FWF655247 GFZ655198:GGB655247 GPV655198:GPX655247 GZR655198:GZT655247 HJN655198:HJP655247 HTJ655198:HTL655247 IDF655198:IDH655247 INB655198:IND655247 IWX655198:IWZ655247 JGT655198:JGV655247 JQP655198:JQR655247 KAL655198:KAN655247 KKH655198:KKJ655247 KUD655198:KUF655247 LDZ655198:LEB655247 LNV655198:LNX655247 LXR655198:LXT655247 MHN655198:MHP655247 MRJ655198:MRL655247 NBF655198:NBH655247 NLB655198:NLD655247 NUX655198:NUZ655247 OET655198:OEV655247 OOP655198:OOR655247 OYL655198:OYN655247 PIH655198:PIJ655247 PSD655198:PSF655247 QBZ655198:QCB655247 QLV655198:QLX655247 QVR655198:QVT655247 RFN655198:RFP655247 RPJ655198:RPL655247 RZF655198:RZH655247 SJB655198:SJD655247 SSX655198:SSZ655247 TCT655198:TCV655247 TMP655198:TMR655247 TWL655198:TWN655247 UGH655198:UGJ655247 UQD655198:UQF655247 UZZ655198:VAB655247 VJV655198:VJX655247 VTR655198:VTT655247 WDN655198:WDP655247 WNJ655198:WNL655247 WXF655198:WXH655247 AS720734:AU720783 KT720734:KV720783 UP720734:UR720783 AEL720734:AEN720783 AOH720734:AOJ720783 AYD720734:AYF720783 BHZ720734:BIB720783 BRV720734:BRX720783 CBR720734:CBT720783 CLN720734:CLP720783 CVJ720734:CVL720783 DFF720734:DFH720783 DPB720734:DPD720783 DYX720734:DYZ720783 EIT720734:EIV720783 ESP720734:ESR720783 FCL720734:FCN720783 FMH720734:FMJ720783 FWD720734:FWF720783 GFZ720734:GGB720783 GPV720734:GPX720783 GZR720734:GZT720783 HJN720734:HJP720783 HTJ720734:HTL720783 IDF720734:IDH720783 INB720734:IND720783 IWX720734:IWZ720783 JGT720734:JGV720783 JQP720734:JQR720783 KAL720734:KAN720783 KKH720734:KKJ720783 KUD720734:KUF720783 LDZ720734:LEB720783 LNV720734:LNX720783 LXR720734:LXT720783 MHN720734:MHP720783 MRJ720734:MRL720783 NBF720734:NBH720783 NLB720734:NLD720783 NUX720734:NUZ720783 OET720734:OEV720783 OOP720734:OOR720783 OYL720734:OYN720783 PIH720734:PIJ720783 PSD720734:PSF720783 QBZ720734:QCB720783 QLV720734:QLX720783 QVR720734:QVT720783 RFN720734:RFP720783 RPJ720734:RPL720783 RZF720734:RZH720783 SJB720734:SJD720783 SSX720734:SSZ720783 TCT720734:TCV720783 TMP720734:TMR720783 TWL720734:TWN720783 UGH720734:UGJ720783 UQD720734:UQF720783 UZZ720734:VAB720783 VJV720734:VJX720783 VTR720734:VTT720783 WDN720734:WDP720783 WNJ720734:WNL720783 WXF720734:WXH720783 AS786270:AU786319 KT786270:KV786319 UP786270:UR786319 AEL786270:AEN786319 AOH786270:AOJ786319 AYD786270:AYF786319 BHZ786270:BIB786319 BRV786270:BRX786319 CBR786270:CBT786319 CLN786270:CLP786319 CVJ786270:CVL786319 DFF786270:DFH786319 DPB786270:DPD786319 DYX786270:DYZ786319 EIT786270:EIV786319 ESP786270:ESR786319 FCL786270:FCN786319 FMH786270:FMJ786319 FWD786270:FWF786319 GFZ786270:GGB786319 GPV786270:GPX786319 GZR786270:GZT786319 HJN786270:HJP786319 HTJ786270:HTL786319 IDF786270:IDH786319 INB786270:IND786319 IWX786270:IWZ786319 JGT786270:JGV786319 JQP786270:JQR786319 KAL786270:KAN786319 KKH786270:KKJ786319 KUD786270:KUF786319 LDZ786270:LEB786319 LNV786270:LNX786319 LXR786270:LXT786319 MHN786270:MHP786319 MRJ786270:MRL786319 NBF786270:NBH786319 NLB786270:NLD786319 NUX786270:NUZ786319 OET786270:OEV786319 OOP786270:OOR786319 OYL786270:OYN786319 PIH786270:PIJ786319 PSD786270:PSF786319 QBZ786270:QCB786319 QLV786270:QLX786319 QVR786270:QVT786319 RFN786270:RFP786319 RPJ786270:RPL786319 RZF786270:RZH786319 SJB786270:SJD786319 SSX786270:SSZ786319 TCT786270:TCV786319 TMP786270:TMR786319 TWL786270:TWN786319 UGH786270:UGJ786319 UQD786270:UQF786319 UZZ786270:VAB786319 VJV786270:VJX786319 VTR786270:VTT786319 WDN786270:WDP786319 WNJ786270:WNL786319 WXF786270:WXH786319 AS851806:AU851855 KT851806:KV851855 UP851806:UR851855 AEL851806:AEN851855 AOH851806:AOJ851855 AYD851806:AYF851855 BHZ851806:BIB851855 BRV851806:BRX851855 CBR851806:CBT851855 CLN851806:CLP851855 CVJ851806:CVL851855 DFF851806:DFH851855 DPB851806:DPD851855 DYX851806:DYZ851855 EIT851806:EIV851855 ESP851806:ESR851855 FCL851806:FCN851855 FMH851806:FMJ851855 FWD851806:FWF851855 GFZ851806:GGB851855 GPV851806:GPX851855 GZR851806:GZT851855 HJN851806:HJP851855 HTJ851806:HTL851855 IDF851806:IDH851855 INB851806:IND851855 IWX851806:IWZ851855 JGT851806:JGV851855 JQP851806:JQR851855 KAL851806:KAN851855 KKH851806:KKJ851855 KUD851806:KUF851855 LDZ851806:LEB851855 LNV851806:LNX851855 LXR851806:LXT851855 MHN851806:MHP851855 MRJ851806:MRL851855 NBF851806:NBH851855 NLB851806:NLD851855 NUX851806:NUZ851855 OET851806:OEV851855 OOP851806:OOR851855 OYL851806:OYN851855 PIH851806:PIJ851855 PSD851806:PSF851855 QBZ851806:QCB851855 QLV851806:QLX851855 QVR851806:QVT851855 RFN851806:RFP851855 RPJ851806:RPL851855 RZF851806:RZH851855 SJB851806:SJD851855 SSX851806:SSZ851855 TCT851806:TCV851855 TMP851806:TMR851855 TWL851806:TWN851855 UGH851806:UGJ851855 UQD851806:UQF851855 UZZ851806:VAB851855 VJV851806:VJX851855 VTR851806:VTT851855 WDN851806:WDP851855 WNJ851806:WNL851855 WXF851806:WXH851855 AS917342:AU917391 KT917342:KV917391 UP917342:UR917391 AEL917342:AEN917391 AOH917342:AOJ917391 AYD917342:AYF917391 BHZ917342:BIB917391 BRV917342:BRX917391 CBR917342:CBT917391 CLN917342:CLP917391 CVJ917342:CVL917391 DFF917342:DFH917391 DPB917342:DPD917391 DYX917342:DYZ917391 EIT917342:EIV917391 ESP917342:ESR917391 FCL917342:FCN917391 FMH917342:FMJ917391 FWD917342:FWF917391 GFZ917342:GGB917391 GPV917342:GPX917391 GZR917342:GZT917391 HJN917342:HJP917391 HTJ917342:HTL917391 IDF917342:IDH917391 INB917342:IND917391 IWX917342:IWZ917391 JGT917342:JGV917391 JQP917342:JQR917391 KAL917342:KAN917391 KKH917342:KKJ917391 KUD917342:KUF917391 LDZ917342:LEB917391 LNV917342:LNX917391 LXR917342:LXT917391 MHN917342:MHP917391 MRJ917342:MRL917391 NBF917342:NBH917391 NLB917342:NLD917391 NUX917342:NUZ917391 OET917342:OEV917391 OOP917342:OOR917391 OYL917342:OYN917391 PIH917342:PIJ917391 PSD917342:PSF917391 QBZ917342:QCB917391 QLV917342:QLX917391 QVR917342:QVT917391 RFN917342:RFP917391 RPJ917342:RPL917391 RZF917342:RZH917391 SJB917342:SJD917391 SSX917342:SSZ917391 TCT917342:TCV917391 TMP917342:TMR917391 TWL917342:TWN917391 UGH917342:UGJ917391 UQD917342:UQF917391 UZZ917342:VAB917391 VJV917342:VJX917391 VTR917342:VTT917391 WDN917342:WDP917391 WNJ917342:WNL917391 WXF917342:WXH917391 AS982878:AU982927 KT982878:KV982927 UP982878:UR982927 AEL982878:AEN982927 AOH982878:AOJ982927 AYD982878:AYF982927 BHZ982878:BIB982927 BRV982878:BRX982927 CBR982878:CBT982927 CLN982878:CLP982927 CVJ982878:CVL982927 DFF982878:DFH982927 DPB982878:DPD982927 DYX982878:DYZ982927 EIT982878:EIV982927 ESP982878:ESR982927 FCL982878:FCN982927 FMH982878:FMJ982927 FWD982878:FWF982927 GFZ982878:GGB982927 GPV982878:GPX982927 GZR982878:GZT982927 HJN982878:HJP982927 HTJ982878:HTL982927 IDF982878:IDH982927 INB982878:IND982927 IWX982878:IWZ982927 JGT982878:JGV982927 JQP982878:JQR982927 KAL982878:KAN982927 KKH982878:KKJ982927 KUD982878:KUF982927 LDZ982878:LEB982927 LNV982878:LNX982927 LXR982878:LXT982927 MHN982878:MHP982927 MRJ982878:MRL982927 NBF982878:NBH982927 NLB982878:NLD982927 NUX982878:NUZ982927 OET982878:OEV982927 OOP982878:OOR982927 OYL982878:OYN982927 PIH982878:PIJ982927 PSD982878:PSF982927 QBZ982878:QCB982927 QLV982878:QLX982927 QVR982878:QVT982927 RFN982878:RFP982927 RPJ982878:RPL982927 RZF982878:RZH982927 SJB982878:SJD982927 SSX982878:SSZ982927 TCT982878:TCV982927 TMP982878:TMR982927 TWL982878:TWN982927 UGH982878:UGJ982927 UQD982878:UQF982927 UZZ982878:VAB982927 VJV982878:VJX982927 VTR982878:VTT982927 WDN982878:WDP982927 WNJ982878:WNL982927 WXF982878:WXH982927 WXF7:WXH7 WNJ7:WNL7 WDN7:WDP7 VTR7:VTT7 VJV7:VJX7 UZZ7:VAB7 UQD7:UQF7 UGH7:UGJ7 TWL7:TWN7 TMP7:TMR7 TCT7:TCV7 SSX7:SSZ7 SJB7:SJD7 RZF7:RZH7 RPJ7:RPL7 RFN7:RFP7 QVR7:QVT7 QLV7:QLX7 QBZ7:QCB7 PSD7:PSF7 PIH7:PIJ7 OYL7:OYN7 OOP7:OOR7 OET7:OEV7 NUX7:NUZ7 NLB7:NLD7 NBF7:NBH7 MRJ7:MRL7 MHN7:MHP7 LXR7:LXT7 LNV7:LNX7 LDZ7:LEB7 KUD7:KUF7 KKH7:KKJ7 KAL7:KAN7 JQP7:JQR7 JGT7:JGV7 IWX7:IWZ7 INB7:IND7 IDF7:IDH7 HTJ7:HTL7 HJN7:HJP7 GZR7:GZT7 GPV7:GPX7 GFZ7:GGB7 FWD7:FWF7 FMH7:FMJ7 FCL7:FCN7 ESP7:ESR7 EIT7:EIV7 DYX7:DYZ7 DPB7:DPD7 DFF7:DFH7 CVJ7:CVL7 CLN7:CLP7 CBR7:CBT7 BRV7:BRX7 BHZ7:BIB7 AYD7:AYF7 AOH7:AOJ7 AEL7:AEN7 UP7:UR7 KT7:KV7">
      <formula1>0</formula1>
      <formula2>10000000000000</formula2>
    </dataValidation>
    <dataValidation type="whole" allowBlank="1" showInputMessage="1" showErrorMessage="1" sqref="KE65272:KG65478 UA65272:UC65478 ADW65272:ADY65478 ANS65272:ANU65478 AXO65272:AXQ65478 BHK65272:BHM65478 BRG65272:BRI65478 CBC65272:CBE65478 CKY65272:CLA65478 CUU65272:CUW65478 DEQ65272:DES65478 DOM65272:DOO65478 DYI65272:DYK65478 EIE65272:EIG65478 ESA65272:ESC65478 FBW65272:FBY65478 FLS65272:FLU65478 FVO65272:FVQ65478 GFK65272:GFM65478 GPG65272:GPI65478 GZC65272:GZE65478 HIY65272:HJA65478 HSU65272:HSW65478 ICQ65272:ICS65478 IMM65272:IMO65478 IWI65272:IWK65478 JGE65272:JGG65478 JQA65272:JQC65478 JZW65272:JZY65478 KJS65272:KJU65478 KTO65272:KTQ65478 LDK65272:LDM65478 LNG65272:LNI65478 LXC65272:LXE65478 MGY65272:MHA65478 MQU65272:MQW65478 NAQ65272:NAS65478 NKM65272:NKO65478 NUI65272:NUK65478 OEE65272:OEG65478 OOA65272:OOC65478 OXW65272:OXY65478 PHS65272:PHU65478 PRO65272:PRQ65478 QBK65272:QBM65478 QLG65272:QLI65478 QVC65272:QVE65478 REY65272:RFA65478 ROU65272:ROW65478 RYQ65272:RYS65478 SIM65272:SIO65478 SSI65272:SSK65478 TCE65272:TCG65478 TMA65272:TMC65478 TVW65272:TVY65478 UFS65272:UFU65478 UPO65272:UPQ65478 UZK65272:UZM65478 VJG65272:VJI65478 VTC65272:VTE65478 WCY65272:WDA65478 WMU65272:WMW65478 WWQ65272:WWS65478 KE130808:KG131014 UA130808:UC131014 ADW130808:ADY131014 ANS130808:ANU131014 AXO130808:AXQ131014 BHK130808:BHM131014 BRG130808:BRI131014 CBC130808:CBE131014 CKY130808:CLA131014 CUU130808:CUW131014 DEQ130808:DES131014 DOM130808:DOO131014 DYI130808:DYK131014 EIE130808:EIG131014 ESA130808:ESC131014 FBW130808:FBY131014 FLS130808:FLU131014 FVO130808:FVQ131014 GFK130808:GFM131014 GPG130808:GPI131014 GZC130808:GZE131014 HIY130808:HJA131014 HSU130808:HSW131014 ICQ130808:ICS131014 IMM130808:IMO131014 IWI130808:IWK131014 JGE130808:JGG131014 JQA130808:JQC131014 JZW130808:JZY131014 KJS130808:KJU131014 KTO130808:KTQ131014 LDK130808:LDM131014 LNG130808:LNI131014 LXC130808:LXE131014 MGY130808:MHA131014 MQU130808:MQW131014 NAQ130808:NAS131014 NKM130808:NKO131014 NUI130808:NUK131014 OEE130808:OEG131014 OOA130808:OOC131014 OXW130808:OXY131014 PHS130808:PHU131014 PRO130808:PRQ131014 QBK130808:QBM131014 QLG130808:QLI131014 QVC130808:QVE131014 REY130808:RFA131014 ROU130808:ROW131014 RYQ130808:RYS131014 SIM130808:SIO131014 SSI130808:SSK131014 TCE130808:TCG131014 TMA130808:TMC131014 TVW130808:TVY131014 UFS130808:UFU131014 UPO130808:UPQ131014 UZK130808:UZM131014 VJG130808:VJI131014 VTC130808:VTE131014 WCY130808:WDA131014 WMU130808:WMW131014 WWQ130808:WWS131014 KE196344:KG196550 UA196344:UC196550 ADW196344:ADY196550 ANS196344:ANU196550 AXO196344:AXQ196550 BHK196344:BHM196550 BRG196344:BRI196550 CBC196344:CBE196550 CKY196344:CLA196550 CUU196344:CUW196550 DEQ196344:DES196550 DOM196344:DOO196550 DYI196344:DYK196550 EIE196344:EIG196550 ESA196344:ESC196550 FBW196344:FBY196550 FLS196344:FLU196550 FVO196344:FVQ196550 GFK196344:GFM196550 GPG196344:GPI196550 GZC196344:GZE196550 HIY196344:HJA196550 HSU196344:HSW196550 ICQ196344:ICS196550 IMM196344:IMO196550 IWI196344:IWK196550 JGE196344:JGG196550 JQA196344:JQC196550 JZW196344:JZY196550 KJS196344:KJU196550 KTO196344:KTQ196550 LDK196344:LDM196550 LNG196344:LNI196550 LXC196344:LXE196550 MGY196344:MHA196550 MQU196344:MQW196550 NAQ196344:NAS196550 NKM196344:NKO196550 NUI196344:NUK196550 OEE196344:OEG196550 OOA196344:OOC196550 OXW196344:OXY196550 PHS196344:PHU196550 PRO196344:PRQ196550 QBK196344:QBM196550 QLG196344:QLI196550 QVC196344:QVE196550 REY196344:RFA196550 ROU196344:ROW196550 RYQ196344:RYS196550 SIM196344:SIO196550 SSI196344:SSK196550 TCE196344:TCG196550 TMA196344:TMC196550 TVW196344:TVY196550 UFS196344:UFU196550 UPO196344:UPQ196550 UZK196344:UZM196550 VJG196344:VJI196550 VTC196344:VTE196550 WCY196344:WDA196550 WMU196344:WMW196550 WWQ196344:WWS196550 KE261880:KG262086 UA261880:UC262086 ADW261880:ADY262086 ANS261880:ANU262086 AXO261880:AXQ262086 BHK261880:BHM262086 BRG261880:BRI262086 CBC261880:CBE262086 CKY261880:CLA262086 CUU261880:CUW262086 DEQ261880:DES262086 DOM261880:DOO262086 DYI261880:DYK262086 EIE261880:EIG262086 ESA261880:ESC262086 FBW261880:FBY262086 FLS261880:FLU262086 FVO261880:FVQ262086 GFK261880:GFM262086 GPG261880:GPI262086 GZC261880:GZE262086 HIY261880:HJA262086 HSU261880:HSW262086 ICQ261880:ICS262086 IMM261880:IMO262086 IWI261880:IWK262086 JGE261880:JGG262086 JQA261880:JQC262086 JZW261880:JZY262086 KJS261880:KJU262086 KTO261880:KTQ262086 LDK261880:LDM262086 LNG261880:LNI262086 LXC261880:LXE262086 MGY261880:MHA262086 MQU261880:MQW262086 NAQ261880:NAS262086 NKM261880:NKO262086 NUI261880:NUK262086 OEE261880:OEG262086 OOA261880:OOC262086 OXW261880:OXY262086 PHS261880:PHU262086 PRO261880:PRQ262086 QBK261880:QBM262086 QLG261880:QLI262086 QVC261880:QVE262086 REY261880:RFA262086 ROU261880:ROW262086 RYQ261880:RYS262086 SIM261880:SIO262086 SSI261880:SSK262086 TCE261880:TCG262086 TMA261880:TMC262086 TVW261880:TVY262086 UFS261880:UFU262086 UPO261880:UPQ262086 UZK261880:UZM262086 VJG261880:VJI262086 VTC261880:VTE262086 WCY261880:WDA262086 WMU261880:WMW262086 WWQ261880:WWS262086 KE327416:KG327622 UA327416:UC327622 ADW327416:ADY327622 ANS327416:ANU327622 AXO327416:AXQ327622 BHK327416:BHM327622 BRG327416:BRI327622 CBC327416:CBE327622 CKY327416:CLA327622 CUU327416:CUW327622 DEQ327416:DES327622 DOM327416:DOO327622 DYI327416:DYK327622 EIE327416:EIG327622 ESA327416:ESC327622 FBW327416:FBY327622 FLS327416:FLU327622 FVO327416:FVQ327622 GFK327416:GFM327622 GPG327416:GPI327622 GZC327416:GZE327622 HIY327416:HJA327622 HSU327416:HSW327622 ICQ327416:ICS327622 IMM327416:IMO327622 IWI327416:IWK327622 JGE327416:JGG327622 JQA327416:JQC327622 JZW327416:JZY327622 KJS327416:KJU327622 KTO327416:KTQ327622 LDK327416:LDM327622 LNG327416:LNI327622 LXC327416:LXE327622 MGY327416:MHA327622 MQU327416:MQW327622 NAQ327416:NAS327622 NKM327416:NKO327622 NUI327416:NUK327622 OEE327416:OEG327622 OOA327416:OOC327622 OXW327416:OXY327622 PHS327416:PHU327622 PRO327416:PRQ327622 QBK327416:QBM327622 QLG327416:QLI327622 QVC327416:QVE327622 REY327416:RFA327622 ROU327416:ROW327622 RYQ327416:RYS327622 SIM327416:SIO327622 SSI327416:SSK327622 TCE327416:TCG327622 TMA327416:TMC327622 TVW327416:TVY327622 UFS327416:UFU327622 UPO327416:UPQ327622 UZK327416:UZM327622 VJG327416:VJI327622 VTC327416:VTE327622 WCY327416:WDA327622 WMU327416:WMW327622 WWQ327416:WWS327622 KE392952:KG393158 UA392952:UC393158 ADW392952:ADY393158 ANS392952:ANU393158 AXO392952:AXQ393158 BHK392952:BHM393158 BRG392952:BRI393158 CBC392952:CBE393158 CKY392952:CLA393158 CUU392952:CUW393158 DEQ392952:DES393158 DOM392952:DOO393158 DYI392952:DYK393158 EIE392952:EIG393158 ESA392952:ESC393158 FBW392952:FBY393158 FLS392952:FLU393158 FVO392952:FVQ393158 GFK392952:GFM393158 GPG392952:GPI393158 GZC392952:GZE393158 HIY392952:HJA393158 HSU392952:HSW393158 ICQ392952:ICS393158 IMM392952:IMO393158 IWI392952:IWK393158 JGE392952:JGG393158 JQA392952:JQC393158 JZW392952:JZY393158 KJS392952:KJU393158 KTO392952:KTQ393158 LDK392952:LDM393158 LNG392952:LNI393158 LXC392952:LXE393158 MGY392952:MHA393158 MQU392952:MQW393158 NAQ392952:NAS393158 NKM392952:NKO393158 NUI392952:NUK393158 OEE392952:OEG393158 OOA392952:OOC393158 OXW392952:OXY393158 PHS392952:PHU393158 PRO392952:PRQ393158 QBK392952:QBM393158 QLG392952:QLI393158 QVC392952:QVE393158 REY392952:RFA393158 ROU392952:ROW393158 RYQ392952:RYS393158 SIM392952:SIO393158 SSI392952:SSK393158 TCE392952:TCG393158 TMA392952:TMC393158 TVW392952:TVY393158 UFS392952:UFU393158 UPO392952:UPQ393158 UZK392952:UZM393158 VJG392952:VJI393158 VTC392952:VTE393158 WCY392952:WDA393158 WMU392952:WMW393158 WWQ392952:WWS393158 KE458488:KG458694 UA458488:UC458694 ADW458488:ADY458694 ANS458488:ANU458694 AXO458488:AXQ458694 BHK458488:BHM458694 BRG458488:BRI458694 CBC458488:CBE458694 CKY458488:CLA458694 CUU458488:CUW458694 DEQ458488:DES458694 DOM458488:DOO458694 DYI458488:DYK458694 EIE458488:EIG458694 ESA458488:ESC458694 FBW458488:FBY458694 FLS458488:FLU458694 FVO458488:FVQ458694 GFK458488:GFM458694 GPG458488:GPI458694 GZC458488:GZE458694 HIY458488:HJA458694 HSU458488:HSW458694 ICQ458488:ICS458694 IMM458488:IMO458694 IWI458488:IWK458694 JGE458488:JGG458694 JQA458488:JQC458694 JZW458488:JZY458694 KJS458488:KJU458694 KTO458488:KTQ458694 LDK458488:LDM458694 LNG458488:LNI458694 LXC458488:LXE458694 MGY458488:MHA458694 MQU458488:MQW458694 NAQ458488:NAS458694 NKM458488:NKO458694 NUI458488:NUK458694 OEE458488:OEG458694 OOA458488:OOC458694 OXW458488:OXY458694 PHS458488:PHU458694 PRO458488:PRQ458694 QBK458488:QBM458694 QLG458488:QLI458694 QVC458488:QVE458694 REY458488:RFA458694 ROU458488:ROW458694 RYQ458488:RYS458694 SIM458488:SIO458694 SSI458488:SSK458694 TCE458488:TCG458694 TMA458488:TMC458694 TVW458488:TVY458694 UFS458488:UFU458694 UPO458488:UPQ458694 UZK458488:UZM458694 VJG458488:VJI458694 VTC458488:VTE458694 WCY458488:WDA458694 WMU458488:WMW458694 WWQ458488:WWS458694 KE524024:KG524230 UA524024:UC524230 ADW524024:ADY524230 ANS524024:ANU524230 AXO524024:AXQ524230 BHK524024:BHM524230 BRG524024:BRI524230 CBC524024:CBE524230 CKY524024:CLA524230 CUU524024:CUW524230 DEQ524024:DES524230 DOM524024:DOO524230 DYI524024:DYK524230 EIE524024:EIG524230 ESA524024:ESC524230 FBW524024:FBY524230 FLS524024:FLU524230 FVO524024:FVQ524230 GFK524024:GFM524230 GPG524024:GPI524230 GZC524024:GZE524230 HIY524024:HJA524230 HSU524024:HSW524230 ICQ524024:ICS524230 IMM524024:IMO524230 IWI524024:IWK524230 JGE524024:JGG524230 JQA524024:JQC524230 JZW524024:JZY524230 KJS524024:KJU524230 KTO524024:KTQ524230 LDK524024:LDM524230 LNG524024:LNI524230 LXC524024:LXE524230 MGY524024:MHA524230 MQU524024:MQW524230 NAQ524024:NAS524230 NKM524024:NKO524230 NUI524024:NUK524230 OEE524024:OEG524230 OOA524024:OOC524230 OXW524024:OXY524230 PHS524024:PHU524230 PRO524024:PRQ524230 QBK524024:QBM524230 QLG524024:QLI524230 QVC524024:QVE524230 REY524024:RFA524230 ROU524024:ROW524230 RYQ524024:RYS524230 SIM524024:SIO524230 SSI524024:SSK524230 TCE524024:TCG524230 TMA524024:TMC524230 TVW524024:TVY524230 UFS524024:UFU524230 UPO524024:UPQ524230 UZK524024:UZM524230 VJG524024:VJI524230 VTC524024:VTE524230 WCY524024:WDA524230 WMU524024:WMW524230 WWQ524024:WWS524230 KE589560:KG589766 UA589560:UC589766 ADW589560:ADY589766 ANS589560:ANU589766 AXO589560:AXQ589766 BHK589560:BHM589766 BRG589560:BRI589766 CBC589560:CBE589766 CKY589560:CLA589766 CUU589560:CUW589766 DEQ589560:DES589766 DOM589560:DOO589766 DYI589560:DYK589766 EIE589560:EIG589766 ESA589560:ESC589766 FBW589560:FBY589766 FLS589560:FLU589766 FVO589560:FVQ589766 GFK589560:GFM589766 GPG589560:GPI589766 GZC589560:GZE589766 HIY589560:HJA589766 HSU589560:HSW589766 ICQ589560:ICS589766 IMM589560:IMO589766 IWI589560:IWK589766 JGE589560:JGG589766 JQA589560:JQC589766 JZW589560:JZY589766 KJS589560:KJU589766 KTO589560:KTQ589766 LDK589560:LDM589766 LNG589560:LNI589766 LXC589560:LXE589766 MGY589560:MHA589766 MQU589560:MQW589766 NAQ589560:NAS589766 NKM589560:NKO589766 NUI589560:NUK589766 OEE589560:OEG589766 OOA589560:OOC589766 OXW589560:OXY589766 PHS589560:PHU589766 PRO589560:PRQ589766 QBK589560:QBM589766 QLG589560:QLI589766 QVC589560:QVE589766 REY589560:RFA589766 ROU589560:ROW589766 RYQ589560:RYS589766 SIM589560:SIO589766 SSI589560:SSK589766 TCE589560:TCG589766 TMA589560:TMC589766 TVW589560:TVY589766 UFS589560:UFU589766 UPO589560:UPQ589766 UZK589560:UZM589766 VJG589560:VJI589766 VTC589560:VTE589766 WCY589560:WDA589766 WMU589560:WMW589766 WWQ589560:WWS589766 KE655096:KG655302 UA655096:UC655302 ADW655096:ADY655302 ANS655096:ANU655302 AXO655096:AXQ655302 BHK655096:BHM655302 BRG655096:BRI655302 CBC655096:CBE655302 CKY655096:CLA655302 CUU655096:CUW655302 DEQ655096:DES655302 DOM655096:DOO655302 DYI655096:DYK655302 EIE655096:EIG655302 ESA655096:ESC655302 FBW655096:FBY655302 FLS655096:FLU655302 FVO655096:FVQ655302 GFK655096:GFM655302 GPG655096:GPI655302 GZC655096:GZE655302 HIY655096:HJA655302 HSU655096:HSW655302 ICQ655096:ICS655302 IMM655096:IMO655302 IWI655096:IWK655302 JGE655096:JGG655302 JQA655096:JQC655302 JZW655096:JZY655302 KJS655096:KJU655302 KTO655096:KTQ655302 LDK655096:LDM655302 LNG655096:LNI655302 LXC655096:LXE655302 MGY655096:MHA655302 MQU655096:MQW655302 NAQ655096:NAS655302 NKM655096:NKO655302 NUI655096:NUK655302 OEE655096:OEG655302 OOA655096:OOC655302 OXW655096:OXY655302 PHS655096:PHU655302 PRO655096:PRQ655302 QBK655096:QBM655302 QLG655096:QLI655302 QVC655096:QVE655302 REY655096:RFA655302 ROU655096:ROW655302 RYQ655096:RYS655302 SIM655096:SIO655302 SSI655096:SSK655302 TCE655096:TCG655302 TMA655096:TMC655302 TVW655096:TVY655302 UFS655096:UFU655302 UPO655096:UPQ655302 UZK655096:UZM655302 VJG655096:VJI655302 VTC655096:VTE655302 WCY655096:WDA655302 WMU655096:WMW655302 WWQ655096:WWS655302 KE720632:KG720838 UA720632:UC720838 ADW720632:ADY720838 ANS720632:ANU720838 AXO720632:AXQ720838 BHK720632:BHM720838 BRG720632:BRI720838 CBC720632:CBE720838 CKY720632:CLA720838 CUU720632:CUW720838 DEQ720632:DES720838 DOM720632:DOO720838 DYI720632:DYK720838 EIE720632:EIG720838 ESA720632:ESC720838 FBW720632:FBY720838 FLS720632:FLU720838 FVO720632:FVQ720838 GFK720632:GFM720838 GPG720632:GPI720838 GZC720632:GZE720838 HIY720632:HJA720838 HSU720632:HSW720838 ICQ720632:ICS720838 IMM720632:IMO720838 IWI720632:IWK720838 JGE720632:JGG720838 JQA720632:JQC720838 JZW720632:JZY720838 KJS720632:KJU720838 KTO720632:KTQ720838 LDK720632:LDM720838 LNG720632:LNI720838 LXC720632:LXE720838 MGY720632:MHA720838 MQU720632:MQW720838 NAQ720632:NAS720838 NKM720632:NKO720838 NUI720632:NUK720838 OEE720632:OEG720838 OOA720632:OOC720838 OXW720632:OXY720838 PHS720632:PHU720838 PRO720632:PRQ720838 QBK720632:QBM720838 QLG720632:QLI720838 QVC720632:QVE720838 REY720632:RFA720838 ROU720632:ROW720838 RYQ720632:RYS720838 SIM720632:SIO720838 SSI720632:SSK720838 TCE720632:TCG720838 TMA720632:TMC720838 TVW720632:TVY720838 UFS720632:UFU720838 UPO720632:UPQ720838 UZK720632:UZM720838 VJG720632:VJI720838 VTC720632:VTE720838 WCY720632:WDA720838 WMU720632:WMW720838 WWQ720632:WWS720838 KE786168:KG786374 UA786168:UC786374 ADW786168:ADY786374 ANS786168:ANU786374 AXO786168:AXQ786374 BHK786168:BHM786374 BRG786168:BRI786374 CBC786168:CBE786374 CKY786168:CLA786374 CUU786168:CUW786374 DEQ786168:DES786374 DOM786168:DOO786374 DYI786168:DYK786374 EIE786168:EIG786374 ESA786168:ESC786374 FBW786168:FBY786374 FLS786168:FLU786374 FVO786168:FVQ786374 GFK786168:GFM786374 GPG786168:GPI786374 GZC786168:GZE786374 HIY786168:HJA786374 HSU786168:HSW786374 ICQ786168:ICS786374 IMM786168:IMO786374 IWI786168:IWK786374 JGE786168:JGG786374 JQA786168:JQC786374 JZW786168:JZY786374 KJS786168:KJU786374 KTO786168:KTQ786374 LDK786168:LDM786374 LNG786168:LNI786374 LXC786168:LXE786374 MGY786168:MHA786374 MQU786168:MQW786374 NAQ786168:NAS786374 NKM786168:NKO786374 NUI786168:NUK786374 OEE786168:OEG786374 OOA786168:OOC786374 OXW786168:OXY786374 PHS786168:PHU786374 PRO786168:PRQ786374 QBK786168:QBM786374 QLG786168:QLI786374 QVC786168:QVE786374 REY786168:RFA786374 ROU786168:ROW786374 RYQ786168:RYS786374 SIM786168:SIO786374 SSI786168:SSK786374 TCE786168:TCG786374 TMA786168:TMC786374 TVW786168:TVY786374 UFS786168:UFU786374 UPO786168:UPQ786374 UZK786168:UZM786374 VJG786168:VJI786374 VTC786168:VTE786374 WCY786168:WDA786374 WMU786168:WMW786374 WWQ786168:WWS786374 KE851704:KG851910 UA851704:UC851910 ADW851704:ADY851910 ANS851704:ANU851910 AXO851704:AXQ851910 BHK851704:BHM851910 BRG851704:BRI851910 CBC851704:CBE851910 CKY851704:CLA851910 CUU851704:CUW851910 DEQ851704:DES851910 DOM851704:DOO851910 DYI851704:DYK851910 EIE851704:EIG851910 ESA851704:ESC851910 FBW851704:FBY851910 FLS851704:FLU851910 FVO851704:FVQ851910 GFK851704:GFM851910 GPG851704:GPI851910 GZC851704:GZE851910 HIY851704:HJA851910 HSU851704:HSW851910 ICQ851704:ICS851910 IMM851704:IMO851910 IWI851704:IWK851910 JGE851704:JGG851910 JQA851704:JQC851910 JZW851704:JZY851910 KJS851704:KJU851910 KTO851704:KTQ851910 LDK851704:LDM851910 LNG851704:LNI851910 LXC851704:LXE851910 MGY851704:MHA851910 MQU851704:MQW851910 NAQ851704:NAS851910 NKM851704:NKO851910 NUI851704:NUK851910 OEE851704:OEG851910 OOA851704:OOC851910 OXW851704:OXY851910 PHS851704:PHU851910 PRO851704:PRQ851910 QBK851704:QBM851910 QLG851704:QLI851910 QVC851704:QVE851910 REY851704:RFA851910 ROU851704:ROW851910 RYQ851704:RYS851910 SIM851704:SIO851910 SSI851704:SSK851910 TCE851704:TCG851910 TMA851704:TMC851910 TVW851704:TVY851910 UFS851704:UFU851910 UPO851704:UPQ851910 UZK851704:UZM851910 VJG851704:VJI851910 VTC851704:VTE851910 WCY851704:WDA851910 WMU851704:WMW851910 WWQ851704:WWS851910 KE917240:KG917446 UA917240:UC917446 ADW917240:ADY917446 ANS917240:ANU917446 AXO917240:AXQ917446 BHK917240:BHM917446 BRG917240:BRI917446 CBC917240:CBE917446 CKY917240:CLA917446 CUU917240:CUW917446 DEQ917240:DES917446 DOM917240:DOO917446 DYI917240:DYK917446 EIE917240:EIG917446 ESA917240:ESC917446 FBW917240:FBY917446 FLS917240:FLU917446 FVO917240:FVQ917446 GFK917240:GFM917446 GPG917240:GPI917446 GZC917240:GZE917446 HIY917240:HJA917446 HSU917240:HSW917446 ICQ917240:ICS917446 IMM917240:IMO917446 IWI917240:IWK917446 JGE917240:JGG917446 JQA917240:JQC917446 JZW917240:JZY917446 KJS917240:KJU917446 KTO917240:KTQ917446 LDK917240:LDM917446 LNG917240:LNI917446 LXC917240:LXE917446 MGY917240:MHA917446 MQU917240:MQW917446 NAQ917240:NAS917446 NKM917240:NKO917446 NUI917240:NUK917446 OEE917240:OEG917446 OOA917240:OOC917446 OXW917240:OXY917446 PHS917240:PHU917446 PRO917240:PRQ917446 QBK917240:QBM917446 QLG917240:QLI917446 QVC917240:QVE917446 REY917240:RFA917446 ROU917240:ROW917446 RYQ917240:RYS917446 SIM917240:SIO917446 SSI917240:SSK917446 TCE917240:TCG917446 TMA917240:TMC917446 TVW917240:TVY917446 UFS917240:UFU917446 UPO917240:UPQ917446 UZK917240:UZM917446 VJG917240:VJI917446 VTC917240:VTE917446 WCY917240:WDA917446 WMU917240:WMW917446 WWQ917240:WWS917446 KE982776:KG982982 UA982776:UC982982 ADW982776:ADY982982 ANS982776:ANU982982 AXO982776:AXQ982982 BHK982776:BHM982982 BRG982776:BRI982982 CBC982776:CBE982982 CKY982776:CLA982982 CUU982776:CUW982982 DEQ982776:DES982982 DOM982776:DOO982982 DYI982776:DYK982982 EIE982776:EIG982982 ESA982776:ESC982982 FBW982776:FBY982982 FLS982776:FLU982982 FVO982776:FVQ982982 GFK982776:GFM982982 GPG982776:GPI982982 GZC982776:GZE982982 HIY982776:HJA982982 HSU982776:HSW982982 ICQ982776:ICS982982 IMM982776:IMO982982 IWI982776:IWK982982 JGE982776:JGG982982 JQA982776:JQC982982 JZW982776:JZY982982 KJS982776:KJU982982 KTO982776:KTQ982982 LDK982776:LDM982982 LNG982776:LNI982982 LXC982776:LXE982982 MGY982776:MHA982982 MQU982776:MQW982982 NAQ982776:NAS982982 NKM982776:NKO982982 NUI982776:NUK982982 OEE982776:OEG982982 OOA982776:OOC982982 OXW982776:OXY982982 PHS982776:PHU982982 PRO982776:PRQ982982 QBK982776:QBM982982 QLG982776:QLI982982 QVC982776:QVE982982 REY982776:RFA982982 ROU982776:ROW982982 RYQ982776:RYS982982 SIM982776:SIO982982 SSI982776:SSK982982 TCE982776:TCG982982 TMA982776:TMC982982 TVW982776:TVY982982 UFS982776:UFU982982 UPO982776:UPQ982982 UZK982776:UZM982982 VJG982776:VJI982982 VTC982776:VTE982982 WCY982776:WDA982982 WMU982776:WMW982982 WWQ982776:WWS982982 Y982776:AA982982 Y917240:AA917446 Y851704:AA851910 Y786168:AA786374 Y720632:AA720838 Y655096:AA655302 Y589560:AA589766 Y524024:AA524230 Y458488:AA458694 Y392952:AA393158 Y327416:AA327622 Y261880:AA262086 Y196344:AA196550 Y130808:AA131014 Y65272:AA65478 WWQ5:WWS11 KE5:KG11 UA5:UC11 ADW5:ADY11 ANS5:ANU11 AXO5:AXQ11 BHK5:BHM11 BRG5:BRI11 CBC5:CBE11 CKY5:CLA11 CUU5:CUW11 DEQ5:DES11 DOM5:DOO11 DYI5:DYK11 EIE5:EIG11 ESA5:ESC11 FBW5:FBY11 FLS5:FLU11 FVO5:FVQ11 GFK5:GFM11 GPG5:GPI11 GZC5:GZE11 HIY5:HJA11 HSU5:HSW11 ICQ5:ICS11 IMM5:IMO11 IWI5:IWK11 JGE5:JGG11 JQA5:JQC11 JZW5:JZY11 KJS5:KJU11 KTO5:KTQ11 LDK5:LDM11 LNG5:LNI11 LXC5:LXE11 MGY5:MHA11 MQU5:MQW11 NAQ5:NAS11 NKM5:NKO11 NUI5:NUK11 OEE5:OEG11 OOA5:OOC11 OXW5:OXY11 PHS5:PHU11 PRO5:PRQ11 QBK5:QBM11 QLG5:QLI11 QVC5:QVE11 REY5:RFA11 ROU5:ROW11 RYQ5:RYS11 SIM5:SIO11 SSI5:SSK11 TCE5:TCG11 TMA5:TMC11 TVW5:TVY11 UFS5:UFU11 UPO5:UPQ11 UZK5:UZM11 VJG5:VJI11 VTC5:VTE11 WCY5:WDA11 WMU5:WMW11">
      <formula1>0</formula1>
      <formula2>10000000000000000</formula2>
    </dataValidation>
    <dataValidation type="whole" allowBlank="1" showInputMessage="1" showErrorMessage="1" sqref="AB65272:AC65478 KH65272:KI65478 UD65272:UE65478 ADZ65272:AEA65478 ANV65272:ANW65478 AXR65272:AXS65478 BHN65272:BHO65478 BRJ65272:BRK65478 CBF65272:CBG65478 CLB65272:CLC65478 CUX65272:CUY65478 DET65272:DEU65478 DOP65272:DOQ65478 DYL65272:DYM65478 EIH65272:EII65478 ESD65272:ESE65478 FBZ65272:FCA65478 FLV65272:FLW65478 FVR65272:FVS65478 GFN65272:GFO65478 GPJ65272:GPK65478 GZF65272:GZG65478 HJB65272:HJC65478 HSX65272:HSY65478 ICT65272:ICU65478 IMP65272:IMQ65478 IWL65272:IWM65478 JGH65272:JGI65478 JQD65272:JQE65478 JZZ65272:KAA65478 KJV65272:KJW65478 KTR65272:KTS65478 LDN65272:LDO65478 LNJ65272:LNK65478 LXF65272:LXG65478 MHB65272:MHC65478 MQX65272:MQY65478 NAT65272:NAU65478 NKP65272:NKQ65478 NUL65272:NUM65478 OEH65272:OEI65478 OOD65272:OOE65478 OXZ65272:OYA65478 PHV65272:PHW65478 PRR65272:PRS65478 QBN65272:QBO65478 QLJ65272:QLK65478 QVF65272:QVG65478 RFB65272:RFC65478 ROX65272:ROY65478 RYT65272:RYU65478 SIP65272:SIQ65478 SSL65272:SSM65478 TCH65272:TCI65478 TMD65272:TME65478 TVZ65272:TWA65478 UFV65272:UFW65478 UPR65272:UPS65478 UZN65272:UZO65478 VJJ65272:VJK65478 VTF65272:VTG65478 WDB65272:WDC65478 WMX65272:WMY65478 WWT65272:WWU65478 AB130808:AC131014 KH130808:KI131014 UD130808:UE131014 ADZ130808:AEA131014 ANV130808:ANW131014 AXR130808:AXS131014 BHN130808:BHO131014 BRJ130808:BRK131014 CBF130808:CBG131014 CLB130808:CLC131014 CUX130808:CUY131014 DET130808:DEU131014 DOP130808:DOQ131014 DYL130808:DYM131014 EIH130808:EII131014 ESD130808:ESE131014 FBZ130808:FCA131014 FLV130808:FLW131014 FVR130808:FVS131014 GFN130808:GFO131014 GPJ130808:GPK131014 GZF130808:GZG131014 HJB130808:HJC131014 HSX130808:HSY131014 ICT130808:ICU131014 IMP130808:IMQ131014 IWL130808:IWM131014 JGH130808:JGI131014 JQD130808:JQE131014 JZZ130808:KAA131014 KJV130808:KJW131014 KTR130808:KTS131014 LDN130808:LDO131014 LNJ130808:LNK131014 LXF130808:LXG131014 MHB130808:MHC131014 MQX130808:MQY131014 NAT130808:NAU131014 NKP130808:NKQ131014 NUL130808:NUM131014 OEH130808:OEI131014 OOD130808:OOE131014 OXZ130808:OYA131014 PHV130808:PHW131014 PRR130808:PRS131014 QBN130808:QBO131014 QLJ130808:QLK131014 QVF130808:QVG131014 RFB130808:RFC131014 ROX130808:ROY131014 RYT130808:RYU131014 SIP130808:SIQ131014 SSL130808:SSM131014 TCH130808:TCI131014 TMD130808:TME131014 TVZ130808:TWA131014 UFV130808:UFW131014 UPR130808:UPS131014 UZN130808:UZO131014 VJJ130808:VJK131014 VTF130808:VTG131014 WDB130808:WDC131014 WMX130808:WMY131014 WWT130808:WWU131014 AB196344:AC196550 KH196344:KI196550 UD196344:UE196550 ADZ196344:AEA196550 ANV196344:ANW196550 AXR196344:AXS196550 BHN196344:BHO196550 BRJ196344:BRK196550 CBF196344:CBG196550 CLB196344:CLC196550 CUX196344:CUY196550 DET196344:DEU196550 DOP196344:DOQ196550 DYL196344:DYM196550 EIH196344:EII196550 ESD196344:ESE196550 FBZ196344:FCA196550 FLV196344:FLW196550 FVR196344:FVS196550 GFN196344:GFO196550 GPJ196344:GPK196550 GZF196344:GZG196550 HJB196344:HJC196550 HSX196344:HSY196550 ICT196344:ICU196550 IMP196344:IMQ196550 IWL196344:IWM196550 JGH196344:JGI196550 JQD196344:JQE196550 JZZ196344:KAA196550 KJV196344:KJW196550 KTR196344:KTS196550 LDN196344:LDO196550 LNJ196344:LNK196550 LXF196344:LXG196550 MHB196344:MHC196550 MQX196344:MQY196550 NAT196344:NAU196550 NKP196344:NKQ196550 NUL196344:NUM196550 OEH196344:OEI196550 OOD196344:OOE196550 OXZ196344:OYA196550 PHV196344:PHW196550 PRR196344:PRS196550 QBN196344:QBO196550 QLJ196344:QLK196550 QVF196344:QVG196550 RFB196344:RFC196550 ROX196344:ROY196550 RYT196344:RYU196550 SIP196344:SIQ196550 SSL196344:SSM196550 TCH196344:TCI196550 TMD196344:TME196550 TVZ196344:TWA196550 UFV196344:UFW196550 UPR196344:UPS196550 UZN196344:UZO196550 VJJ196344:VJK196550 VTF196344:VTG196550 WDB196344:WDC196550 WMX196344:WMY196550 WWT196344:WWU196550 AB261880:AC262086 KH261880:KI262086 UD261880:UE262086 ADZ261880:AEA262086 ANV261880:ANW262086 AXR261880:AXS262086 BHN261880:BHO262086 BRJ261880:BRK262086 CBF261880:CBG262086 CLB261880:CLC262086 CUX261880:CUY262086 DET261880:DEU262086 DOP261880:DOQ262086 DYL261880:DYM262086 EIH261880:EII262086 ESD261880:ESE262086 FBZ261880:FCA262086 FLV261880:FLW262086 FVR261880:FVS262086 GFN261880:GFO262086 GPJ261880:GPK262086 GZF261880:GZG262086 HJB261880:HJC262086 HSX261880:HSY262086 ICT261880:ICU262086 IMP261880:IMQ262086 IWL261880:IWM262086 JGH261880:JGI262086 JQD261880:JQE262086 JZZ261880:KAA262086 KJV261880:KJW262086 KTR261880:KTS262086 LDN261880:LDO262086 LNJ261880:LNK262086 LXF261880:LXG262086 MHB261880:MHC262086 MQX261880:MQY262086 NAT261880:NAU262086 NKP261880:NKQ262086 NUL261880:NUM262086 OEH261880:OEI262086 OOD261880:OOE262086 OXZ261880:OYA262086 PHV261880:PHW262086 PRR261880:PRS262086 QBN261880:QBO262086 QLJ261880:QLK262086 QVF261880:QVG262086 RFB261880:RFC262086 ROX261880:ROY262086 RYT261880:RYU262086 SIP261880:SIQ262086 SSL261880:SSM262086 TCH261880:TCI262086 TMD261880:TME262086 TVZ261880:TWA262086 UFV261880:UFW262086 UPR261880:UPS262086 UZN261880:UZO262086 VJJ261880:VJK262086 VTF261880:VTG262086 WDB261880:WDC262086 WMX261880:WMY262086 WWT261880:WWU262086 AB327416:AC327622 KH327416:KI327622 UD327416:UE327622 ADZ327416:AEA327622 ANV327416:ANW327622 AXR327416:AXS327622 BHN327416:BHO327622 BRJ327416:BRK327622 CBF327416:CBG327622 CLB327416:CLC327622 CUX327416:CUY327622 DET327416:DEU327622 DOP327416:DOQ327622 DYL327416:DYM327622 EIH327416:EII327622 ESD327416:ESE327622 FBZ327416:FCA327622 FLV327416:FLW327622 FVR327416:FVS327622 GFN327416:GFO327622 GPJ327416:GPK327622 GZF327416:GZG327622 HJB327416:HJC327622 HSX327416:HSY327622 ICT327416:ICU327622 IMP327416:IMQ327622 IWL327416:IWM327622 JGH327416:JGI327622 JQD327416:JQE327622 JZZ327416:KAA327622 KJV327416:KJW327622 KTR327416:KTS327622 LDN327416:LDO327622 LNJ327416:LNK327622 LXF327416:LXG327622 MHB327416:MHC327622 MQX327416:MQY327622 NAT327416:NAU327622 NKP327416:NKQ327622 NUL327416:NUM327622 OEH327416:OEI327622 OOD327416:OOE327622 OXZ327416:OYA327622 PHV327416:PHW327622 PRR327416:PRS327622 QBN327416:QBO327622 QLJ327416:QLK327622 QVF327416:QVG327622 RFB327416:RFC327622 ROX327416:ROY327622 RYT327416:RYU327622 SIP327416:SIQ327622 SSL327416:SSM327622 TCH327416:TCI327622 TMD327416:TME327622 TVZ327416:TWA327622 UFV327416:UFW327622 UPR327416:UPS327622 UZN327416:UZO327622 VJJ327416:VJK327622 VTF327416:VTG327622 WDB327416:WDC327622 WMX327416:WMY327622 WWT327416:WWU327622 AB392952:AC393158 KH392952:KI393158 UD392952:UE393158 ADZ392952:AEA393158 ANV392952:ANW393158 AXR392952:AXS393158 BHN392952:BHO393158 BRJ392952:BRK393158 CBF392952:CBG393158 CLB392952:CLC393158 CUX392952:CUY393158 DET392952:DEU393158 DOP392952:DOQ393158 DYL392952:DYM393158 EIH392952:EII393158 ESD392952:ESE393158 FBZ392952:FCA393158 FLV392952:FLW393158 FVR392952:FVS393158 GFN392952:GFO393158 GPJ392952:GPK393158 GZF392952:GZG393158 HJB392952:HJC393158 HSX392952:HSY393158 ICT392952:ICU393158 IMP392952:IMQ393158 IWL392952:IWM393158 JGH392952:JGI393158 JQD392952:JQE393158 JZZ392952:KAA393158 KJV392952:KJW393158 KTR392952:KTS393158 LDN392952:LDO393158 LNJ392952:LNK393158 LXF392952:LXG393158 MHB392952:MHC393158 MQX392952:MQY393158 NAT392952:NAU393158 NKP392952:NKQ393158 NUL392952:NUM393158 OEH392952:OEI393158 OOD392952:OOE393158 OXZ392952:OYA393158 PHV392952:PHW393158 PRR392952:PRS393158 QBN392952:QBO393158 QLJ392952:QLK393158 QVF392952:QVG393158 RFB392952:RFC393158 ROX392952:ROY393158 RYT392952:RYU393158 SIP392952:SIQ393158 SSL392952:SSM393158 TCH392952:TCI393158 TMD392952:TME393158 TVZ392952:TWA393158 UFV392952:UFW393158 UPR392952:UPS393158 UZN392952:UZO393158 VJJ392952:VJK393158 VTF392952:VTG393158 WDB392952:WDC393158 WMX392952:WMY393158 WWT392952:WWU393158 AB458488:AC458694 KH458488:KI458694 UD458488:UE458694 ADZ458488:AEA458694 ANV458488:ANW458694 AXR458488:AXS458694 BHN458488:BHO458694 BRJ458488:BRK458694 CBF458488:CBG458694 CLB458488:CLC458694 CUX458488:CUY458694 DET458488:DEU458694 DOP458488:DOQ458694 DYL458488:DYM458694 EIH458488:EII458694 ESD458488:ESE458694 FBZ458488:FCA458694 FLV458488:FLW458694 FVR458488:FVS458694 GFN458488:GFO458694 GPJ458488:GPK458694 GZF458488:GZG458694 HJB458488:HJC458694 HSX458488:HSY458694 ICT458488:ICU458694 IMP458488:IMQ458694 IWL458488:IWM458694 JGH458488:JGI458694 JQD458488:JQE458694 JZZ458488:KAA458694 KJV458488:KJW458694 KTR458488:KTS458694 LDN458488:LDO458694 LNJ458488:LNK458694 LXF458488:LXG458694 MHB458488:MHC458694 MQX458488:MQY458694 NAT458488:NAU458694 NKP458488:NKQ458694 NUL458488:NUM458694 OEH458488:OEI458694 OOD458488:OOE458694 OXZ458488:OYA458694 PHV458488:PHW458694 PRR458488:PRS458694 QBN458488:QBO458694 QLJ458488:QLK458694 QVF458488:QVG458694 RFB458488:RFC458694 ROX458488:ROY458694 RYT458488:RYU458694 SIP458488:SIQ458694 SSL458488:SSM458694 TCH458488:TCI458694 TMD458488:TME458694 TVZ458488:TWA458694 UFV458488:UFW458694 UPR458488:UPS458694 UZN458488:UZO458694 VJJ458488:VJK458694 VTF458488:VTG458694 WDB458488:WDC458694 WMX458488:WMY458694 WWT458488:WWU458694 AB524024:AC524230 KH524024:KI524230 UD524024:UE524230 ADZ524024:AEA524230 ANV524024:ANW524230 AXR524024:AXS524230 BHN524024:BHO524230 BRJ524024:BRK524230 CBF524024:CBG524230 CLB524024:CLC524230 CUX524024:CUY524230 DET524024:DEU524230 DOP524024:DOQ524230 DYL524024:DYM524230 EIH524024:EII524230 ESD524024:ESE524230 FBZ524024:FCA524230 FLV524024:FLW524230 FVR524024:FVS524230 GFN524024:GFO524230 GPJ524024:GPK524230 GZF524024:GZG524230 HJB524024:HJC524230 HSX524024:HSY524230 ICT524024:ICU524230 IMP524024:IMQ524230 IWL524024:IWM524230 JGH524024:JGI524230 JQD524024:JQE524230 JZZ524024:KAA524230 KJV524024:KJW524230 KTR524024:KTS524230 LDN524024:LDO524230 LNJ524024:LNK524230 LXF524024:LXG524230 MHB524024:MHC524230 MQX524024:MQY524230 NAT524024:NAU524230 NKP524024:NKQ524230 NUL524024:NUM524230 OEH524024:OEI524230 OOD524024:OOE524230 OXZ524024:OYA524230 PHV524024:PHW524230 PRR524024:PRS524230 QBN524024:QBO524230 QLJ524024:QLK524230 QVF524024:QVG524230 RFB524024:RFC524230 ROX524024:ROY524230 RYT524024:RYU524230 SIP524024:SIQ524230 SSL524024:SSM524230 TCH524024:TCI524230 TMD524024:TME524230 TVZ524024:TWA524230 UFV524024:UFW524230 UPR524024:UPS524230 UZN524024:UZO524230 VJJ524024:VJK524230 VTF524024:VTG524230 WDB524024:WDC524230 WMX524024:WMY524230 WWT524024:WWU524230 AB589560:AC589766 KH589560:KI589766 UD589560:UE589766 ADZ589560:AEA589766 ANV589560:ANW589766 AXR589560:AXS589766 BHN589560:BHO589766 BRJ589560:BRK589766 CBF589560:CBG589766 CLB589560:CLC589766 CUX589560:CUY589766 DET589560:DEU589766 DOP589560:DOQ589766 DYL589560:DYM589766 EIH589560:EII589766 ESD589560:ESE589766 FBZ589560:FCA589766 FLV589560:FLW589766 FVR589560:FVS589766 GFN589560:GFO589766 GPJ589560:GPK589766 GZF589560:GZG589766 HJB589560:HJC589766 HSX589560:HSY589766 ICT589560:ICU589766 IMP589560:IMQ589766 IWL589560:IWM589766 JGH589560:JGI589766 JQD589560:JQE589766 JZZ589560:KAA589766 KJV589560:KJW589766 KTR589560:KTS589766 LDN589560:LDO589766 LNJ589560:LNK589766 LXF589560:LXG589766 MHB589560:MHC589766 MQX589560:MQY589766 NAT589560:NAU589766 NKP589560:NKQ589766 NUL589560:NUM589766 OEH589560:OEI589766 OOD589560:OOE589766 OXZ589560:OYA589766 PHV589560:PHW589766 PRR589560:PRS589766 QBN589560:QBO589766 QLJ589560:QLK589766 QVF589560:QVG589766 RFB589560:RFC589766 ROX589560:ROY589766 RYT589560:RYU589766 SIP589560:SIQ589766 SSL589560:SSM589766 TCH589560:TCI589766 TMD589560:TME589766 TVZ589560:TWA589766 UFV589560:UFW589766 UPR589560:UPS589766 UZN589560:UZO589766 VJJ589560:VJK589766 VTF589560:VTG589766 WDB589560:WDC589766 WMX589560:WMY589766 WWT589560:WWU589766 AB655096:AC655302 KH655096:KI655302 UD655096:UE655302 ADZ655096:AEA655302 ANV655096:ANW655302 AXR655096:AXS655302 BHN655096:BHO655302 BRJ655096:BRK655302 CBF655096:CBG655302 CLB655096:CLC655302 CUX655096:CUY655302 DET655096:DEU655302 DOP655096:DOQ655302 DYL655096:DYM655302 EIH655096:EII655302 ESD655096:ESE655302 FBZ655096:FCA655302 FLV655096:FLW655302 FVR655096:FVS655302 GFN655096:GFO655302 GPJ655096:GPK655302 GZF655096:GZG655302 HJB655096:HJC655302 HSX655096:HSY655302 ICT655096:ICU655302 IMP655096:IMQ655302 IWL655096:IWM655302 JGH655096:JGI655302 JQD655096:JQE655302 JZZ655096:KAA655302 KJV655096:KJW655302 KTR655096:KTS655302 LDN655096:LDO655302 LNJ655096:LNK655302 LXF655096:LXG655302 MHB655096:MHC655302 MQX655096:MQY655302 NAT655096:NAU655302 NKP655096:NKQ655302 NUL655096:NUM655302 OEH655096:OEI655302 OOD655096:OOE655302 OXZ655096:OYA655302 PHV655096:PHW655302 PRR655096:PRS655302 QBN655096:QBO655302 QLJ655096:QLK655302 QVF655096:QVG655302 RFB655096:RFC655302 ROX655096:ROY655302 RYT655096:RYU655302 SIP655096:SIQ655302 SSL655096:SSM655302 TCH655096:TCI655302 TMD655096:TME655302 TVZ655096:TWA655302 UFV655096:UFW655302 UPR655096:UPS655302 UZN655096:UZO655302 VJJ655096:VJK655302 VTF655096:VTG655302 WDB655096:WDC655302 WMX655096:WMY655302 WWT655096:WWU655302 AB720632:AC720838 KH720632:KI720838 UD720632:UE720838 ADZ720632:AEA720838 ANV720632:ANW720838 AXR720632:AXS720838 BHN720632:BHO720838 BRJ720632:BRK720838 CBF720632:CBG720838 CLB720632:CLC720838 CUX720632:CUY720838 DET720632:DEU720838 DOP720632:DOQ720838 DYL720632:DYM720838 EIH720632:EII720838 ESD720632:ESE720838 FBZ720632:FCA720838 FLV720632:FLW720838 FVR720632:FVS720838 GFN720632:GFO720838 GPJ720632:GPK720838 GZF720632:GZG720838 HJB720632:HJC720838 HSX720632:HSY720838 ICT720632:ICU720838 IMP720632:IMQ720838 IWL720632:IWM720838 JGH720632:JGI720838 JQD720632:JQE720838 JZZ720632:KAA720838 KJV720632:KJW720838 KTR720632:KTS720838 LDN720632:LDO720838 LNJ720632:LNK720838 LXF720632:LXG720838 MHB720632:MHC720838 MQX720632:MQY720838 NAT720632:NAU720838 NKP720632:NKQ720838 NUL720632:NUM720838 OEH720632:OEI720838 OOD720632:OOE720838 OXZ720632:OYA720838 PHV720632:PHW720838 PRR720632:PRS720838 QBN720632:QBO720838 QLJ720632:QLK720838 QVF720632:QVG720838 RFB720632:RFC720838 ROX720632:ROY720838 RYT720632:RYU720838 SIP720632:SIQ720838 SSL720632:SSM720838 TCH720632:TCI720838 TMD720632:TME720838 TVZ720632:TWA720838 UFV720632:UFW720838 UPR720632:UPS720838 UZN720632:UZO720838 VJJ720632:VJK720838 VTF720632:VTG720838 WDB720632:WDC720838 WMX720632:WMY720838 WWT720632:WWU720838 AB786168:AC786374 KH786168:KI786374 UD786168:UE786374 ADZ786168:AEA786374 ANV786168:ANW786374 AXR786168:AXS786374 BHN786168:BHO786374 BRJ786168:BRK786374 CBF786168:CBG786374 CLB786168:CLC786374 CUX786168:CUY786374 DET786168:DEU786374 DOP786168:DOQ786374 DYL786168:DYM786374 EIH786168:EII786374 ESD786168:ESE786374 FBZ786168:FCA786374 FLV786168:FLW786374 FVR786168:FVS786374 GFN786168:GFO786374 GPJ786168:GPK786374 GZF786168:GZG786374 HJB786168:HJC786374 HSX786168:HSY786374 ICT786168:ICU786374 IMP786168:IMQ786374 IWL786168:IWM786374 JGH786168:JGI786374 JQD786168:JQE786374 JZZ786168:KAA786374 KJV786168:KJW786374 KTR786168:KTS786374 LDN786168:LDO786374 LNJ786168:LNK786374 LXF786168:LXG786374 MHB786168:MHC786374 MQX786168:MQY786374 NAT786168:NAU786374 NKP786168:NKQ786374 NUL786168:NUM786374 OEH786168:OEI786374 OOD786168:OOE786374 OXZ786168:OYA786374 PHV786168:PHW786374 PRR786168:PRS786374 QBN786168:QBO786374 QLJ786168:QLK786374 QVF786168:QVG786374 RFB786168:RFC786374 ROX786168:ROY786374 RYT786168:RYU786374 SIP786168:SIQ786374 SSL786168:SSM786374 TCH786168:TCI786374 TMD786168:TME786374 TVZ786168:TWA786374 UFV786168:UFW786374 UPR786168:UPS786374 UZN786168:UZO786374 VJJ786168:VJK786374 VTF786168:VTG786374 WDB786168:WDC786374 WMX786168:WMY786374 WWT786168:WWU786374 AB851704:AC851910 KH851704:KI851910 UD851704:UE851910 ADZ851704:AEA851910 ANV851704:ANW851910 AXR851704:AXS851910 BHN851704:BHO851910 BRJ851704:BRK851910 CBF851704:CBG851910 CLB851704:CLC851910 CUX851704:CUY851910 DET851704:DEU851910 DOP851704:DOQ851910 DYL851704:DYM851910 EIH851704:EII851910 ESD851704:ESE851910 FBZ851704:FCA851910 FLV851704:FLW851910 FVR851704:FVS851910 GFN851704:GFO851910 GPJ851704:GPK851910 GZF851704:GZG851910 HJB851704:HJC851910 HSX851704:HSY851910 ICT851704:ICU851910 IMP851704:IMQ851910 IWL851704:IWM851910 JGH851704:JGI851910 JQD851704:JQE851910 JZZ851704:KAA851910 KJV851704:KJW851910 KTR851704:KTS851910 LDN851704:LDO851910 LNJ851704:LNK851910 LXF851704:LXG851910 MHB851704:MHC851910 MQX851704:MQY851910 NAT851704:NAU851910 NKP851704:NKQ851910 NUL851704:NUM851910 OEH851704:OEI851910 OOD851704:OOE851910 OXZ851704:OYA851910 PHV851704:PHW851910 PRR851704:PRS851910 QBN851704:QBO851910 QLJ851704:QLK851910 QVF851704:QVG851910 RFB851704:RFC851910 ROX851704:ROY851910 RYT851704:RYU851910 SIP851704:SIQ851910 SSL851704:SSM851910 TCH851704:TCI851910 TMD851704:TME851910 TVZ851704:TWA851910 UFV851704:UFW851910 UPR851704:UPS851910 UZN851704:UZO851910 VJJ851704:VJK851910 VTF851704:VTG851910 WDB851704:WDC851910 WMX851704:WMY851910 WWT851704:WWU851910 AB917240:AC917446 KH917240:KI917446 UD917240:UE917446 ADZ917240:AEA917446 ANV917240:ANW917446 AXR917240:AXS917446 BHN917240:BHO917446 BRJ917240:BRK917446 CBF917240:CBG917446 CLB917240:CLC917446 CUX917240:CUY917446 DET917240:DEU917446 DOP917240:DOQ917446 DYL917240:DYM917446 EIH917240:EII917446 ESD917240:ESE917446 FBZ917240:FCA917446 FLV917240:FLW917446 FVR917240:FVS917446 GFN917240:GFO917446 GPJ917240:GPK917446 GZF917240:GZG917446 HJB917240:HJC917446 HSX917240:HSY917446 ICT917240:ICU917446 IMP917240:IMQ917446 IWL917240:IWM917446 JGH917240:JGI917446 JQD917240:JQE917446 JZZ917240:KAA917446 KJV917240:KJW917446 KTR917240:KTS917446 LDN917240:LDO917446 LNJ917240:LNK917446 LXF917240:LXG917446 MHB917240:MHC917446 MQX917240:MQY917446 NAT917240:NAU917446 NKP917240:NKQ917446 NUL917240:NUM917446 OEH917240:OEI917446 OOD917240:OOE917446 OXZ917240:OYA917446 PHV917240:PHW917446 PRR917240:PRS917446 QBN917240:QBO917446 QLJ917240:QLK917446 QVF917240:QVG917446 RFB917240:RFC917446 ROX917240:ROY917446 RYT917240:RYU917446 SIP917240:SIQ917446 SSL917240:SSM917446 TCH917240:TCI917446 TMD917240:TME917446 TVZ917240:TWA917446 UFV917240:UFW917446 UPR917240:UPS917446 UZN917240:UZO917446 VJJ917240:VJK917446 VTF917240:VTG917446 WDB917240:WDC917446 WMX917240:WMY917446 WWT917240:WWU917446 AB982776:AC982982 KH982776:KI982982 UD982776:UE982982 ADZ982776:AEA982982 ANV982776:ANW982982 AXR982776:AXS982982 BHN982776:BHO982982 BRJ982776:BRK982982 CBF982776:CBG982982 CLB982776:CLC982982 CUX982776:CUY982982 DET982776:DEU982982 DOP982776:DOQ982982 DYL982776:DYM982982 EIH982776:EII982982 ESD982776:ESE982982 FBZ982776:FCA982982 FLV982776:FLW982982 FVR982776:FVS982982 GFN982776:GFO982982 GPJ982776:GPK982982 GZF982776:GZG982982 HJB982776:HJC982982 HSX982776:HSY982982 ICT982776:ICU982982 IMP982776:IMQ982982 IWL982776:IWM982982 JGH982776:JGI982982 JQD982776:JQE982982 JZZ982776:KAA982982 KJV982776:KJW982982 KTR982776:KTS982982 LDN982776:LDO982982 LNJ982776:LNK982982 LXF982776:LXG982982 MHB982776:MHC982982 MQX982776:MQY982982 NAT982776:NAU982982 NKP982776:NKQ982982 NUL982776:NUM982982 OEH982776:OEI982982 OOD982776:OOE982982 OXZ982776:OYA982982 PHV982776:PHW982982 PRR982776:PRS982982 QBN982776:QBO982982 QLJ982776:QLK982982 QVF982776:QVG982982 RFB982776:RFC982982 ROX982776:ROY982982 RYT982776:RYU982982 SIP982776:SIQ982982 SSL982776:SSM982982 TCH982776:TCI982982 TMD982776:TME982982 TVZ982776:TWA982982 UFV982776:UFW982982 UPR982776:UPS982982 UZN982776:UZO982982 VJJ982776:VJK982982 VTF982776:VTG982982 WDB982776:WDC982982 WMX982776:WMY982982 WWT982776:WWU982982 WWT5:WWU11 KH5:KI11 UD5:UE11 ADZ5:AEA11 ANV5:ANW11 AXR5:AXS11 BHN5:BHO11 BRJ5:BRK11 CBF5:CBG11 CLB5:CLC11 CUX5:CUY11 DET5:DEU11 DOP5:DOQ11 DYL5:DYM11 EIH5:EII11 ESD5:ESE11 FBZ5:FCA11 FLV5:FLW11 FVR5:FVS11 GFN5:GFO11 GPJ5:GPK11 GZF5:GZG11 HJB5:HJC11 HSX5:HSY11 ICT5:ICU11 IMP5:IMQ11 IWL5:IWM11 JGH5:JGI11 JQD5:JQE11 JZZ5:KAA11 KJV5:KJW11 KTR5:KTS11 LDN5:LDO11 LNJ5:LNK11 LXF5:LXG11 MHB5:MHC11 MQX5:MQY11 NAT5:NAU11 NKP5:NKQ11 NUL5:NUM11 OEH5:OEI11 OOD5:OOE11 OXZ5:OYA11 PHV5:PHW11 PRR5:PRS11 QBN5:QBO11 QLJ5:QLK11 QVF5:QVG11 RFB5:RFC11 ROX5:ROY11 RYT5:RYU11 SIP5:SIQ11 SSL5:SSM11 TCH5:TCI11 TMD5:TME11 TVZ5:TWA11 UFV5:UFW11 UPR5:UPS11 UZN5:UZO11 VJJ5:VJK11 VTF5:VTG11 WDB5:WDC11 WMX5:WMY11">
      <formula1>0</formula1>
      <formula2>100</formula2>
    </dataValidation>
    <dataValidation type="whole" allowBlank="1" showInputMessage="1" showErrorMessage="1" sqref="BC65272:BC65478 KZ65272:KZ65478 UV65272:UV65478 AER65272:AER65478 AON65272:AON65478 AYJ65272:AYJ65478 BIF65272:BIF65478 BSB65272:BSB65478 CBX65272:CBX65478 CLT65272:CLT65478 CVP65272:CVP65478 DFL65272:DFL65478 DPH65272:DPH65478 DZD65272:DZD65478 EIZ65272:EIZ65478 ESV65272:ESV65478 FCR65272:FCR65478 FMN65272:FMN65478 FWJ65272:FWJ65478 GGF65272:GGF65478 GQB65272:GQB65478 GZX65272:GZX65478 HJT65272:HJT65478 HTP65272:HTP65478 IDL65272:IDL65478 INH65272:INH65478 IXD65272:IXD65478 JGZ65272:JGZ65478 JQV65272:JQV65478 KAR65272:KAR65478 KKN65272:KKN65478 KUJ65272:KUJ65478 LEF65272:LEF65478 LOB65272:LOB65478 LXX65272:LXX65478 MHT65272:MHT65478 MRP65272:MRP65478 NBL65272:NBL65478 NLH65272:NLH65478 NVD65272:NVD65478 OEZ65272:OEZ65478 OOV65272:OOV65478 OYR65272:OYR65478 PIN65272:PIN65478 PSJ65272:PSJ65478 QCF65272:QCF65478 QMB65272:QMB65478 QVX65272:QVX65478 RFT65272:RFT65478 RPP65272:RPP65478 RZL65272:RZL65478 SJH65272:SJH65478 STD65272:STD65478 TCZ65272:TCZ65478 TMV65272:TMV65478 TWR65272:TWR65478 UGN65272:UGN65478 UQJ65272:UQJ65478 VAF65272:VAF65478 VKB65272:VKB65478 VTX65272:VTX65478 WDT65272:WDT65478 WNP65272:WNP65478 WXL65272:WXL65478 BC130808:BC131014 KZ130808:KZ131014 UV130808:UV131014 AER130808:AER131014 AON130808:AON131014 AYJ130808:AYJ131014 BIF130808:BIF131014 BSB130808:BSB131014 CBX130808:CBX131014 CLT130808:CLT131014 CVP130808:CVP131014 DFL130808:DFL131014 DPH130808:DPH131014 DZD130808:DZD131014 EIZ130808:EIZ131014 ESV130808:ESV131014 FCR130808:FCR131014 FMN130808:FMN131014 FWJ130808:FWJ131014 GGF130808:GGF131014 GQB130808:GQB131014 GZX130808:GZX131014 HJT130808:HJT131014 HTP130808:HTP131014 IDL130808:IDL131014 INH130808:INH131014 IXD130808:IXD131014 JGZ130808:JGZ131014 JQV130808:JQV131014 KAR130808:KAR131014 KKN130808:KKN131014 KUJ130808:KUJ131014 LEF130808:LEF131014 LOB130808:LOB131014 LXX130808:LXX131014 MHT130808:MHT131014 MRP130808:MRP131014 NBL130808:NBL131014 NLH130808:NLH131014 NVD130808:NVD131014 OEZ130808:OEZ131014 OOV130808:OOV131014 OYR130808:OYR131014 PIN130808:PIN131014 PSJ130808:PSJ131014 QCF130808:QCF131014 QMB130808:QMB131014 QVX130808:QVX131014 RFT130808:RFT131014 RPP130808:RPP131014 RZL130808:RZL131014 SJH130808:SJH131014 STD130808:STD131014 TCZ130808:TCZ131014 TMV130808:TMV131014 TWR130808:TWR131014 UGN130808:UGN131014 UQJ130808:UQJ131014 VAF130808:VAF131014 VKB130808:VKB131014 VTX130808:VTX131014 WDT130808:WDT131014 WNP130808:WNP131014 WXL130808:WXL131014 BC196344:BC196550 KZ196344:KZ196550 UV196344:UV196550 AER196344:AER196550 AON196344:AON196550 AYJ196344:AYJ196550 BIF196344:BIF196550 BSB196344:BSB196550 CBX196344:CBX196550 CLT196344:CLT196550 CVP196344:CVP196550 DFL196344:DFL196550 DPH196344:DPH196550 DZD196344:DZD196550 EIZ196344:EIZ196550 ESV196344:ESV196550 FCR196344:FCR196550 FMN196344:FMN196550 FWJ196344:FWJ196550 GGF196344:GGF196550 GQB196344:GQB196550 GZX196344:GZX196550 HJT196344:HJT196550 HTP196344:HTP196550 IDL196344:IDL196550 INH196344:INH196550 IXD196344:IXD196550 JGZ196344:JGZ196550 JQV196344:JQV196550 KAR196344:KAR196550 KKN196344:KKN196550 KUJ196344:KUJ196550 LEF196344:LEF196550 LOB196344:LOB196550 LXX196344:LXX196550 MHT196344:MHT196550 MRP196344:MRP196550 NBL196344:NBL196550 NLH196344:NLH196550 NVD196344:NVD196550 OEZ196344:OEZ196550 OOV196344:OOV196550 OYR196344:OYR196550 PIN196344:PIN196550 PSJ196344:PSJ196550 QCF196344:QCF196550 QMB196344:QMB196550 QVX196344:QVX196550 RFT196344:RFT196550 RPP196344:RPP196550 RZL196344:RZL196550 SJH196344:SJH196550 STD196344:STD196550 TCZ196344:TCZ196550 TMV196344:TMV196550 TWR196344:TWR196550 UGN196344:UGN196550 UQJ196344:UQJ196550 VAF196344:VAF196550 VKB196344:VKB196550 VTX196344:VTX196550 WDT196344:WDT196550 WNP196344:WNP196550 WXL196344:WXL196550 BC261880:BC262086 KZ261880:KZ262086 UV261880:UV262086 AER261880:AER262086 AON261880:AON262086 AYJ261880:AYJ262086 BIF261880:BIF262086 BSB261880:BSB262086 CBX261880:CBX262086 CLT261880:CLT262086 CVP261880:CVP262086 DFL261880:DFL262086 DPH261880:DPH262086 DZD261880:DZD262086 EIZ261880:EIZ262086 ESV261880:ESV262086 FCR261880:FCR262086 FMN261880:FMN262086 FWJ261880:FWJ262086 GGF261880:GGF262086 GQB261880:GQB262086 GZX261880:GZX262086 HJT261880:HJT262086 HTP261880:HTP262086 IDL261880:IDL262086 INH261880:INH262086 IXD261880:IXD262086 JGZ261880:JGZ262086 JQV261880:JQV262086 KAR261880:KAR262086 KKN261880:KKN262086 KUJ261880:KUJ262086 LEF261880:LEF262086 LOB261880:LOB262086 LXX261880:LXX262086 MHT261880:MHT262086 MRP261880:MRP262086 NBL261880:NBL262086 NLH261880:NLH262086 NVD261880:NVD262086 OEZ261880:OEZ262086 OOV261880:OOV262086 OYR261880:OYR262086 PIN261880:PIN262086 PSJ261880:PSJ262086 QCF261880:QCF262086 QMB261880:QMB262086 QVX261880:QVX262086 RFT261880:RFT262086 RPP261880:RPP262086 RZL261880:RZL262086 SJH261880:SJH262086 STD261880:STD262086 TCZ261880:TCZ262086 TMV261880:TMV262086 TWR261880:TWR262086 UGN261880:UGN262086 UQJ261880:UQJ262086 VAF261880:VAF262086 VKB261880:VKB262086 VTX261880:VTX262086 WDT261880:WDT262086 WNP261880:WNP262086 WXL261880:WXL262086 BC327416:BC327622 KZ327416:KZ327622 UV327416:UV327622 AER327416:AER327622 AON327416:AON327622 AYJ327416:AYJ327622 BIF327416:BIF327622 BSB327416:BSB327622 CBX327416:CBX327622 CLT327416:CLT327622 CVP327416:CVP327622 DFL327416:DFL327622 DPH327416:DPH327622 DZD327416:DZD327622 EIZ327416:EIZ327622 ESV327416:ESV327622 FCR327416:FCR327622 FMN327416:FMN327622 FWJ327416:FWJ327622 GGF327416:GGF327622 GQB327416:GQB327622 GZX327416:GZX327622 HJT327416:HJT327622 HTP327416:HTP327622 IDL327416:IDL327622 INH327416:INH327622 IXD327416:IXD327622 JGZ327416:JGZ327622 JQV327416:JQV327622 KAR327416:KAR327622 KKN327416:KKN327622 KUJ327416:KUJ327622 LEF327416:LEF327622 LOB327416:LOB327622 LXX327416:LXX327622 MHT327416:MHT327622 MRP327416:MRP327622 NBL327416:NBL327622 NLH327416:NLH327622 NVD327416:NVD327622 OEZ327416:OEZ327622 OOV327416:OOV327622 OYR327416:OYR327622 PIN327416:PIN327622 PSJ327416:PSJ327622 QCF327416:QCF327622 QMB327416:QMB327622 QVX327416:QVX327622 RFT327416:RFT327622 RPP327416:RPP327622 RZL327416:RZL327622 SJH327416:SJH327622 STD327416:STD327622 TCZ327416:TCZ327622 TMV327416:TMV327622 TWR327416:TWR327622 UGN327416:UGN327622 UQJ327416:UQJ327622 VAF327416:VAF327622 VKB327416:VKB327622 VTX327416:VTX327622 WDT327416:WDT327622 WNP327416:WNP327622 WXL327416:WXL327622 BC392952:BC393158 KZ392952:KZ393158 UV392952:UV393158 AER392952:AER393158 AON392952:AON393158 AYJ392952:AYJ393158 BIF392952:BIF393158 BSB392952:BSB393158 CBX392952:CBX393158 CLT392952:CLT393158 CVP392952:CVP393158 DFL392952:DFL393158 DPH392952:DPH393158 DZD392952:DZD393158 EIZ392952:EIZ393158 ESV392952:ESV393158 FCR392952:FCR393158 FMN392952:FMN393158 FWJ392952:FWJ393158 GGF392952:GGF393158 GQB392952:GQB393158 GZX392952:GZX393158 HJT392952:HJT393158 HTP392952:HTP393158 IDL392952:IDL393158 INH392952:INH393158 IXD392952:IXD393158 JGZ392952:JGZ393158 JQV392952:JQV393158 KAR392952:KAR393158 KKN392952:KKN393158 KUJ392952:KUJ393158 LEF392952:LEF393158 LOB392952:LOB393158 LXX392952:LXX393158 MHT392952:MHT393158 MRP392952:MRP393158 NBL392952:NBL393158 NLH392952:NLH393158 NVD392952:NVD393158 OEZ392952:OEZ393158 OOV392952:OOV393158 OYR392952:OYR393158 PIN392952:PIN393158 PSJ392952:PSJ393158 QCF392952:QCF393158 QMB392952:QMB393158 QVX392952:QVX393158 RFT392952:RFT393158 RPP392952:RPP393158 RZL392952:RZL393158 SJH392952:SJH393158 STD392952:STD393158 TCZ392952:TCZ393158 TMV392952:TMV393158 TWR392952:TWR393158 UGN392952:UGN393158 UQJ392952:UQJ393158 VAF392952:VAF393158 VKB392952:VKB393158 VTX392952:VTX393158 WDT392952:WDT393158 WNP392952:WNP393158 WXL392952:WXL393158 BC458488:BC458694 KZ458488:KZ458694 UV458488:UV458694 AER458488:AER458694 AON458488:AON458694 AYJ458488:AYJ458694 BIF458488:BIF458694 BSB458488:BSB458694 CBX458488:CBX458694 CLT458488:CLT458694 CVP458488:CVP458694 DFL458488:DFL458694 DPH458488:DPH458694 DZD458488:DZD458694 EIZ458488:EIZ458694 ESV458488:ESV458694 FCR458488:FCR458694 FMN458488:FMN458694 FWJ458488:FWJ458694 GGF458488:GGF458694 GQB458488:GQB458694 GZX458488:GZX458694 HJT458488:HJT458694 HTP458488:HTP458694 IDL458488:IDL458694 INH458488:INH458694 IXD458488:IXD458694 JGZ458488:JGZ458694 JQV458488:JQV458694 KAR458488:KAR458694 KKN458488:KKN458694 KUJ458488:KUJ458694 LEF458488:LEF458694 LOB458488:LOB458694 LXX458488:LXX458694 MHT458488:MHT458694 MRP458488:MRP458694 NBL458488:NBL458694 NLH458488:NLH458694 NVD458488:NVD458694 OEZ458488:OEZ458694 OOV458488:OOV458694 OYR458488:OYR458694 PIN458488:PIN458694 PSJ458488:PSJ458694 QCF458488:QCF458694 QMB458488:QMB458694 QVX458488:QVX458694 RFT458488:RFT458694 RPP458488:RPP458694 RZL458488:RZL458694 SJH458488:SJH458694 STD458488:STD458694 TCZ458488:TCZ458694 TMV458488:TMV458694 TWR458488:TWR458694 UGN458488:UGN458694 UQJ458488:UQJ458694 VAF458488:VAF458694 VKB458488:VKB458694 VTX458488:VTX458694 WDT458488:WDT458694 WNP458488:WNP458694 WXL458488:WXL458694 BC524024:BC524230 KZ524024:KZ524230 UV524024:UV524230 AER524024:AER524230 AON524024:AON524230 AYJ524024:AYJ524230 BIF524024:BIF524230 BSB524024:BSB524230 CBX524024:CBX524230 CLT524024:CLT524230 CVP524024:CVP524230 DFL524024:DFL524230 DPH524024:DPH524230 DZD524024:DZD524230 EIZ524024:EIZ524230 ESV524024:ESV524230 FCR524024:FCR524230 FMN524024:FMN524230 FWJ524024:FWJ524230 GGF524024:GGF524230 GQB524024:GQB524230 GZX524024:GZX524230 HJT524024:HJT524230 HTP524024:HTP524230 IDL524024:IDL524230 INH524024:INH524230 IXD524024:IXD524230 JGZ524024:JGZ524230 JQV524024:JQV524230 KAR524024:KAR524230 KKN524024:KKN524230 KUJ524024:KUJ524230 LEF524024:LEF524230 LOB524024:LOB524230 LXX524024:LXX524230 MHT524024:MHT524230 MRP524024:MRP524230 NBL524024:NBL524230 NLH524024:NLH524230 NVD524024:NVD524230 OEZ524024:OEZ524230 OOV524024:OOV524230 OYR524024:OYR524230 PIN524024:PIN524230 PSJ524024:PSJ524230 QCF524024:QCF524230 QMB524024:QMB524230 QVX524024:QVX524230 RFT524024:RFT524230 RPP524024:RPP524230 RZL524024:RZL524230 SJH524024:SJH524230 STD524024:STD524230 TCZ524024:TCZ524230 TMV524024:TMV524230 TWR524024:TWR524230 UGN524024:UGN524230 UQJ524024:UQJ524230 VAF524024:VAF524230 VKB524024:VKB524230 VTX524024:VTX524230 WDT524024:WDT524230 WNP524024:WNP524230 WXL524024:WXL524230 BC589560:BC589766 KZ589560:KZ589766 UV589560:UV589766 AER589560:AER589766 AON589560:AON589766 AYJ589560:AYJ589766 BIF589560:BIF589766 BSB589560:BSB589766 CBX589560:CBX589766 CLT589560:CLT589766 CVP589560:CVP589766 DFL589560:DFL589766 DPH589560:DPH589766 DZD589560:DZD589766 EIZ589560:EIZ589766 ESV589560:ESV589766 FCR589560:FCR589766 FMN589560:FMN589766 FWJ589560:FWJ589766 GGF589560:GGF589766 GQB589560:GQB589766 GZX589560:GZX589766 HJT589560:HJT589766 HTP589560:HTP589766 IDL589560:IDL589766 INH589560:INH589766 IXD589560:IXD589766 JGZ589560:JGZ589766 JQV589560:JQV589766 KAR589560:KAR589766 KKN589560:KKN589766 KUJ589560:KUJ589766 LEF589560:LEF589766 LOB589560:LOB589766 LXX589560:LXX589766 MHT589560:MHT589766 MRP589560:MRP589766 NBL589560:NBL589766 NLH589560:NLH589766 NVD589560:NVD589766 OEZ589560:OEZ589766 OOV589560:OOV589766 OYR589560:OYR589766 PIN589560:PIN589766 PSJ589560:PSJ589766 QCF589560:QCF589766 QMB589560:QMB589766 QVX589560:QVX589766 RFT589560:RFT589766 RPP589560:RPP589766 RZL589560:RZL589766 SJH589560:SJH589766 STD589560:STD589766 TCZ589560:TCZ589766 TMV589560:TMV589766 TWR589560:TWR589766 UGN589560:UGN589766 UQJ589560:UQJ589766 VAF589560:VAF589766 VKB589560:VKB589766 VTX589560:VTX589766 WDT589560:WDT589766 WNP589560:WNP589766 WXL589560:WXL589766 BC655096:BC655302 KZ655096:KZ655302 UV655096:UV655302 AER655096:AER655302 AON655096:AON655302 AYJ655096:AYJ655302 BIF655096:BIF655302 BSB655096:BSB655302 CBX655096:CBX655302 CLT655096:CLT655302 CVP655096:CVP655302 DFL655096:DFL655302 DPH655096:DPH655302 DZD655096:DZD655302 EIZ655096:EIZ655302 ESV655096:ESV655302 FCR655096:FCR655302 FMN655096:FMN655302 FWJ655096:FWJ655302 GGF655096:GGF655302 GQB655096:GQB655302 GZX655096:GZX655302 HJT655096:HJT655302 HTP655096:HTP655302 IDL655096:IDL655302 INH655096:INH655302 IXD655096:IXD655302 JGZ655096:JGZ655302 JQV655096:JQV655302 KAR655096:KAR655302 KKN655096:KKN655302 KUJ655096:KUJ655302 LEF655096:LEF655302 LOB655096:LOB655302 LXX655096:LXX655302 MHT655096:MHT655302 MRP655096:MRP655302 NBL655096:NBL655302 NLH655096:NLH655302 NVD655096:NVD655302 OEZ655096:OEZ655302 OOV655096:OOV655302 OYR655096:OYR655302 PIN655096:PIN655302 PSJ655096:PSJ655302 QCF655096:QCF655302 QMB655096:QMB655302 QVX655096:QVX655302 RFT655096:RFT655302 RPP655096:RPP655302 RZL655096:RZL655302 SJH655096:SJH655302 STD655096:STD655302 TCZ655096:TCZ655302 TMV655096:TMV655302 TWR655096:TWR655302 UGN655096:UGN655302 UQJ655096:UQJ655302 VAF655096:VAF655302 VKB655096:VKB655302 VTX655096:VTX655302 WDT655096:WDT655302 WNP655096:WNP655302 WXL655096:WXL655302 BC720632:BC720838 KZ720632:KZ720838 UV720632:UV720838 AER720632:AER720838 AON720632:AON720838 AYJ720632:AYJ720838 BIF720632:BIF720838 BSB720632:BSB720838 CBX720632:CBX720838 CLT720632:CLT720838 CVP720632:CVP720838 DFL720632:DFL720838 DPH720632:DPH720838 DZD720632:DZD720838 EIZ720632:EIZ720838 ESV720632:ESV720838 FCR720632:FCR720838 FMN720632:FMN720838 FWJ720632:FWJ720838 GGF720632:GGF720838 GQB720632:GQB720838 GZX720632:GZX720838 HJT720632:HJT720838 HTP720632:HTP720838 IDL720632:IDL720838 INH720632:INH720838 IXD720632:IXD720838 JGZ720632:JGZ720838 JQV720632:JQV720838 KAR720632:KAR720838 KKN720632:KKN720838 KUJ720632:KUJ720838 LEF720632:LEF720838 LOB720632:LOB720838 LXX720632:LXX720838 MHT720632:MHT720838 MRP720632:MRP720838 NBL720632:NBL720838 NLH720632:NLH720838 NVD720632:NVD720838 OEZ720632:OEZ720838 OOV720632:OOV720838 OYR720632:OYR720838 PIN720632:PIN720838 PSJ720632:PSJ720838 QCF720632:QCF720838 QMB720632:QMB720838 QVX720632:QVX720838 RFT720632:RFT720838 RPP720632:RPP720838 RZL720632:RZL720838 SJH720632:SJH720838 STD720632:STD720838 TCZ720632:TCZ720838 TMV720632:TMV720838 TWR720632:TWR720838 UGN720632:UGN720838 UQJ720632:UQJ720838 VAF720632:VAF720838 VKB720632:VKB720838 VTX720632:VTX720838 WDT720632:WDT720838 WNP720632:WNP720838 WXL720632:WXL720838 BC786168:BC786374 KZ786168:KZ786374 UV786168:UV786374 AER786168:AER786374 AON786168:AON786374 AYJ786168:AYJ786374 BIF786168:BIF786374 BSB786168:BSB786374 CBX786168:CBX786374 CLT786168:CLT786374 CVP786168:CVP786374 DFL786168:DFL786374 DPH786168:DPH786374 DZD786168:DZD786374 EIZ786168:EIZ786374 ESV786168:ESV786374 FCR786168:FCR786374 FMN786168:FMN786374 FWJ786168:FWJ786374 GGF786168:GGF786374 GQB786168:GQB786374 GZX786168:GZX786374 HJT786168:HJT786374 HTP786168:HTP786374 IDL786168:IDL786374 INH786168:INH786374 IXD786168:IXD786374 JGZ786168:JGZ786374 JQV786168:JQV786374 KAR786168:KAR786374 KKN786168:KKN786374 KUJ786168:KUJ786374 LEF786168:LEF786374 LOB786168:LOB786374 LXX786168:LXX786374 MHT786168:MHT786374 MRP786168:MRP786374 NBL786168:NBL786374 NLH786168:NLH786374 NVD786168:NVD786374 OEZ786168:OEZ786374 OOV786168:OOV786374 OYR786168:OYR786374 PIN786168:PIN786374 PSJ786168:PSJ786374 QCF786168:QCF786374 QMB786168:QMB786374 QVX786168:QVX786374 RFT786168:RFT786374 RPP786168:RPP786374 RZL786168:RZL786374 SJH786168:SJH786374 STD786168:STD786374 TCZ786168:TCZ786374 TMV786168:TMV786374 TWR786168:TWR786374 UGN786168:UGN786374 UQJ786168:UQJ786374 VAF786168:VAF786374 VKB786168:VKB786374 VTX786168:VTX786374 WDT786168:WDT786374 WNP786168:WNP786374 WXL786168:WXL786374 BC851704:BC851910 KZ851704:KZ851910 UV851704:UV851910 AER851704:AER851910 AON851704:AON851910 AYJ851704:AYJ851910 BIF851704:BIF851910 BSB851704:BSB851910 CBX851704:CBX851910 CLT851704:CLT851910 CVP851704:CVP851910 DFL851704:DFL851910 DPH851704:DPH851910 DZD851704:DZD851910 EIZ851704:EIZ851910 ESV851704:ESV851910 FCR851704:FCR851910 FMN851704:FMN851910 FWJ851704:FWJ851910 GGF851704:GGF851910 GQB851704:GQB851910 GZX851704:GZX851910 HJT851704:HJT851910 HTP851704:HTP851910 IDL851704:IDL851910 INH851704:INH851910 IXD851704:IXD851910 JGZ851704:JGZ851910 JQV851704:JQV851910 KAR851704:KAR851910 KKN851704:KKN851910 KUJ851704:KUJ851910 LEF851704:LEF851910 LOB851704:LOB851910 LXX851704:LXX851910 MHT851704:MHT851910 MRP851704:MRP851910 NBL851704:NBL851910 NLH851704:NLH851910 NVD851704:NVD851910 OEZ851704:OEZ851910 OOV851704:OOV851910 OYR851704:OYR851910 PIN851704:PIN851910 PSJ851704:PSJ851910 QCF851704:QCF851910 QMB851704:QMB851910 QVX851704:QVX851910 RFT851704:RFT851910 RPP851704:RPP851910 RZL851704:RZL851910 SJH851704:SJH851910 STD851704:STD851910 TCZ851704:TCZ851910 TMV851704:TMV851910 TWR851704:TWR851910 UGN851704:UGN851910 UQJ851704:UQJ851910 VAF851704:VAF851910 VKB851704:VKB851910 VTX851704:VTX851910 WDT851704:WDT851910 WNP851704:WNP851910 WXL851704:WXL851910 BC917240:BC917446 KZ917240:KZ917446 UV917240:UV917446 AER917240:AER917446 AON917240:AON917446 AYJ917240:AYJ917446 BIF917240:BIF917446 BSB917240:BSB917446 CBX917240:CBX917446 CLT917240:CLT917446 CVP917240:CVP917446 DFL917240:DFL917446 DPH917240:DPH917446 DZD917240:DZD917446 EIZ917240:EIZ917446 ESV917240:ESV917446 FCR917240:FCR917446 FMN917240:FMN917446 FWJ917240:FWJ917446 GGF917240:GGF917446 GQB917240:GQB917446 GZX917240:GZX917446 HJT917240:HJT917446 HTP917240:HTP917446 IDL917240:IDL917446 INH917240:INH917446 IXD917240:IXD917446 JGZ917240:JGZ917446 JQV917240:JQV917446 KAR917240:KAR917446 KKN917240:KKN917446 KUJ917240:KUJ917446 LEF917240:LEF917446 LOB917240:LOB917446 LXX917240:LXX917446 MHT917240:MHT917446 MRP917240:MRP917446 NBL917240:NBL917446 NLH917240:NLH917446 NVD917240:NVD917446 OEZ917240:OEZ917446 OOV917240:OOV917446 OYR917240:OYR917446 PIN917240:PIN917446 PSJ917240:PSJ917446 QCF917240:QCF917446 QMB917240:QMB917446 QVX917240:QVX917446 RFT917240:RFT917446 RPP917240:RPP917446 RZL917240:RZL917446 SJH917240:SJH917446 STD917240:STD917446 TCZ917240:TCZ917446 TMV917240:TMV917446 TWR917240:TWR917446 UGN917240:UGN917446 UQJ917240:UQJ917446 VAF917240:VAF917446 VKB917240:VKB917446 VTX917240:VTX917446 WDT917240:WDT917446 WNP917240:WNP917446 WXL917240:WXL917446 BC982776:BC982982 KZ982776:KZ982982 UV982776:UV982982 AER982776:AER982982 AON982776:AON982982 AYJ982776:AYJ982982 BIF982776:BIF982982 BSB982776:BSB982982 CBX982776:CBX982982 CLT982776:CLT982982 CVP982776:CVP982982 DFL982776:DFL982982 DPH982776:DPH982982 DZD982776:DZD982982 EIZ982776:EIZ982982 ESV982776:ESV982982 FCR982776:FCR982982 FMN982776:FMN982982 FWJ982776:FWJ982982 GGF982776:GGF982982 GQB982776:GQB982982 GZX982776:GZX982982 HJT982776:HJT982982 HTP982776:HTP982982 IDL982776:IDL982982 INH982776:INH982982 IXD982776:IXD982982 JGZ982776:JGZ982982 JQV982776:JQV982982 KAR982776:KAR982982 KKN982776:KKN982982 KUJ982776:KUJ982982 LEF982776:LEF982982 LOB982776:LOB982982 LXX982776:LXX982982 MHT982776:MHT982982 MRP982776:MRP982982 NBL982776:NBL982982 NLH982776:NLH982982 NVD982776:NVD982982 OEZ982776:OEZ982982 OOV982776:OOV982982 OYR982776:OYR982982 PIN982776:PIN982982 PSJ982776:PSJ982982 QCF982776:QCF982982 QMB982776:QMB982982 QVX982776:QVX982982 RFT982776:RFT982982 RPP982776:RPP982982 RZL982776:RZL982982 SJH982776:SJH982982 STD982776:STD982982 TCZ982776:TCZ982982 TMV982776:TMV982982 TWR982776:TWR982982 UGN982776:UGN982982 UQJ982776:UQJ982982 VAF982776:VAF982982 VKB982776:VKB982982 VTX982776:VTX982982 WDT982776:WDT982982 WNP982776:WNP982982 WXL982776:WXL982982 WXL5:WXL11 KZ5:KZ11 UV5:UV11 AER5:AER11 AON5:AON11 AYJ5:AYJ11 BIF5:BIF11 BSB5:BSB11 CBX5:CBX11 CLT5:CLT11 CVP5:CVP11 DFL5:DFL11 DPH5:DPH11 DZD5:DZD11 EIZ5:EIZ11 ESV5:ESV11 FCR5:FCR11 FMN5:FMN11 FWJ5:FWJ11 GGF5:GGF11 GQB5:GQB11 GZX5:GZX11 HJT5:HJT11 HTP5:HTP11 IDL5:IDL11 INH5:INH11 IXD5:IXD11 JGZ5:JGZ11 JQV5:JQV11 KAR5:KAR11 KKN5:KKN11 KUJ5:KUJ11 LEF5:LEF11 LOB5:LOB11 LXX5:LXX11 MHT5:MHT11 MRP5:MRP11 NBL5:NBL11 NLH5:NLH11 NVD5:NVD11 OEZ5:OEZ11 OOV5:OOV11 OYR5:OYR11 PIN5:PIN11 PSJ5:PSJ11 QCF5:QCF11 QMB5:QMB11 QVX5:QVX11 RFT5:RFT11 RPP5:RPP11 RZL5:RZL11 SJH5:SJH11 STD5:STD11 TCZ5:TCZ11 TMV5:TMV11 TWR5:TWR11 UGN5:UGN11 UQJ5:UQJ11 VAF5:VAF11 VKB5:VKB11 VTX5:VTX11 WDT5:WDT11 WNP5:WNP11">
      <formula1>0</formula1>
      <formula2>100000</formula2>
    </dataValidation>
    <dataValidation type="list" allowBlank="1" showInputMessage="1" showErrorMessage="1" sqref="X65272:X65474 WWP982776:WWP982978 WMT982776:WMT982978 WCX982776:WCX982978 VTB982776:VTB982978 VJF982776:VJF982978 UZJ982776:UZJ982978 UPN982776:UPN982978 UFR982776:UFR982978 TVV982776:TVV982978 TLZ982776:TLZ982978 TCD982776:TCD982978 SSH982776:SSH982978 SIL982776:SIL982978 RYP982776:RYP982978 ROT982776:ROT982978 REX982776:REX982978 QVB982776:QVB982978 QLF982776:QLF982978 QBJ982776:QBJ982978 PRN982776:PRN982978 PHR982776:PHR982978 OXV982776:OXV982978 ONZ982776:ONZ982978 OED982776:OED982978 NUH982776:NUH982978 NKL982776:NKL982978 NAP982776:NAP982978 MQT982776:MQT982978 MGX982776:MGX982978 LXB982776:LXB982978 LNF982776:LNF982978 LDJ982776:LDJ982978 KTN982776:KTN982978 KJR982776:KJR982978 JZV982776:JZV982978 JPZ982776:JPZ982978 JGD982776:JGD982978 IWH982776:IWH982978 IML982776:IML982978 ICP982776:ICP982978 HST982776:HST982978 HIX982776:HIX982978 GZB982776:GZB982978 GPF982776:GPF982978 GFJ982776:GFJ982978 FVN982776:FVN982978 FLR982776:FLR982978 FBV982776:FBV982978 ERZ982776:ERZ982978 EID982776:EID982978 DYH982776:DYH982978 DOL982776:DOL982978 DEP982776:DEP982978 CUT982776:CUT982978 CKX982776:CKX982978 CBB982776:CBB982978 BRF982776:BRF982978 BHJ982776:BHJ982978 AXN982776:AXN982978 ANR982776:ANR982978 ADV982776:ADV982978 TZ982776:TZ982978 KD982776:KD982978 X982776:X982978 WWP917240:WWP917442 WMT917240:WMT917442 WCX917240:WCX917442 VTB917240:VTB917442 VJF917240:VJF917442 UZJ917240:UZJ917442 UPN917240:UPN917442 UFR917240:UFR917442 TVV917240:TVV917442 TLZ917240:TLZ917442 TCD917240:TCD917442 SSH917240:SSH917442 SIL917240:SIL917442 RYP917240:RYP917442 ROT917240:ROT917442 REX917240:REX917442 QVB917240:QVB917442 QLF917240:QLF917442 QBJ917240:QBJ917442 PRN917240:PRN917442 PHR917240:PHR917442 OXV917240:OXV917442 ONZ917240:ONZ917442 OED917240:OED917442 NUH917240:NUH917442 NKL917240:NKL917442 NAP917240:NAP917442 MQT917240:MQT917442 MGX917240:MGX917442 LXB917240:LXB917442 LNF917240:LNF917442 LDJ917240:LDJ917442 KTN917240:KTN917442 KJR917240:KJR917442 JZV917240:JZV917442 JPZ917240:JPZ917442 JGD917240:JGD917442 IWH917240:IWH917442 IML917240:IML917442 ICP917240:ICP917442 HST917240:HST917442 HIX917240:HIX917442 GZB917240:GZB917442 GPF917240:GPF917442 GFJ917240:GFJ917442 FVN917240:FVN917442 FLR917240:FLR917442 FBV917240:FBV917442 ERZ917240:ERZ917442 EID917240:EID917442 DYH917240:DYH917442 DOL917240:DOL917442 DEP917240:DEP917442 CUT917240:CUT917442 CKX917240:CKX917442 CBB917240:CBB917442 BRF917240:BRF917442 BHJ917240:BHJ917442 AXN917240:AXN917442 ANR917240:ANR917442 ADV917240:ADV917442 TZ917240:TZ917442 KD917240:KD917442 X917240:X917442 WWP851704:WWP851906 WMT851704:WMT851906 WCX851704:WCX851906 VTB851704:VTB851906 VJF851704:VJF851906 UZJ851704:UZJ851906 UPN851704:UPN851906 UFR851704:UFR851906 TVV851704:TVV851906 TLZ851704:TLZ851906 TCD851704:TCD851906 SSH851704:SSH851906 SIL851704:SIL851906 RYP851704:RYP851906 ROT851704:ROT851906 REX851704:REX851906 QVB851704:QVB851906 QLF851704:QLF851906 QBJ851704:QBJ851906 PRN851704:PRN851906 PHR851704:PHR851906 OXV851704:OXV851906 ONZ851704:ONZ851906 OED851704:OED851906 NUH851704:NUH851906 NKL851704:NKL851906 NAP851704:NAP851906 MQT851704:MQT851906 MGX851704:MGX851906 LXB851704:LXB851906 LNF851704:LNF851906 LDJ851704:LDJ851906 KTN851704:KTN851906 KJR851704:KJR851906 JZV851704:JZV851906 JPZ851704:JPZ851906 JGD851704:JGD851906 IWH851704:IWH851906 IML851704:IML851906 ICP851704:ICP851906 HST851704:HST851906 HIX851704:HIX851906 GZB851704:GZB851906 GPF851704:GPF851906 GFJ851704:GFJ851906 FVN851704:FVN851906 FLR851704:FLR851906 FBV851704:FBV851906 ERZ851704:ERZ851906 EID851704:EID851906 DYH851704:DYH851906 DOL851704:DOL851906 DEP851704:DEP851906 CUT851704:CUT851906 CKX851704:CKX851906 CBB851704:CBB851906 BRF851704:BRF851906 BHJ851704:BHJ851906 AXN851704:AXN851906 ANR851704:ANR851906 ADV851704:ADV851906 TZ851704:TZ851906 KD851704:KD851906 X851704:X851906 WWP786168:WWP786370 WMT786168:WMT786370 WCX786168:WCX786370 VTB786168:VTB786370 VJF786168:VJF786370 UZJ786168:UZJ786370 UPN786168:UPN786370 UFR786168:UFR786370 TVV786168:TVV786370 TLZ786168:TLZ786370 TCD786168:TCD786370 SSH786168:SSH786370 SIL786168:SIL786370 RYP786168:RYP786370 ROT786168:ROT786370 REX786168:REX786370 QVB786168:QVB786370 QLF786168:QLF786370 QBJ786168:QBJ786370 PRN786168:PRN786370 PHR786168:PHR786370 OXV786168:OXV786370 ONZ786168:ONZ786370 OED786168:OED786370 NUH786168:NUH786370 NKL786168:NKL786370 NAP786168:NAP786370 MQT786168:MQT786370 MGX786168:MGX786370 LXB786168:LXB786370 LNF786168:LNF786370 LDJ786168:LDJ786370 KTN786168:KTN786370 KJR786168:KJR786370 JZV786168:JZV786370 JPZ786168:JPZ786370 JGD786168:JGD786370 IWH786168:IWH786370 IML786168:IML786370 ICP786168:ICP786370 HST786168:HST786370 HIX786168:HIX786370 GZB786168:GZB786370 GPF786168:GPF786370 GFJ786168:GFJ786370 FVN786168:FVN786370 FLR786168:FLR786370 FBV786168:FBV786370 ERZ786168:ERZ786370 EID786168:EID786370 DYH786168:DYH786370 DOL786168:DOL786370 DEP786168:DEP786370 CUT786168:CUT786370 CKX786168:CKX786370 CBB786168:CBB786370 BRF786168:BRF786370 BHJ786168:BHJ786370 AXN786168:AXN786370 ANR786168:ANR786370 ADV786168:ADV786370 TZ786168:TZ786370 KD786168:KD786370 X786168:X786370 WWP720632:WWP720834 WMT720632:WMT720834 WCX720632:WCX720834 VTB720632:VTB720834 VJF720632:VJF720834 UZJ720632:UZJ720834 UPN720632:UPN720834 UFR720632:UFR720834 TVV720632:TVV720834 TLZ720632:TLZ720834 TCD720632:TCD720834 SSH720632:SSH720834 SIL720632:SIL720834 RYP720632:RYP720834 ROT720632:ROT720834 REX720632:REX720834 QVB720632:QVB720834 QLF720632:QLF720834 QBJ720632:QBJ720834 PRN720632:PRN720834 PHR720632:PHR720834 OXV720632:OXV720834 ONZ720632:ONZ720834 OED720632:OED720834 NUH720632:NUH720834 NKL720632:NKL720834 NAP720632:NAP720834 MQT720632:MQT720834 MGX720632:MGX720834 LXB720632:LXB720834 LNF720632:LNF720834 LDJ720632:LDJ720834 KTN720632:KTN720834 KJR720632:KJR720834 JZV720632:JZV720834 JPZ720632:JPZ720834 JGD720632:JGD720834 IWH720632:IWH720834 IML720632:IML720834 ICP720632:ICP720834 HST720632:HST720834 HIX720632:HIX720834 GZB720632:GZB720834 GPF720632:GPF720834 GFJ720632:GFJ720834 FVN720632:FVN720834 FLR720632:FLR720834 FBV720632:FBV720834 ERZ720632:ERZ720834 EID720632:EID720834 DYH720632:DYH720834 DOL720632:DOL720834 DEP720632:DEP720834 CUT720632:CUT720834 CKX720632:CKX720834 CBB720632:CBB720834 BRF720632:BRF720834 BHJ720632:BHJ720834 AXN720632:AXN720834 ANR720632:ANR720834 ADV720632:ADV720834 TZ720632:TZ720834 KD720632:KD720834 X720632:X720834 WWP655096:WWP655298 WMT655096:WMT655298 WCX655096:WCX655298 VTB655096:VTB655298 VJF655096:VJF655298 UZJ655096:UZJ655298 UPN655096:UPN655298 UFR655096:UFR655298 TVV655096:TVV655298 TLZ655096:TLZ655298 TCD655096:TCD655298 SSH655096:SSH655298 SIL655096:SIL655298 RYP655096:RYP655298 ROT655096:ROT655298 REX655096:REX655298 QVB655096:QVB655298 QLF655096:QLF655298 QBJ655096:QBJ655298 PRN655096:PRN655298 PHR655096:PHR655298 OXV655096:OXV655298 ONZ655096:ONZ655298 OED655096:OED655298 NUH655096:NUH655298 NKL655096:NKL655298 NAP655096:NAP655298 MQT655096:MQT655298 MGX655096:MGX655298 LXB655096:LXB655298 LNF655096:LNF655298 LDJ655096:LDJ655298 KTN655096:KTN655298 KJR655096:KJR655298 JZV655096:JZV655298 JPZ655096:JPZ655298 JGD655096:JGD655298 IWH655096:IWH655298 IML655096:IML655298 ICP655096:ICP655298 HST655096:HST655298 HIX655096:HIX655298 GZB655096:GZB655298 GPF655096:GPF655298 GFJ655096:GFJ655298 FVN655096:FVN655298 FLR655096:FLR655298 FBV655096:FBV655298 ERZ655096:ERZ655298 EID655096:EID655298 DYH655096:DYH655298 DOL655096:DOL655298 DEP655096:DEP655298 CUT655096:CUT655298 CKX655096:CKX655298 CBB655096:CBB655298 BRF655096:BRF655298 BHJ655096:BHJ655298 AXN655096:AXN655298 ANR655096:ANR655298 ADV655096:ADV655298 TZ655096:TZ655298 KD655096:KD655298 X655096:X655298 WWP589560:WWP589762 WMT589560:WMT589762 WCX589560:WCX589762 VTB589560:VTB589762 VJF589560:VJF589762 UZJ589560:UZJ589762 UPN589560:UPN589762 UFR589560:UFR589762 TVV589560:TVV589762 TLZ589560:TLZ589762 TCD589560:TCD589762 SSH589560:SSH589762 SIL589560:SIL589762 RYP589560:RYP589762 ROT589560:ROT589762 REX589560:REX589762 QVB589560:QVB589762 QLF589560:QLF589762 QBJ589560:QBJ589762 PRN589560:PRN589762 PHR589560:PHR589762 OXV589560:OXV589762 ONZ589560:ONZ589762 OED589560:OED589762 NUH589560:NUH589762 NKL589560:NKL589762 NAP589560:NAP589762 MQT589560:MQT589762 MGX589560:MGX589762 LXB589560:LXB589762 LNF589560:LNF589762 LDJ589560:LDJ589762 KTN589560:KTN589762 KJR589560:KJR589762 JZV589560:JZV589762 JPZ589560:JPZ589762 JGD589560:JGD589762 IWH589560:IWH589762 IML589560:IML589762 ICP589560:ICP589762 HST589560:HST589762 HIX589560:HIX589762 GZB589560:GZB589762 GPF589560:GPF589762 GFJ589560:GFJ589762 FVN589560:FVN589762 FLR589560:FLR589762 FBV589560:FBV589762 ERZ589560:ERZ589762 EID589560:EID589762 DYH589560:DYH589762 DOL589560:DOL589762 DEP589560:DEP589762 CUT589560:CUT589762 CKX589560:CKX589762 CBB589560:CBB589762 BRF589560:BRF589762 BHJ589560:BHJ589762 AXN589560:AXN589762 ANR589560:ANR589762 ADV589560:ADV589762 TZ589560:TZ589762 KD589560:KD589762 X589560:X589762 WWP524024:WWP524226 WMT524024:WMT524226 WCX524024:WCX524226 VTB524024:VTB524226 VJF524024:VJF524226 UZJ524024:UZJ524226 UPN524024:UPN524226 UFR524024:UFR524226 TVV524024:TVV524226 TLZ524024:TLZ524226 TCD524024:TCD524226 SSH524024:SSH524226 SIL524024:SIL524226 RYP524024:RYP524226 ROT524024:ROT524226 REX524024:REX524226 QVB524024:QVB524226 QLF524024:QLF524226 QBJ524024:QBJ524226 PRN524024:PRN524226 PHR524024:PHR524226 OXV524024:OXV524226 ONZ524024:ONZ524226 OED524024:OED524226 NUH524024:NUH524226 NKL524024:NKL524226 NAP524024:NAP524226 MQT524024:MQT524226 MGX524024:MGX524226 LXB524024:LXB524226 LNF524024:LNF524226 LDJ524024:LDJ524226 KTN524024:KTN524226 KJR524024:KJR524226 JZV524024:JZV524226 JPZ524024:JPZ524226 JGD524024:JGD524226 IWH524024:IWH524226 IML524024:IML524226 ICP524024:ICP524226 HST524024:HST524226 HIX524024:HIX524226 GZB524024:GZB524226 GPF524024:GPF524226 GFJ524024:GFJ524226 FVN524024:FVN524226 FLR524024:FLR524226 FBV524024:FBV524226 ERZ524024:ERZ524226 EID524024:EID524226 DYH524024:DYH524226 DOL524024:DOL524226 DEP524024:DEP524226 CUT524024:CUT524226 CKX524024:CKX524226 CBB524024:CBB524226 BRF524024:BRF524226 BHJ524024:BHJ524226 AXN524024:AXN524226 ANR524024:ANR524226 ADV524024:ADV524226 TZ524024:TZ524226 KD524024:KD524226 X524024:X524226 WWP458488:WWP458690 WMT458488:WMT458690 WCX458488:WCX458690 VTB458488:VTB458690 VJF458488:VJF458690 UZJ458488:UZJ458690 UPN458488:UPN458690 UFR458488:UFR458690 TVV458488:TVV458690 TLZ458488:TLZ458690 TCD458488:TCD458690 SSH458488:SSH458690 SIL458488:SIL458690 RYP458488:RYP458690 ROT458488:ROT458690 REX458488:REX458690 QVB458488:QVB458690 QLF458488:QLF458690 QBJ458488:QBJ458690 PRN458488:PRN458690 PHR458488:PHR458690 OXV458488:OXV458690 ONZ458488:ONZ458690 OED458488:OED458690 NUH458488:NUH458690 NKL458488:NKL458690 NAP458488:NAP458690 MQT458488:MQT458690 MGX458488:MGX458690 LXB458488:LXB458690 LNF458488:LNF458690 LDJ458488:LDJ458690 KTN458488:KTN458690 KJR458488:KJR458690 JZV458488:JZV458690 JPZ458488:JPZ458690 JGD458488:JGD458690 IWH458488:IWH458690 IML458488:IML458690 ICP458488:ICP458690 HST458488:HST458690 HIX458488:HIX458690 GZB458488:GZB458690 GPF458488:GPF458690 GFJ458488:GFJ458690 FVN458488:FVN458690 FLR458488:FLR458690 FBV458488:FBV458690 ERZ458488:ERZ458690 EID458488:EID458690 DYH458488:DYH458690 DOL458488:DOL458690 DEP458488:DEP458690 CUT458488:CUT458690 CKX458488:CKX458690 CBB458488:CBB458690 BRF458488:BRF458690 BHJ458488:BHJ458690 AXN458488:AXN458690 ANR458488:ANR458690 ADV458488:ADV458690 TZ458488:TZ458690 KD458488:KD458690 X458488:X458690 WWP392952:WWP393154 WMT392952:WMT393154 WCX392952:WCX393154 VTB392952:VTB393154 VJF392952:VJF393154 UZJ392952:UZJ393154 UPN392952:UPN393154 UFR392952:UFR393154 TVV392952:TVV393154 TLZ392952:TLZ393154 TCD392952:TCD393154 SSH392952:SSH393154 SIL392952:SIL393154 RYP392952:RYP393154 ROT392952:ROT393154 REX392952:REX393154 QVB392952:QVB393154 QLF392952:QLF393154 QBJ392952:QBJ393154 PRN392952:PRN393154 PHR392952:PHR393154 OXV392952:OXV393154 ONZ392952:ONZ393154 OED392952:OED393154 NUH392952:NUH393154 NKL392952:NKL393154 NAP392952:NAP393154 MQT392952:MQT393154 MGX392952:MGX393154 LXB392952:LXB393154 LNF392952:LNF393154 LDJ392952:LDJ393154 KTN392952:KTN393154 KJR392952:KJR393154 JZV392952:JZV393154 JPZ392952:JPZ393154 JGD392952:JGD393154 IWH392952:IWH393154 IML392952:IML393154 ICP392952:ICP393154 HST392952:HST393154 HIX392952:HIX393154 GZB392952:GZB393154 GPF392952:GPF393154 GFJ392952:GFJ393154 FVN392952:FVN393154 FLR392952:FLR393154 FBV392952:FBV393154 ERZ392952:ERZ393154 EID392952:EID393154 DYH392952:DYH393154 DOL392952:DOL393154 DEP392952:DEP393154 CUT392952:CUT393154 CKX392952:CKX393154 CBB392952:CBB393154 BRF392952:BRF393154 BHJ392952:BHJ393154 AXN392952:AXN393154 ANR392952:ANR393154 ADV392952:ADV393154 TZ392952:TZ393154 KD392952:KD393154 X392952:X393154 WWP327416:WWP327618 WMT327416:WMT327618 WCX327416:WCX327618 VTB327416:VTB327618 VJF327416:VJF327618 UZJ327416:UZJ327618 UPN327416:UPN327618 UFR327416:UFR327618 TVV327416:TVV327618 TLZ327416:TLZ327618 TCD327416:TCD327618 SSH327416:SSH327618 SIL327416:SIL327618 RYP327416:RYP327618 ROT327416:ROT327618 REX327416:REX327618 QVB327416:QVB327618 QLF327416:QLF327618 QBJ327416:QBJ327618 PRN327416:PRN327618 PHR327416:PHR327618 OXV327416:OXV327618 ONZ327416:ONZ327618 OED327416:OED327618 NUH327416:NUH327618 NKL327416:NKL327618 NAP327416:NAP327618 MQT327416:MQT327618 MGX327416:MGX327618 LXB327416:LXB327618 LNF327416:LNF327618 LDJ327416:LDJ327618 KTN327416:KTN327618 KJR327416:KJR327618 JZV327416:JZV327618 JPZ327416:JPZ327618 JGD327416:JGD327618 IWH327416:IWH327618 IML327416:IML327618 ICP327416:ICP327618 HST327416:HST327618 HIX327416:HIX327618 GZB327416:GZB327618 GPF327416:GPF327618 GFJ327416:GFJ327618 FVN327416:FVN327618 FLR327416:FLR327618 FBV327416:FBV327618 ERZ327416:ERZ327618 EID327416:EID327618 DYH327416:DYH327618 DOL327416:DOL327618 DEP327416:DEP327618 CUT327416:CUT327618 CKX327416:CKX327618 CBB327416:CBB327618 BRF327416:BRF327618 BHJ327416:BHJ327618 AXN327416:AXN327618 ANR327416:ANR327618 ADV327416:ADV327618 TZ327416:TZ327618 KD327416:KD327618 X327416:X327618 WWP261880:WWP262082 WMT261880:WMT262082 WCX261880:WCX262082 VTB261880:VTB262082 VJF261880:VJF262082 UZJ261880:UZJ262082 UPN261880:UPN262082 UFR261880:UFR262082 TVV261880:TVV262082 TLZ261880:TLZ262082 TCD261880:TCD262082 SSH261880:SSH262082 SIL261880:SIL262082 RYP261880:RYP262082 ROT261880:ROT262082 REX261880:REX262082 QVB261880:QVB262082 QLF261880:QLF262082 QBJ261880:QBJ262082 PRN261880:PRN262082 PHR261880:PHR262082 OXV261880:OXV262082 ONZ261880:ONZ262082 OED261880:OED262082 NUH261880:NUH262082 NKL261880:NKL262082 NAP261880:NAP262082 MQT261880:MQT262082 MGX261880:MGX262082 LXB261880:LXB262082 LNF261880:LNF262082 LDJ261880:LDJ262082 KTN261880:KTN262082 KJR261880:KJR262082 JZV261880:JZV262082 JPZ261880:JPZ262082 JGD261880:JGD262082 IWH261880:IWH262082 IML261880:IML262082 ICP261880:ICP262082 HST261880:HST262082 HIX261880:HIX262082 GZB261880:GZB262082 GPF261880:GPF262082 GFJ261880:GFJ262082 FVN261880:FVN262082 FLR261880:FLR262082 FBV261880:FBV262082 ERZ261880:ERZ262082 EID261880:EID262082 DYH261880:DYH262082 DOL261880:DOL262082 DEP261880:DEP262082 CUT261880:CUT262082 CKX261880:CKX262082 CBB261880:CBB262082 BRF261880:BRF262082 BHJ261880:BHJ262082 AXN261880:AXN262082 ANR261880:ANR262082 ADV261880:ADV262082 TZ261880:TZ262082 KD261880:KD262082 X261880:X262082 WWP196344:WWP196546 WMT196344:WMT196546 WCX196344:WCX196546 VTB196344:VTB196546 VJF196344:VJF196546 UZJ196344:UZJ196546 UPN196344:UPN196546 UFR196344:UFR196546 TVV196344:TVV196546 TLZ196344:TLZ196546 TCD196344:TCD196546 SSH196344:SSH196546 SIL196344:SIL196546 RYP196344:RYP196546 ROT196344:ROT196546 REX196344:REX196546 QVB196344:QVB196546 QLF196344:QLF196546 QBJ196344:QBJ196546 PRN196344:PRN196546 PHR196344:PHR196546 OXV196344:OXV196546 ONZ196344:ONZ196546 OED196344:OED196546 NUH196344:NUH196546 NKL196344:NKL196546 NAP196344:NAP196546 MQT196344:MQT196546 MGX196344:MGX196546 LXB196344:LXB196546 LNF196344:LNF196546 LDJ196344:LDJ196546 KTN196344:KTN196546 KJR196344:KJR196546 JZV196344:JZV196546 JPZ196344:JPZ196546 JGD196344:JGD196546 IWH196344:IWH196546 IML196344:IML196546 ICP196344:ICP196546 HST196344:HST196546 HIX196344:HIX196546 GZB196344:GZB196546 GPF196344:GPF196546 GFJ196344:GFJ196546 FVN196344:FVN196546 FLR196344:FLR196546 FBV196344:FBV196546 ERZ196344:ERZ196546 EID196344:EID196546 DYH196344:DYH196546 DOL196344:DOL196546 DEP196344:DEP196546 CUT196344:CUT196546 CKX196344:CKX196546 CBB196344:CBB196546 BRF196344:BRF196546 BHJ196344:BHJ196546 AXN196344:AXN196546 ANR196344:ANR196546 ADV196344:ADV196546 TZ196344:TZ196546 KD196344:KD196546 X196344:X196546 WWP130808:WWP131010 WMT130808:WMT131010 WCX130808:WCX131010 VTB130808:VTB131010 VJF130808:VJF131010 UZJ130808:UZJ131010 UPN130808:UPN131010 UFR130808:UFR131010 TVV130808:TVV131010 TLZ130808:TLZ131010 TCD130808:TCD131010 SSH130808:SSH131010 SIL130808:SIL131010 RYP130808:RYP131010 ROT130808:ROT131010 REX130808:REX131010 QVB130808:QVB131010 QLF130808:QLF131010 QBJ130808:QBJ131010 PRN130808:PRN131010 PHR130808:PHR131010 OXV130808:OXV131010 ONZ130808:ONZ131010 OED130808:OED131010 NUH130808:NUH131010 NKL130808:NKL131010 NAP130808:NAP131010 MQT130808:MQT131010 MGX130808:MGX131010 LXB130808:LXB131010 LNF130808:LNF131010 LDJ130808:LDJ131010 KTN130808:KTN131010 KJR130808:KJR131010 JZV130808:JZV131010 JPZ130808:JPZ131010 JGD130808:JGD131010 IWH130808:IWH131010 IML130808:IML131010 ICP130808:ICP131010 HST130808:HST131010 HIX130808:HIX131010 GZB130808:GZB131010 GPF130808:GPF131010 GFJ130808:GFJ131010 FVN130808:FVN131010 FLR130808:FLR131010 FBV130808:FBV131010 ERZ130808:ERZ131010 EID130808:EID131010 DYH130808:DYH131010 DOL130808:DOL131010 DEP130808:DEP131010 CUT130808:CUT131010 CKX130808:CKX131010 CBB130808:CBB131010 BRF130808:BRF131010 BHJ130808:BHJ131010 AXN130808:AXN131010 ANR130808:ANR131010 ADV130808:ADV131010 TZ130808:TZ131010 KD130808:KD131010 X130808:X131010 WWP65272:WWP65474 WMT65272:WMT65474 WCX65272:WCX65474 VTB65272:VTB65474 VJF65272:VJF65474 UZJ65272:UZJ65474 UPN65272:UPN65474 UFR65272:UFR65474 TVV65272:TVV65474 TLZ65272:TLZ65474 TCD65272:TCD65474 SSH65272:SSH65474 SIL65272:SIL65474 RYP65272:RYP65474 ROT65272:ROT65474 REX65272:REX65474 QVB65272:QVB65474 QLF65272:QLF65474 QBJ65272:QBJ65474 PRN65272:PRN65474 PHR65272:PHR65474 OXV65272:OXV65474 ONZ65272:ONZ65474 OED65272:OED65474 NUH65272:NUH65474 NKL65272:NKL65474 NAP65272:NAP65474 MQT65272:MQT65474 MGX65272:MGX65474 LXB65272:LXB65474 LNF65272:LNF65474 LDJ65272:LDJ65474 KTN65272:KTN65474 KJR65272:KJR65474 JZV65272:JZV65474 JPZ65272:JPZ65474 JGD65272:JGD65474 IWH65272:IWH65474 IML65272:IML65474 ICP65272:ICP65474 HST65272:HST65474 HIX65272:HIX65474 GZB65272:GZB65474 GPF65272:GPF65474 GFJ65272:GFJ65474 FVN65272:FVN65474 FLR65272:FLR65474 FBV65272:FBV65474 ERZ65272:ERZ65474 EID65272:EID65474 DYH65272:DYH65474 DOL65272:DOL65474 DEP65272:DEP65474 CUT65272:CUT65474 CKX65272:CKX65474 CBB65272:CBB65474 BRF65272:BRF65474 BHJ65272:BHJ65474 AXN65272:AXN65474 ANR65272:ANR65474 ADV65272:ADV65474 TZ65272:TZ65474 KD65272:KD65474 WWP5:WWP11 WMT5:WMT11 WCX5:WCX11 VTB5:VTB11 VJF5:VJF11 UZJ5:UZJ11 UPN5:UPN11 UFR5:UFR11 TVV5:TVV11 TLZ5:TLZ11 TCD5:TCD11 SSH5:SSH11 SIL5:SIL11 RYP5:RYP11 ROT5:ROT11 REX5:REX11 QVB5:QVB11 QLF5:QLF11 QBJ5:QBJ11 PRN5:PRN11 PHR5:PHR11 OXV5:OXV11 ONZ5:ONZ11 OED5:OED11 NUH5:NUH11 NKL5:NKL11 NAP5:NAP11 MQT5:MQT11 MGX5:MGX11 LXB5:LXB11 LNF5:LNF11 LDJ5:LDJ11 KTN5:KTN11 KJR5:KJR11 JZV5:JZV11 JPZ5:JPZ11 JGD5:JGD11 IWH5:IWH11 IML5:IML11 ICP5:ICP11 HST5:HST11 HIX5:HIX11 GZB5:GZB11 GPF5:GPF11 GFJ5:GFJ11 FVN5:FVN11 FLR5:FLR11 FBV5:FBV11 ERZ5:ERZ11 EID5:EID11 DYH5:DYH11 DOL5:DOL11 DEP5:DEP11 CUT5:CUT11 CKX5:CKX11 CBB5:CBB11 BRF5:BRF11 BHJ5:BHJ11 AXN5:AXN11 ANR5:ANR11 ADV5:ADV11 TZ5:TZ11 KD5:KD11">
      <formula1>$B$12:$B$12</formula1>
    </dataValidation>
    <dataValidation type="whole" allowBlank="1" showInputMessage="1" showErrorMessage="1" sqref="V65272:W65478 KA65272:KC65478 TW65272:TY65478 ADS65272:ADU65478 ANO65272:ANQ65478 AXK65272:AXM65478 BHG65272:BHI65478 BRC65272:BRE65478 CAY65272:CBA65478 CKU65272:CKW65478 CUQ65272:CUS65478 DEM65272:DEO65478 DOI65272:DOK65478 DYE65272:DYG65478 EIA65272:EIC65478 ERW65272:ERY65478 FBS65272:FBU65478 FLO65272:FLQ65478 FVK65272:FVM65478 GFG65272:GFI65478 GPC65272:GPE65478 GYY65272:GZA65478 HIU65272:HIW65478 HSQ65272:HSS65478 ICM65272:ICO65478 IMI65272:IMK65478 IWE65272:IWG65478 JGA65272:JGC65478 JPW65272:JPY65478 JZS65272:JZU65478 KJO65272:KJQ65478 KTK65272:KTM65478 LDG65272:LDI65478 LNC65272:LNE65478 LWY65272:LXA65478 MGU65272:MGW65478 MQQ65272:MQS65478 NAM65272:NAO65478 NKI65272:NKK65478 NUE65272:NUG65478 OEA65272:OEC65478 ONW65272:ONY65478 OXS65272:OXU65478 PHO65272:PHQ65478 PRK65272:PRM65478 QBG65272:QBI65478 QLC65272:QLE65478 QUY65272:QVA65478 REU65272:REW65478 ROQ65272:ROS65478 RYM65272:RYO65478 SII65272:SIK65478 SSE65272:SSG65478 TCA65272:TCC65478 TLW65272:TLY65478 TVS65272:TVU65478 UFO65272:UFQ65478 UPK65272:UPM65478 UZG65272:UZI65478 VJC65272:VJE65478 VSY65272:VTA65478 WCU65272:WCW65478 WMQ65272:WMS65478 WWM65272:WWO65478 V130808:W131014 KA130808:KC131014 TW130808:TY131014 ADS130808:ADU131014 ANO130808:ANQ131014 AXK130808:AXM131014 BHG130808:BHI131014 BRC130808:BRE131014 CAY130808:CBA131014 CKU130808:CKW131014 CUQ130808:CUS131014 DEM130808:DEO131014 DOI130808:DOK131014 DYE130808:DYG131014 EIA130808:EIC131014 ERW130808:ERY131014 FBS130808:FBU131014 FLO130808:FLQ131014 FVK130808:FVM131014 GFG130808:GFI131014 GPC130808:GPE131014 GYY130808:GZA131014 HIU130808:HIW131014 HSQ130808:HSS131014 ICM130808:ICO131014 IMI130808:IMK131014 IWE130808:IWG131014 JGA130808:JGC131014 JPW130808:JPY131014 JZS130808:JZU131014 KJO130808:KJQ131014 KTK130808:KTM131014 LDG130808:LDI131014 LNC130808:LNE131014 LWY130808:LXA131014 MGU130808:MGW131014 MQQ130808:MQS131014 NAM130808:NAO131014 NKI130808:NKK131014 NUE130808:NUG131014 OEA130808:OEC131014 ONW130808:ONY131014 OXS130808:OXU131014 PHO130808:PHQ131014 PRK130808:PRM131014 QBG130808:QBI131014 QLC130808:QLE131014 QUY130808:QVA131014 REU130808:REW131014 ROQ130808:ROS131014 RYM130808:RYO131014 SII130808:SIK131014 SSE130808:SSG131014 TCA130808:TCC131014 TLW130808:TLY131014 TVS130808:TVU131014 UFO130808:UFQ131014 UPK130808:UPM131014 UZG130808:UZI131014 VJC130808:VJE131014 VSY130808:VTA131014 WCU130808:WCW131014 WMQ130808:WMS131014 WWM130808:WWO131014 V196344:W196550 KA196344:KC196550 TW196344:TY196550 ADS196344:ADU196550 ANO196344:ANQ196550 AXK196344:AXM196550 BHG196344:BHI196550 BRC196344:BRE196550 CAY196344:CBA196550 CKU196344:CKW196550 CUQ196344:CUS196550 DEM196344:DEO196550 DOI196344:DOK196550 DYE196344:DYG196550 EIA196344:EIC196550 ERW196344:ERY196550 FBS196344:FBU196550 FLO196344:FLQ196550 FVK196344:FVM196550 GFG196344:GFI196550 GPC196344:GPE196550 GYY196344:GZA196550 HIU196344:HIW196550 HSQ196344:HSS196550 ICM196344:ICO196550 IMI196344:IMK196550 IWE196344:IWG196550 JGA196344:JGC196550 JPW196344:JPY196550 JZS196344:JZU196550 KJO196344:KJQ196550 KTK196344:KTM196550 LDG196344:LDI196550 LNC196344:LNE196550 LWY196344:LXA196550 MGU196344:MGW196550 MQQ196344:MQS196550 NAM196344:NAO196550 NKI196344:NKK196550 NUE196344:NUG196550 OEA196344:OEC196550 ONW196344:ONY196550 OXS196344:OXU196550 PHO196344:PHQ196550 PRK196344:PRM196550 QBG196344:QBI196550 QLC196344:QLE196550 QUY196344:QVA196550 REU196344:REW196550 ROQ196344:ROS196550 RYM196344:RYO196550 SII196344:SIK196550 SSE196344:SSG196550 TCA196344:TCC196550 TLW196344:TLY196550 TVS196344:TVU196550 UFO196344:UFQ196550 UPK196344:UPM196550 UZG196344:UZI196550 VJC196344:VJE196550 VSY196344:VTA196550 WCU196344:WCW196550 WMQ196344:WMS196550 WWM196344:WWO196550 V261880:W262086 KA261880:KC262086 TW261880:TY262086 ADS261880:ADU262086 ANO261880:ANQ262086 AXK261880:AXM262086 BHG261880:BHI262086 BRC261880:BRE262086 CAY261880:CBA262086 CKU261880:CKW262086 CUQ261880:CUS262086 DEM261880:DEO262086 DOI261880:DOK262086 DYE261880:DYG262086 EIA261880:EIC262086 ERW261880:ERY262086 FBS261880:FBU262086 FLO261880:FLQ262086 FVK261880:FVM262086 GFG261880:GFI262086 GPC261880:GPE262086 GYY261880:GZA262086 HIU261880:HIW262086 HSQ261880:HSS262086 ICM261880:ICO262086 IMI261880:IMK262086 IWE261880:IWG262086 JGA261880:JGC262086 JPW261880:JPY262086 JZS261880:JZU262086 KJO261880:KJQ262086 KTK261880:KTM262086 LDG261880:LDI262086 LNC261880:LNE262086 LWY261880:LXA262086 MGU261880:MGW262086 MQQ261880:MQS262086 NAM261880:NAO262086 NKI261880:NKK262086 NUE261880:NUG262086 OEA261880:OEC262086 ONW261880:ONY262086 OXS261880:OXU262086 PHO261880:PHQ262086 PRK261880:PRM262086 QBG261880:QBI262086 QLC261880:QLE262086 QUY261880:QVA262086 REU261880:REW262086 ROQ261880:ROS262086 RYM261880:RYO262086 SII261880:SIK262086 SSE261880:SSG262086 TCA261880:TCC262086 TLW261880:TLY262086 TVS261880:TVU262086 UFO261880:UFQ262086 UPK261880:UPM262086 UZG261880:UZI262086 VJC261880:VJE262086 VSY261880:VTA262086 WCU261880:WCW262086 WMQ261880:WMS262086 WWM261880:WWO262086 V327416:W327622 KA327416:KC327622 TW327416:TY327622 ADS327416:ADU327622 ANO327416:ANQ327622 AXK327416:AXM327622 BHG327416:BHI327622 BRC327416:BRE327622 CAY327416:CBA327622 CKU327416:CKW327622 CUQ327416:CUS327622 DEM327416:DEO327622 DOI327416:DOK327622 DYE327416:DYG327622 EIA327416:EIC327622 ERW327416:ERY327622 FBS327416:FBU327622 FLO327416:FLQ327622 FVK327416:FVM327622 GFG327416:GFI327622 GPC327416:GPE327622 GYY327416:GZA327622 HIU327416:HIW327622 HSQ327416:HSS327622 ICM327416:ICO327622 IMI327416:IMK327622 IWE327416:IWG327622 JGA327416:JGC327622 JPW327416:JPY327622 JZS327416:JZU327622 KJO327416:KJQ327622 KTK327416:KTM327622 LDG327416:LDI327622 LNC327416:LNE327622 LWY327416:LXA327622 MGU327416:MGW327622 MQQ327416:MQS327622 NAM327416:NAO327622 NKI327416:NKK327622 NUE327416:NUG327622 OEA327416:OEC327622 ONW327416:ONY327622 OXS327416:OXU327622 PHO327416:PHQ327622 PRK327416:PRM327622 QBG327416:QBI327622 QLC327416:QLE327622 QUY327416:QVA327622 REU327416:REW327622 ROQ327416:ROS327622 RYM327416:RYO327622 SII327416:SIK327622 SSE327416:SSG327622 TCA327416:TCC327622 TLW327416:TLY327622 TVS327416:TVU327622 UFO327416:UFQ327622 UPK327416:UPM327622 UZG327416:UZI327622 VJC327416:VJE327622 VSY327416:VTA327622 WCU327416:WCW327622 WMQ327416:WMS327622 WWM327416:WWO327622 V392952:W393158 KA392952:KC393158 TW392952:TY393158 ADS392952:ADU393158 ANO392952:ANQ393158 AXK392952:AXM393158 BHG392952:BHI393158 BRC392952:BRE393158 CAY392952:CBA393158 CKU392952:CKW393158 CUQ392952:CUS393158 DEM392952:DEO393158 DOI392952:DOK393158 DYE392952:DYG393158 EIA392952:EIC393158 ERW392952:ERY393158 FBS392952:FBU393158 FLO392952:FLQ393158 FVK392952:FVM393158 GFG392952:GFI393158 GPC392952:GPE393158 GYY392952:GZA393158 HIU392952:HIW393158 HSQ392952:HSS393158 ICM392952:ICO393158 IMI392952:IMK393158 IWE392952:IWG393158 JGA392952:JGC393158 JPW392952:JPY393158 JZS392952:JZU393158 KJO392952:KJQ393158 KTK392952:KTM393158 LDG392952:LDI393158 LNC392952:LNE393158 LWY392952:LXA393158 MGU392952:MGW393158 MQQ392952:MQS393158 NAM392952:NAO393158 NKI392952:NKK393158 NUE392952:NUG393158 OEA392952:OEC393158 ONW392952:ONY393158 OXS392952:OXU393158 PHO392952:PHQ393158 PRK392952:PRM393158 QBG392952:QBI393158 QLC392952:QLE393158 QUY392952:QVA393158 REU392952:REW393158 ROQ392952:ROS393158 RYM392952:RYO393158 SII392952:SIK393158 SSE392952:SSG393158 TCA392952:TCC393158 TLW392952:TLY393158 TVS392952:TVU393158 UFO392952:UFQ393158 UPK392952:UPM393158 UZG392952:UZI393158 VJC392952:VJE393158 VSY392952:VTA393158 WCU392952:WCW393158 WMQ392952:WMS393158 WWM392952:WWO393158 V458488:W458694 KA458488:KC458694 TW458488:TY458694 ADS458488:ADU458694 ANO458488:ANQ458694 AXK458488:AXM458694 BHG458488:BHI458694 BRC458488:BRE458694 CAY458488:CBA458694 CKU458488:CKW458694 CUQ458488:CUS458694 DEM458488:DEO458694 DOI458488:DOK458694 DYE458488:DYG458694 EIA458488:EIC458694 ERW458488:ERY458694 FBS458488:FBU458694 FLO458488:FLQ458694 FVK458488:FVM458694 GFG458488:GFI458694 GPC458488:GPE458694 GYY458488:GZA458694 HIU458488:HIW458694 HSQ458488:HSS458694 ICM458488:ICO458694 IMI458488:IMK458694 IWE458488:IWG458694 JGA458488:JGC458694 JPW458488:JPY458694 JZS458488:JZU458694 KJO458488:KJQ458694 KTK458488:KTM458694 LDG458488:LDI458694 LNC458488:LNE458694 LWY458488:LXA458694 MGU458488:MGW458694 MQQ458488:MQS458694 NAM458488:NAO458694 NKI458488:NKK458694 NUE458488:NUG458694 OEA458488:OEC458694 ONW458488:ONY458694 OXS458488:OXU458694 PHO458488:PHQ458694 PRK458488:PRM458694 QBG458488:QBI458694 QLC458488:QLE458694 QUY458488:QVA458694 REU458488:REW458694 ROQ458488:ROS458694 RYM458488:RYO458694 SII458488:SIK458694 SSE458488:SSG458694 TCA458488:TCC458694 TLW458488:TLY458694 TVS458488:TVU458694 UFO458488:UFQ458694 UPK458488:UPM458694 UZG458488:UZI458694 VJC458488:VJE458694 VSY458488:VTA458694 WCU458488:WCW458694 WMQ458488:WMS458694 WWM458488:WWO458694 V524024:W524230 KA524024:KC524230 TW524024:TY524230 ADS524024:ADU524230 ANO524024:ANQ524230 AXK524024:AXM524230 BHG524024:BHI524230 BRC524024:BRE524230 CAY524024:CBA524230 CKU524024:CKW524230 CUQ524024:CUS524230 DEM524024:DEO524230 DOI524024:DOK524230 DYE524024:DYG524230 EIA524024:EIC524230 ERW524024:ERY524230 FBS524024:FBU524230 FLO524024:FLQ524230 FVK524024:FVM524230 GFG524024:GFI524230 GPC524024:GPE524230 GYY524024:GZA524230 HIU524024:HIW524230 HSQ524024:HSS524230 ICM524024:ICO524230 IMI524024:IMK524230 IWE524024:IWG524230 JGA524024:JGC524230 JPW524024:JPY524230 JZS524024:JZU524230 KJO524024:KJQ524230 KTK524024:KTM524230 LDG524024:LDI524230 LNC524024:LNE524230 LWY524024:LXA524230 MGU524024:MGW524230 MQQ524024:MQS524230 NAM524024:NAO524230 NKI524024:NKK524230 NUE524024:NUG524230 OEA524024:OEC524230 ONW524024:ONY524230 OXS524024:OXU524230 PHO524024:PHQ524230 PRK524024:PRM524230 QBG524024:QBI524230 QLC524024:QLE524230 QUY524024:QVA524230 REU524024:REW524230 ROQ524024:ROS524230 RYM524024:RYO524230 SII524024:SIK524230 SSE524024:SSG524230 TCA524024:TCC524230 TLW524024:TLY524230 TVS524024:TVU524230 UFO524024:UFQ524230 UPK524024:UPM524230 UZG524024:UZI524230 VJC524024:VJE524230 VSY524024:VTA524230 WCU524024:WCW524230 WMQ524024:WMS524230 WWM524024:WWO524230 V589560:W589766 KA589560:KC589766 TW589560:TY589766 ADS589560:ADU589766 ANO589560:ANQ589766 AXK589560:AXM589766 BHG589560:BHI589766 BRC589560:BRE589766 CAY589560:CBA589766 CKU589560:CKW589766 CUQ589560:CUS589766 DEM589560:DEO589766 DOI589560:DOK589766 DYE589560:DYG589766 EIA589560:EIC589766 ERW589560:ERY589766 FBS589560:FBU589766 FLO589560:FLQ589766 FVK589560:FVM589766 GFG589560:GFI589766 GPC589560:GPE589766 GYY589560:GZA589766 HIU589560:HIW589766 HSQ589560:HSS589766 ICM589560:ICO589766 IMI589560:IMK589766 IWE589560:IWG589766 JGA589560:JGC589766 JPW589560:JPY589766 JZS589560:JZU589766 KJO589560:KJQ589766 KTK589560:KTM589766 LDG589560:LDI589766 LNC589560:LNE589766 LWY589560:LXA589766 MGU589560:MGW589766 MQQ589560:MQS589766 NAM589560:NAO589766 NKI589560:NKK589766 NUE589560:NUG589766 OEA589560:OEC589766 ONW589560:ONY589766 OXS589560:OXU589766 PHO589560:PHQ589766 PRK589560:PRM589766 QBG589560:QBI589766 QLC589560:QLE589766 QUY589560:QVA589766 REU589560:REW589766 ROQ589560:ROS589766 RYM589560:RYO589766 SII589560:SIK589766 SSE589560:SSG589766 TCA589560:TCC589766 TLW589560:TLY589766 TVS589560:TVU589766 UFO589560:UFQ589766 UPK589560:UPM589766 UZG589560:UZI589766 VJC589560:VJE589766 VSY589560:VTA589766 WCU589560:WCW589766 WMQ589560:WMS589766 WWM589560:WWO589766 V655096:W655302 KA655096:KC655302 TW655096:TY655302 ADS655096:ADU655302 ANO655096:ANQ655302 AXK655096:AXM655302 BHG655096:BHI655302 BRC655096:BRE655302 CAY655096:CBA655302 CKU655096:CKW655302 CUQ655096:CUS655302 DEM655096:DEO655302 DOI655096:DOK655302 DYE655096:DYG655302 EIA655096:EIC655302 ERW655096:ERY655302 FBS655096:FBU655302 FLO655096:FLQ655302 FVK655096:FVM655302 GFG655096:GFI655302 GPC655096:GPE655302 GYY655096:GZA655302 HIU655096:HIW655302 HSQ655096:HSS655302 ICM655096:ICO655302 IMI655096:IMK655302 IWE655096:IWG655302 JGA655096:JGC655302 JPW655096:JPY655302 JZS655096:JZU655302 KJO655096:KJQ655302 KTK655096:KTM655302 LDG655096:LDI655302 LNC655096:LNE655302 LWY655096:LXA655302 MGU655096:MGW655302 MQQ655096:MQS655302 NAM655096:NAO655302 NKI655096:NKK655302 NUE655096:NUG655302 OEA655096:OEC655302 ONW655096:ONY655302 OXS655096:OXU655302 PHO655096:PHQ655302 PRK655096:PRM655302 QBG655096:QBI655302 QLC655096:QLE655302 QUY655096:QVA655302 REU655096:REW655302 ROQ655096:ROS655302 RYM655096:RYO655302 SII655096:SIK655302 SSE655096:SSG655302 TCA655096:TCC655302 TLW655096:TLY655302 TVS655096:TVU655302 UFO655096:UFQ655302 UPK655096:UPM655302 UZG655096:UZI655302 VJC655096:VJE655302 VSY655096:VTA655302 WCU655096:WCW655302 WMQ655096:WMS655302 WWM655096:WWO655302 V720632:W720838 KA720632:KC720838 TW720632:TY720838 ADS720632:ADU720838 ANO720632:ANQ720838 AXK720632:AXM720838 BHG720632:BHI720838 BRC720632:BRE720838 CAY720632:CBA720838 CKU720632:CKW720838 CUQ720632:CUS720838 DEM720632:DEO720838 DOI720632:DOK720838 DYE720632:DYG720838 EIA720632:EIC720838 ERW720632:ERY720838 FBS720632:FBU720838 FLO720632:FLQ720838 FVK720632:FVM720838 GFG720632:GFI720838 GPC720632:GPE720838 GYY720632:GZA720838 HIU720632:HIW720838 HSQ720632:HSS720838 ICM720632:ICO720838 IMI720632:IMK720838 IWE720632:IWG720838 JGA720632:JGC720838 JPW720632:JPY720838 JZS720632:JZU720838 KJO720632:KJQ720838 KTK720632:KTM720838 LDG720632:LDI720838 LNC720632:LNE720838 LWY720632:LXA720838 MGU720632:MGW720838 MQQ720632:MQS720838 NAM720632:NAO720838 NKI720632:NKK720838 NUE720632:NUG720838 OEA720632:OEC720838 ONW720632:ONY720838 OXS720632:OXU720838 PHO720632:PHQ720838 PRK720632:PRM720838 QBG720632:QBI720838 QLC720632:QLE720838 QUY720632:QVA720838 REU720632:REW720838 ROQ720632:ROS720838 RYM720632:RYO720838 SII720632:SIK720838 SSE720632:SSG720838 TCA720632:TCC720838 TLW720632:TLY720838 TVS720632:TVU720838 UFO720632:UFQ720838 UPK720632:UPM720838 UZG720632:UZI720838 VJC720632:VJE720838 VSY720632:VTA720838 WCU720632:WCW720838 WMQ720632:WMS720838 WWM720632:WWO720838 V786168:W786374 KA786168:KC786374 TW786168:TY786374 ADS786168:ADU786374 ANO786168:ANQ786374 AXK786168:AXM786374 BHG786168:BHI786374 BRC786168:BRE786374 CAY786168:CBA786374 CKU786168:CKW786374 CUQ786168:CUS786374 DEM786168:DEO786374 DOI786168:DOK786374 DYE786168:DYG786374 EIA786168:EIC786374 ERW786168:ERY786374 FBS786168:FBU786374 FLO786168:FLQ786374 FVK786168:FVM786374 GFG786168:GFI786374 GPC786168:GPE786374 GYY786168:GZA786374 HIU786168:HIW786374 HSQ786168:HSS786374 ICM786168:ICO786374 IMI786168:IMK786374 IWE786168:IWG786374 JGA786168:JGC786374 JPW786168:JPY786374 JZS786168:JZU786374 KJO786168:KJQ786374 KTK786168:KTM786374 LDG786168:LDI786374 LNC786168:LNE786374 LWY786168:LXA786374 MGU786168:MGW786374 MQQ786168:MQS786374 NAM786168:NAO786374 NKI786168:NKK786374 NUE786168:NUG786374 OEA786168:OEC786374 ONW786168:ONY786374 OXS786168:OXU786374 PHO786168:PHQ786374 PRK786168:PRM786374 QBG786168:QBI786374 QLC786168:QLE786374 QUY786168:QVA786374 REU786168:REW786374 ROQ786168:ROS786374 RYM786168:RYO786374 SII786168:SIK786374 SSE786168:SSG786374 TCA786168:TCC786374 TLW786168:TLY786374 TVS786168:TVU786374 UFO786168:UFQ786374 UPK786168:UPM786374 UZG786168:UZI786374 VJC786168:VJE786374 VSY786168:VTA786374 WCU786168:WCW786374 WMQ786168:WMS786374 WWM786168:WWO786374 V851704:W851910 KA851704:KC851910 TW851704:TY851910 ADS851704:ADU851910 ANO851704:ANQ851910 AXK851704:AXM851910 BHG851704:BHI851910 BRC851704:BRE851910 CAY851704:CBA851910 CKU851704:CKW851910 CUQ851704:CUS851910 DEM851704:DEO851910 DOI851704:DOK851910 DYE851704:DYG851910 EIA851704:EIC851910 ERW851704:ERY851910 FBS851704:FBU851910 FLO851704:FLQ851910 FVK851704:FVM851910 GFG851704:GFI851910 GPC851704:GPE851910 GYY851704:GZA851910 HIU851704:HIW851910 HSQ851704:HSS851910 ICM851704:ICO851910 IMI851704:IMK851910 IWE851704:IWG851910 JGA851704:JGC851910 JPW851704:JPY851910 JZS851704:JZU851910 KJO851704:KJQ851910 KTK851704:KTM851910 LDG851704:LDI851910 LNC851704:LNE851910 LWY851704:LXA851910 MGU851704:MGW851910 MQQ851704:MQS851910 NAM851704:NAO851910 NKI851704:NKK851910 NUE851704:NUG851910 OEA851704:OEC851910 ONW851704:ONY851910 OXS851704:OXU851910 PHO851704:PHQ851910 PRK851704:PRM851910 QBG851704:QBI851910 QLC851704:QLE851910 QUY851704:QVA851910 REU851704:REW851910 ROQ851704:ROS851910 RYM851704:RYO851910 SII851704:SIK851910 SSE851704:SSG851910 TCA851704:TCC851910 TLW851704:TLY851910 TVS851704:TVU851910 UFO851704:UFQ851910 UPK851704:UPM851910 UZG851704:UZI851910 VJC851704:VJE851910 VSY851704:VTA851910 WCU851704:WCW851910 WMQ851704:WMS851910 WWM851704:WWO851910 V917240:W917446 KA917240:KC917446 TW917240:TY917446 ADS917240:ADU917446 ANO917240:ANQ917446 AXK917240:AXM917446 BHG917240:BHI917446 BRC917240:BRE917446 CAY917240:CBA917446 CKU917240:CKW917446 CUQ917240:CUS917446 DEM917240:DEO917446 DOI917240:DOK917446 DYE917240:DYG917446 EIA917240:EIC917446 ERW917240:ERY917446 FBS917240:FBU917446 FLO917240:FLQ917446 FVK917240:FVM917446 GFG917240:GFI917446 GPC917240:GPE917446 GYY917240:GZA917446 HIU917240:HIW917446 HSQ917240:HSS917446 ICM917240:ICO917446 IMI917240:IMK917446 IWE917240:IWG917446 JGA917240:JGC917446 JPW917240:JPY917446 JZS917240:JZU917446 KJO917240:KJQ917446 KTK917240:KTM917446 LDG917240:LDI917446 LNC917240:LNE917446 LWY917240:LXA917446 MGU917240:MGW917446 MQQ917240:MQS917446 NAM917240:NAO917446 NKI917240:NKK917446 NUE917240:NUG917446 OEA917240:OEC917446 ONW917240:ONY917446 OXS917240:OXU917446 PHO917240:PHQ917446 PRK917240:PRM917446 QBG917240:QBI917446 QLC917240:QLE917446 QUY917240:QVA917446 REU917240:REW917446 ROQ917240:ROS917446 RYM917240:RYO917446 SII917240:SIK917446 SSE917240:SSG917446 TCA917240:TCC917446 TLW917240:TLY917446 TVS917240:TVU917446 UFO917240:UFQ917446 UPK917240:UPM917446 UZG917240:UZI917446 VJC917240:VJE917446 VSY917240:VTA917446 WCU917240:WCW917446 WMQ917240:WMS917446 WWM917240:WWO917446 V982776:W982982 KA982776:KC982982 TW982776:TY982982 ADS982776:ADU982982 ANO982776:ANQ982982 AXK982776:AXM982982 BHG982776:BHI982982 BRC982776:BRE982982 CAY982776:CBA982982 CKU982776:CKW982982 CUQ982776:CUS982982 DEM982776:DEO982982 DOI982776:DOK982982 DYE982776:DYG982982 EIA982776:EIC982982 ERW982776:ERY982982 FBS982776:FBU982982 FLO982776:FLQ982982 FVK982776:FVM982982 GFG982776:GFI982982 GPC982776:GPE982982 GYY982776:GZA982982 HIU982776:HIW982982 HSQ982776:HSS982982 ICM982776:ICO982982 IMI982776:IMK982982 IWE982776:IWG982982 JGA982776:JGC982982 JPW982776:JPY982982 JZS982776:JZU982982 KJO982776:KJQ982982 KTK982776:KTM982982 LDG982776:LDI982982 LNC982776:LNE982982 LWY982776:LXA982982 MGU982776:MGW982982 MQQ982776:MQS982982 NAM982776:NAO982982 NKI982776:NKK982982 NUE982776:NUG982982 OEA982776:OEC982982 ONW982776:ONY982982 OXS982776:OXU982982 PHO982776:PHQ982982 PRK982776:PRM982982 QBG982776:QBI982982 QLC982776:QLE982982 QUY982776:QVA982982 REU982776:REW982982 ROQ982776:ROS982982 RYM982776:RYO982982 SII982776:SIK982982 SSE982776:SSG982982 TCA982776:TCC982982 TLW982776:TLY982982 TVS982776:TVU982982 UFO982776:UFQ982982 UPK982776:UPM982982 UZG982776:UZI982982 VJC982776:VJE982982 VSY982776:VTA982982 WCU982776:WCW982982 WMQ982776:WMS982982 WWM982776:WWO982982 WWM5:WWO11 KA5:KC11 TW5:TY11 ADS5:ADU11 ANO5:ANQ11 AXK5:AXM11 BHG5:BHI11 BRC5:BRE11 CAY5:CBA11 CKU5:CKW11 CUQ5:CUS11 DEM5:DEO11 DOI5:DOK11 DYE5:DYG11 EIA5:EIC11 ERW5:ERY11 FBS5:FBU11 FLO5:FLQ11 FVK5:FVM11 GFG5:GFI11 GPC5:GPE11 GYY5:GZA11 HIU5:HIW11 HSQ5:HSS11 ICM5:ICO11 IMI5:IMK11 IWE5:IWG11 JGA5:JGC11 JPW5:JPY11 JZS5:JZU11 KJO5:KJQ11 KTK5:KTM11 LDG5:LDI11 LNC5:LNE11 LWY5:LXA11 MGU5:MGW11 MQQ5:MQS11 NAM5:NAO11 NKI5:NKK11 NUE5:NUG11 OEA5:OEC11 ONW5:ONY11 OXS5:OXU11 PHO5:PHQ11 PRK5:PRM11 QBG5:QBI11 QLC5:QLE11 QUY5:QVA11 REU5:REW11 ROQ5:ROS11 RYM5:RYO11 SII5:SIK11 SSE5:SSG11 TCA5:TCC11 TLW5:TLY11 TVS5:TVU11 UFO5:UFQ11 UPK5:UPM11 UZG5:UZI11 VJC5:VJE11 VSY5:VTA11 WCU5:WCW11 WMQ5:WMS11">
      <formula1>0</formula1>
      <formula2>100000000000</formula2>
    </dataValidation>
    <dataValidation type="decimal" allowBlank="1" showInputMessage="1" showErrorMessage="1" sqref="KN65272:KN65478 UJ65272:UJ65478 AEF65272:AEF65478 AOB65272:AOB65478 AXX65272:AXX65478 BHT65272:BHT65478 BRP65272:BRP65478 CBL65272:CBL65478 CLH65272:CLH65478 CVD65272:CVD65478 DEZ65272:DEZ65478 DOV65272:DOV65478 DYR65272:DYR65478 EIN65272:EIN65478 ESJ65272:ESJ65478 FCF65272:FCF65478 FMB65272:FMB65478 FVX65272:FVX65478 GFT65272:GFT65478 GPP65272:GPP65478 GZL65272:GZL65478 HJH65272:HJH65478 HTD65272:HTD65478 ICZ65272:ICZ65478 IMV65272:IMV65478 IWR65272:IWR65478 JGN65272:JGN65478 JQJ65272:JQJ65478 KAF65272:KAF65478 KKB65272:KKB65478 KTX65272:KTX65478 LDT65272:LDT65478 LNP65272:LNP65478 LXL65272:LXL65478 MHH65272:MHH65478 MRD65272:MRD65478 NAZ65272:NAZ65478 NKV65272:NKV65478 NUR65272:NUR65478 OEN65272:OEN65478 OOJ65272:OOJ65478 OYF65272:OYF65478 PIB65272:PIB65478 PRX65272:PRX65478 QBT65272:QBT65478 QLP65272:QLP65478 QVL65272:QVL65478 RFH65272:RFH65478 RPD65272:RPD65478 RYZ65272:RYZ65478 SIV65272:SIV65478 SSR65272:SSR65478 TCN65272:TCN65478 TMJ65272:TMJ65478 TWF65272:TWF65478 UGB65272:UGB65478 UPX65272:UPX65478 UZT65272:UZT65478 VJP65272:VJP65478 VTL65272:VTL65478 WDH65272:WDH65478 WND65272:WND65478 WWZ65272:WWZ65478 KN130808:KN131014 UJ130808:UJ131014 AEF130808:AEF131014 AOB130808:AOB131014 AXX130808:AXX131014 BHT130808:BHT131014 BRP130808:BRP131014 CBL130808:CBL131014 CLH130808:CLH131014 CVD130808:CVD131014 DEZ130808:DEZ131014 DOV130808:DOV131014 DYR130808:DYR131014 EIN130808:EIN131014 ESJ130808:ESJ131014 FCF130808:FCF131014 FMB130808:FMB131014 FVX130808:FVX131014 GFT130808:GFT131014 GPP130808:GPP131014 GZL130808:GZL131014 HJH130808:HJH131014 HTD130808:HTD131014 ICZ130808:ICZ131014 IMV130808:IMV131014 IWR130808:IWR131014 JGN130808:JGN131014 JQJ130808:JQJ131014 KAF130808:KAF131014 KKB130808:KKB131014 KTX130808:KTX131014 LDT130808:LDT131014 LNP130808:LNP131014 LXL130808:LXL131014 MHH130808:MHH131014 MRD130808:MRD131014 NAZ130808:NAZ131014 NKV130808:NKV131014 NUR130808:NUR131014 OEN130808:OEN131014 OOJ130808:OOJ131014 OYF130808:OYF131014 PIB130808:PIB131014 PRX130808:PRX131014 QBT130808:QBT131014 QLP130808:QLP131014 QVL130808:QVL131014 RFH130808:RFH131014 RPD130808:RPD131014 RYZ130808:RYZ131014 SIV130808:SIV131014 SSR130808:SSR131014 TCN130808:TCN131014 TMJ130808:TMJ131014 TWF130808:TWF131014 UGB130808:UGB131014 UPX130808:UPX131014 UZT130808:UZT131014 VJP130808:VJP131014 VTL130808:VTL131014 WDH130808:WDH131014 WND130808:WND131014 WWZ130808:WWZ131014 KN196344:KN196550 UJ196344:UJ196550 AEF196344:AEF196550 AOB196344:AOB196550 AXX196344:AXX196550 BHT196344:BHT196550 BRP196344:BRP196550 CBL196344:CBL196550 CLH196344:CLH196550 CVD196344:CVD196550 DEZ196344:DEZ196550 DOV196344:DOV196550 DYR196344:DYR196550 EIN196344:EIN196550 ESJ196344:ESJ196550 FCF196344:FCF196550 FMB196344:FMB196550 FVX196344:FVX196550 GFT196344:GFT196550 GPP196344:GPP196550 GZL196344:GZL196550 HJH196344:HJH196550 HTD196344:HTD196550 ICZ196344:ICZ196550 IMV196344:IMV196550 IWR196344:IWR196550 JGN196344:JGN196550 JQJ196344:JQJ196550 KAF196344:KAF196550 KKB196344:KKB196550 KTX196344:KTX196550 LDT196344:LDT196550 LNP196344:LNP196550 LXL196344:LXL196550 MHH196344:MHH196550 MRD196344:MRD196550 NAZ196344:NAZ196550 NKV196344:NKV196550 NUR196344:NUR196550 OEN196344:OEN196550 OOJ196344:OOJ196550 OYF196344:OYF196550 PIB196344:PIB196550 PRX196344:PRX196550 QBT196344:QBT196550 QLP196344:QLP196550 QVL196344:QVL196550 RFH196344:RFH196550 RPD196344:RPD196550 RYZ196344:RYZ196550 SIV196344:SIV196550 SSR196344:SSR196550 TCN196344:TCN196550 TMJ196344:TMJ196550 TWF196344:TWF196550 UGB196344:UGB196550 UPX196344:UPX196550 UZT196344:UZT196550 VJP196344:VJP196550 VTL196344:VTL196550 WDH196344:WDH196550 WND196344:WND196550 WWZ196344:WWZ196550 KN261880:KN262086 UJ261880:UJ262086 AEF261880:AEF262086 AOB261880:AOB262086 AXX261880:AXX262086 BHT261880:BHT262086 BRP261880:BRP262086 CBL261880:CBL262086 CLH261880:CLH262086 CVD261880:CVD262086 DEZ261880:DEZ262086 DOV261880:DOV262086 DYR261880:DYR262086 EIN261880:EIN262086 ESJ261880:ESJ262086 FCF261880:FCF262086 FMB261880:FMB262086 FVX261880:FVX262086 GFT261880:GFT262086 GPP261880:GPP262086 GZL261880:GZL262086 HJH261880:HJH262086 HTD261880:HTD262086 ICZ261880:ICZ262086 IMV261880:IMV262086 IWR261880:IWR262086 JGN261880:JGN262086 JQJ261880:JQJ262086 KAF261880:KAF262086 KKB261880:KKB262086 KTX261880:KTX262086 LDT261880:LDT262086 LNP261880:LNP262086 LXL261880:LXL262086 MHH261880:MHH262086 MRD261880:MRD262086 NAZ261880:NAZ262086 NKV261880:NKV262086 NUR261880:NUR262086 OEN261880:OEN262086 OOJ261880:OOJ262086 OYF261880:OYF262086 PIB261880:PIB262086 PRX261880:PRX262086 QBT261880:QBT262086 QLP261880:QLP262086 QVL261880:QVL262086 RFH261880:RFH262086 RPD261880:RPD262086 RYZ261880:RYZ262086 SIV261880:SIV262086 SSR261880:SSR262086 TCN261880:TCN262086 TMJ261880:TMJ262086 TWF261880:TWF262086 UGB261880:UGB262086 UPX261880:UPX262086 UZT261880:UZT262086 VJP261880:VJP262086 VTL261880:VTL262086 WDH261880:WDH262086 WND261880:WND262086 WWZ261880:WWZ262086 KN327416:KN327622 UJ327416:UJ327622 AEF327416:AEF327622 AOB327416:AOB327622 AXX327416:AXX327622 BHT327416:BHT327622 BRP327416:BRP327622 CBL327416:CBL327622 CLH327416:CLH327622 CVD327416:CVD327622 DEZ327416:DEZ327622 DOV327416:DOV327622 DYR327416:DYR327622 EIN327416:EIN327622 ESJ327416:ESJ327622 FCF327416:FCF327622 FMB327416:FMB327622 FVX327416:FVX327622 GFT327416:GFT327622 GPP327416:GPP327622 GZL327416:GZL327622 HJH327416:HJH327622 HTD327416:HTD327622 ICZ327416:ICZ327622 IMV327416:IMV327622 IWR327416:IWR327622 JGN327416:JGN327622 JQJ327416:JQJ327622 KAF327416:KAF327622 KKB327416:KKB327622 KTX327416:KTX327622 LDT327416:LDT327622 LNP327416:LNP327622 LXL327416:LXL327622 MHH327416:MHH327622 MRD327416:MRD327622 NAZ327416:NAZ327622 NKV327416:NKV327622 NUR327416:NUR327622 OEN327416:OEN327622 OOJ327416:OOJ327622 OYF327416:OYF327622 PIB327416:PIB327622 PRX327416:PRX327622 QBT327416:QBT327622 QLP327416:QLP327622 QVL327416:QVL327622 RFH327416:RFH327622 RPD327416:RPD327622 RYZ327416:RYZ327622 SIV327416:SIV327622 SSR327416:SSR327622 TCN327416:TCN327622 TMJ327416:TMJ327622 TWF327416:TWF327622 UGB327416:UGB327622 UPX327416:UPX327622 UZT327416:UZT327622 VJP327416:VJP327622 VTL327416:VTL327622 WDH327416:WDH327622 WND327416:WND327622 WWZ327416:WWZ327622 KN392952:KN393158 UJ392952:UJ393158 AEF392952:AEF393158 AOB392952:AOB393158 AXX392952:AXX393158 BHT392952:BHT393158 BRP392952:BRP393158 CBL392952:CBL393158 CLH392952:CLH393158 CVD392952:CVD393158 DEZ392952:DEZ393158 DOV392952:DOV393158 DYR392952:DYR393158 EIN392952:EIN393158 ESJ392952:ESJ393158 FCF392952:FCF393158 FMB392952:FMB393158 FVX392952:FVX393158 GFT392952:GFT393158 GPP392952:GPP393158 GZL392952:GZL393158 HJH392952:HJH393158 HTD392952:HTD393158 ICZ392952:ICZ393158 IMV392952:IMV393158 IWR392952:IWR393158 JGN392952:JGN393158 JQJ392952:JQJ393158 KAF392952:KAF393158 KKB392952:KKB393158 KTX392952:KTX393158 LDT392952:LDT393158 LNP392952:LNP393158 LXL392952:LXL393158 MHH392952:MHH393158 MRD392952:MRD393158 NAZ392952:NAZ393158 NKV392952:NKV393158 NUR392952:NUR393158 OEN392952:OEN393158 OOJ392952:OOJ393158 OYF392952:OYF393158 PIB392952:PIB393158 PRX392952:PRX393158 QBT392952:QBT393158 QLP392952:QLP393158 QVL392952:QVL393158 RFH392952:RFH393158 RPD392952:RPD393158 RYZ392952:RYZ393158 SIV392952:SIV393158 SSR392952:SSR393158 TCN392952:TCN393158 TMJ392952:TMJ393158 TWF392952:TWF393158 UGB392952:UGB393158 UPX392952:UPX393158 UZT392952:UZT393158 VJP392952:VJP393158 VTL392952:VTL393158 WDH392952:WDH393158 WND392952:WND393158 WWZ392952:WWZ393158 KN458488:KN458694 UJ458488:UJ458694 AEF458488:AEF458694 AOB458488:AOB458694 AXX458488:AXX458694 BHT458488:BHT458694 BRP458488:BRP458694 CBL458488:CBL458694 CLH458488:CLH458694 CVD458488:CVD458694 DEZ458488:DEZ458694 DOV458488:DOV458694 DYR458488:DYR458694 EIN458488:EIN458694 ESJ458488:ESJ458694 FCF458488:FCF458694 FMB458488:FMB458694 FVX458488:FVX458694 GFT458488:GFT458694 GPP458488:GPP458694 GZL458488:GZL458694 HJH458488:HJH458694 HTD458488:HTD458694 ICZ458488:ICZ458694 IMV458488:IMV458694 IWR458488:IWR458694 JGN458488:JGN458694 JQJ458488:JQJ458694 KAF458488:KAF458694 KKB458488:KKB458694 KTX458488:KTX458694 LDT458488:LDT458694 LNP458488:LNP458694 LXL458488:LXL458694 MHH458488:MHH458694 MRD458488:MRD458694 NAZ458488:NAZ458694 NKV458488:NKV458694 NUR458488:NUR458694 OEN458488:OEN458694 OOJ458488:OOJ458694 OYF458488:OYF458694 PIB458488:PIB458694 PRX458488:PRX458694 QBT458488:QBT458694 QLP458488:QLP458694 QVL458488:QVL458694 RFH458488:RFH458694 RPD458488:RPD458694 RYZ458488:RYZ458694 SIV458488:SIV458694 SSR458488:SSR458694 TCN458488:TCN458694 TMJ458488:TMJ458694 TWF458488:TWF458694 UGB458488:UGB458694 UPX458488:UPX458694 UZT458488:UZT458694 VJP458488:VJP458694 VTL458488:VTL458694 WDH458488:WDH458694 WND458488:WND458694 WWZ458488:WWZ458694 KN524024:KN524230 UJ524024:UJ524230 AEF524024:AEF524230 AOB524024:AOB524230 AXX524024:AXX524230 BHT524024:BHT524230 BRP524024:BRP524230 CBL524024:CBL524230 CLH524024:CLH524230 CVD524024:CVD524230 DEZ524024:DEZ524230 DOV524024:DOV524230 DYR524024:DYR524230 EIN524024:EIN524230 ESJ524024:ESJ524230 FCF524024:FCF524230 FMB524024:FMB524230 FVX524024:FVX524230 GFT524024:GFT524230 GPP524024:GPP524230 GZL524024:GZL524230 HJH524024:HJH524230 HTD524024:HTD524230 ICZ524024:ICZ524230 IMV524024:IMV524230 IWR524024:IWR524230 JGN524024:JGN524230 JQJ524024:JQJ524230 KAF524024:KAF524230 KKB524024:KKB524230 KTX524024:KTX524230 LDT524024:LDT524230 LNP524024:LNP524230 LXL524024:LXL524230 MHH524024:MHH524230 MRD524024:MRD524230 NAZ524024:NAZ524230 NKV524024:NKV524230 NUR524024:NUR524230 OEN524024:OEN524230 OOJ524024:OOJ524230 OYF524024:OYF524230 PIB524024:PIB524230 PRX524024:PRX524230 QBT524024:QBT524230 QLP524024:QLP524230 QVL524024:QVL524230 RFH524024:RFH524230 RPD524024:RPD524230 RYZ524024:RYZ524230 SIV524024:SIV524230 SSR524024:SSR524230 TCN524024:TCN524230 TMJ524024:TMJ524230 TWF524024:TWF524230 UGB524024:UGB524230 UPX524024:UPX524230 UZT524024:UZT524230 VJP524024:VJP524230 VTL524024:VTL524230 WDH524024:WDH524230 WND524024:WND524230 WWZ524024:WWZ524230 KN589560:KN589766 UJ589560:UJ589766 AEF589560:AEF589766 AOB589560:AOB589766 AXX589560:AXX589766 BHT589560:BHT589766 BRP589560:BRP589766 CBL589560:CBL589766 CLH589560:CLH589766 CVD589560:CVD589766 DEZ589560:DEZ589766 DOV589560:DOV589766 DYR589560:DYR589766 EIN589560:EIN589766 ESJ589560:ESJ589766 FCF589560:FCF589766 FMB589560:FMB589766 FVX589560:FVX589766 GFT589560:GFT589766 GPP589560:GPP589766 GZL589560:GZL589766 HJH589560:HJH589766 HTD589560:HTD589766 ICZ589560:ICZ589766 IMV589560:IMV589766 IWR589560:IWR589766 JGN589560:JGN589766 JQJ589560:JQJ589766 KAF589560:KAF589766 KKB589560:KKB589766 KTX589560:KTX589766 LDT589560:LDT589766 LNP589560:LNP589766 LXL589560:LXL589766 MHH589560:MHH589766 MRD589560:MRD589766 NAZ589560:NAZ589766 NKV589560:NKV589766 NUR589560:NUR589766 OEN589560:OEN589766 OOJ589560:OOJ589766 OYF589560:OYF589766 PIB589560:PIB589766 PRX589560:PRX589766 QBT589560:QBT589766 QLP589560:QLP589766 QVL589560:QVL589766 RFH589560:RFH589766 RPD589560:RPD589766 RYZ589560:RYZ589766 SIV589560:SIV589766 SSR589560:SSR589766 TCN589560:TCN589766 TMJ589560:TMJ589766 TWF589560:TWF589766 UGB589560:UGB589766 UPX589560:UPX589766 UZT589560:UZT589766 VJP589560:VJP589766 VTL589560:VTL589766 WDH589560:WDH589766 WND589560:WND589766 WWZ589560:WWZ589766 KN655096:KN655302 UJ655096:UJ655302 AEF655096:AEF655302 AOB655096:AOB655302 AXX655096:AXX655302 BHT655096:BHT655302 BRP655096:BRP655302 CBL655096:CBL655302 CLH655096:CLH655302 CVD655096:CVD655302 DEZ655096:DEZ655302 DOV655096:DOV655302 DYR655096:DYR655302 EIN655096:EIN655302 ESJ655096:ESJ655302 FCF655096:FCF655302 FMB655096:FMB655302 FVX655096:FVX655302 GFT655096:GFT655302 GPP655096:GPP655302 GZL655096:GZL655302 HJH655096:HJH655302 HTD655096:HTD655302 ICZ655096:ICZ655302 IMV655096:IMV655302 IWR655096:IWR655302 JGN655096:JGN655302 JQJ655096:JQJ655302 KAF655096:KAF655302 KKB655096:KKB655302 KTX655096:KTX655302 LDT655096:LDT655302 LNP655096:LNP655302 LXL655096:LXL655302 MHH655096:MHH655302 MRD655096:MRD655302 NAZ655096:NAZ655302 NKV655096:NKV655302 NUR655096:NUR655302 OEN655096:OEN655302 OOJ655096:OOJ655302 OYF655096:OYF655302 PIB655096:PIB655302 PRX655096:PRX655302 QBT655096:QBT655302 QLP655096:QLP655302 QVL655096:QVL655302 RFH655096:RFH655302 RPD655096:RPD655302 RYZ655096:RYZ655302 SIV655096:SIV655302 SSR655096:SSR655302 TCN655096:TCN655302 TMJ655096:TMJ655302 TWF655096:TWF655302 UGB655096:UGB655302 UPX655096:UPX655302 UZT655096:UZT655302 VJP655096:VJP655302 VTL655096:VTL655302 WDH655096:WDH655302 WND655096:WND655302 WWZ655096:WWZ655302 KN720632:KN720838 UJ720632:UJ720838 AEF720632:AEF720838 AOB720632:AOB720838 AXX720632:AXX720838 BHT720632:BHT720838 BRP720632:BRP720838 CBL720632:CBL720838 CLH720632:CLH720838 CVD720632:CVD720838 DEZ720632:DEZ720838 DOV720632:DOV720838 DYR720632:DYR720838 EIN720632:EIN720838 ESJ720632:ESJ720838 FCF720632:FCF720838 FMB720632:FMB720838 FVX720632:FVX720838 GFT720632:GFT720838 GPP720632:GPP720838 GZL720632:GZL720838 HJH720632:HJH720838 HTD720632:HTD720838 ICZ720632:ICZ720838 IMV720632:IMV720838 IWR720632:IWR720838 JGN720632:JGN720838 JQJ720632:JQJ720838 KAF720632:KAF720838 KKB720632:KKB720838 KTX720632:KTX720838 LDT720632:LDT720838 LNP720632:LNP720838 LXL720632:LXL720838 MHH720632:MHH720838 MRD720632:MRD720838 NAZ720632:NAZ720838 NKV720632:NKV720838 NUR720632:NUR720838 OEN720632:OEN720838 OOJ720632:OOJ720838 OYF720632:OYF720838 PIB720632:PIB720838 PRX720632:PRX720838 QBT720632:QBT720838 QLP720632:QLP720838 QVL720632:QVL720838 RFH720632:RFH720838 RPD720632:RPD720838 RYZ720632:RYZ720838 SIV720632:SIV720838 SSR720632:SSR720838 TCN720632:TCN720838 TMJ720632:TMJ720838 TWF720632:TWF720838 UGB720632:UGB720838 UPX720632:UPX720838 UZT720632:UZT720838 VJP720632:VJP720838 VTL720632:VTL720838 WDH720632:WDH720838 WND720632:WND720838 WWZ720632:WWZ720838 KN786168:KN786374 UJ786168:UJ786374 AEF786168:AEF786374 AOB786168:AOB786374 AXX786168:AXX786374 BHT786168:BHT786374 BRP786168:BRP786374 CBL786168:CBL786374 CLH786168:CLH786374 CVD786168:CVD786374 DEZ786168:DEZ786374 DOV786168:DOV786374 DYR786168:DYR786374 EIN786168:EIN786374 ESJ786168:ESJ786374 FCF786168:FCF786374 FMB786168:FMB786374 FVX786168:FVX786374 GFT786168:GFT786374 GPP786168:GPP786374 GZL786168:GZL786374 HJH786168:HJH786374 HTD786168:HTD786374 ICZ786168:ICZ786374 IMV786168:IMV786374 IWR786168:IWR786374 JGN786168:JGN786374 JQJ786168:JQJ786374 KAF786168:KAF786374 KKB786168:KKB786374 KTX786168:KTX786374 LDT786168:LDT786374 LNP786168:LNP786374 LXL786168:LXL786374 MHH786168:MHH786374 MRD786168:MRD786374 NAZ786168:NAZ786374 NKV786168:NKV786374 NUR786168:NUR786374 OEN786168:OEN786374 OOJ786168:OOJ786374 OYF786168:OYF786374 PIB786168:PIB786374 PRX786168:PRX786374 QBT786168:QBT786374 QLP786168:QLP786374 QVL786168:QVL786374 RFH786168:RFH786374 RPD786168:RPD786374 RYZ786168:RYZ786374 SIV786168:SIV786374 SSR786168:SSR786374 TCN786168:TCN786374 TMJ786168:TMJ786374 TWF786168:TWF786374 UGB786168:UGB786374 UPX786168:UPX786374 UZT786168:UZT786374 VJP786168:VJP786374 VTL786168:VTL786374 WDH786168:WDH786374 WND786168:WND786374 WWZ786168:WWZ786374 KN851704:KN851910 UJ851704:UJ851910 AEF851704:AEF851910 AOB851704:AOB851910 AXX851704:AXX851910 BHT851704:BHT851910 BRP851704:BRP851910 CBL851704:CBL851910 CLH851704:CLH851910 CVD851704:CVD851910 DEZ851704:DEZ851910 DOV851704:DOV851910 DYR851704:DYR851910 EIN851704:EIN851910 ESJ851704:ESJ851910 FCF851704:FCF851910 FMB851704:FMB851910 FVX851704:FVX851910 GFT851704:GFT851910 GPP851704:GPP851910 GZL851704:GZL851910 HJH851704:HJH851910 HTD851704:HTD851910 ICZ851704:ICZ851910 IMV851704:IMV851910 IWR851704:IWR851910 JGN851704:JGN851910 JQJ851704:JQJ851910 KAF851704:KAF851910 KKB851704:KKB851910 KTX851704:KTX851910 LDT851704:LDT851910 LNP851704:LNP851910 LXL851704:LXL851910 MHH851704:MHH851910 MRD851704:MRD851910 NAZ851704:NAZ851910 NKV851704:NKV851910 NUR851704:NUR851910 OEN851704:OEN851910 OOJ851704:OOJ851910 OYF851704:OYF851910 PIB851704:PIB851910 PRX851704:PRX851910 QBT851704:QBT851910 QLP851704:QLP851910 QVL851704:QVL851910 RFH851704:RFH851910 RPD851704:RPD851910 RYZ851704:RYZ851910 SIV851704:SIV851910 SSR851704:SSR851910 TCN851704:TCN851910 TMJ851704:TMJ851910 TWF851704:TWF851910 UGB851704:UGB851910 UPX851704:UPX851910 UZT851704:UZT851910 VJP851704:VJP851910 VTL851704:VTL851910 WDH851704:WDH851910 WND851704:WND851910 WWZ851704:WWZ851910 KN917240:KN917446 UJ917240:UJ917446 AEF917240:AEF917446 AOB917240:AOB917446 AXX917240:AXX917446 BHT917240:BHT917446 BRP917240:BRP917446 CBL917240:CBL917446 CLH917240:CLH917446 CVD917240:CVD917446 DEZ917240:DEZ917446 DOV917240:DOV917446 DYR917240:DYR917446 EIN917240:EIN917446 ESJ917240:ESJ917446 FCF917240:FCF917446 FMB917240:FMB917446 FVX917240:FVX917446 GFT917240:GFT917446 GPP917240:GPP917446 GZL917240:GZL917446 HJH917240:HJH917446 HTD917240:HTD917446 ICZ917240:ICZ917446 IMV917240:IMV917446 IWR917240:IWR917446 JGN917240:JGN917446 JQJ917240:JQJ917446 KAF917240:KAF917446 KKB917240:KKB917446 KTX917240:KTX917446 LDT917240:LDT917446 LNP917240:LNP917446 LXL917240:LXL917446 MHH917240:MHH917446 MRD917240:MRD917446 NAZ917240:NAZ917446 NKV917240:NKV917446 NUR917240:NUR917446 OEN917240:OEN917446 OOJ917240:OOJ917446 OYF917240:OYF917446 PIB917240:PIB917446 PRX917240:PRX917446 QBT917240:QBT917446 QLP917240:QLP917446 QVL917240:QVL917446 RFH917240:RFH917446 RPD917240:RPD917446 RYZ917240:RYZ917446 SIV917240:SIV917446 SSR917240:SSR917446 TCN917240:TCN917446 TMJ917240:TMJ917446 TWF917240:TWF917446 UGB917240:UGB917446 UPX917240:UPX917446 UZT917240:UZT917446 VJP917240:VJP917446 VTL917240:VTL917446 WDH917240:WDH917446 WND917240:WND917446 WWZ917240:WWZ917446 KN982776:KN982982 UJ982776:UJ982982 AEF982776:AEF982982 AOB982776:AOB982982 AXX982776:AXX982982 BHT982776:BHT982982 BRP982776:BRP982982 CBL982776:CBL982982 CLH982776:CLH982982 CVD982776:CVD982982 DEZ982776:DEZ982982 DOV982776:DOV982982 DYR982776:DYR982982 EIN982776:EIN982982 ESJ982776:ESJ982982 FCF982776:FCF982982 FMB982776:FMB982982 FVX982776:FVX982982 GFT982776:GFT982982 GPP982776:GPP982982 GZL982776:GZL982982 HJH982776:HJH982982 HTD982776:HTD982982 ICZ982776:ICZ982982 IMV982776:IMV982982 IWR982776:IWR982982 JGN982776:JGN982982 JQJ982776:JQJ982982 KAF982776:KAF982982 KKB982776:KKB982982 KTX982776:KTX982982 LDT982776:LDT982982 LNP982776:LNP982982 LXL982776:LXL982982 MHH982776:MHH982982 MRD982776:MRD982982 NAZ982776:NAZ982982 NKV982776:NKV982982 NUR982776:NUR982982 OEN982776:OEN982982 OOJ982776:OOJ982982 OYF982776:OYF982982 PIB982776:PIB982982 PRX982776:PRX982982 QBT982776:QBT982982 QLP982776:QLP982982 QVL982776:QVL982982 RFH982776:RFH982982 RPD982776:RPD982982 RYZ982776:RYZ982982 SIV982776:SIV982982 SSR982776:SSR982982 TCN982776:TCN982982 TMJ982776:TMJ982982 TWF982776:TWF982982 UGB982776:UGB982982 UPX982776:UPX982982 UZT982776:UZT982982 VJP982776:VJP982982 VTL982776:VTL982982 WDH982776:WDH982982 WND982776:WND982982 WWZ982776:WWZ982982 CB65272:CC65478 LU65272:LU65478 VQ65272:VQ65478 AFM65272:AFM65478 API65272:API65478 AZE65272:AZE65478 BJA65272:BJA65478 BSW65272:BSW65478 CCS65272:CCS65478 CMO65272:CMO65478 CWK65272:CWK65478 DGG65272:DGG65478 DQC65272:DQC65478 DZY65272:DZY65478 EJU65272:EJU65478 ETQ65272:ETQ65478 FDM65272:FDM65478 FNI65272:FNI65478 FXE65272:FXE65478 GHA65272:GHA65478 GQW65272:GQW65478 HAS65272:HAS65478 HKO65272:HKO65478 HUK65272:HUK65478 IEG65272:IEG65478 IOC65272:IOC65478 IXY65272:IXY65478 JHU65272:JHU65478 JRQ65272:JRQ65478 KBM65272:KBM65478 KLI65272:KLI65478 KVE65272:KVE65478 LFA65272:LFA65478 LOW65272:LOW65478 LYS65272:LYS65478 MIO65272:MIO65478 MSK65272:MSK65478 NCG65272:NCG65478 NMC65272:NMC65478 NVY65272:NVY65478 OFU65272:OFU65478 OPQ65272:OPQ65478 OZM65272:OZM65478 PJI65272:PJI65478 PTE65272:PTE65478 QDA65272:QDA65478 QMW65272:QMW65478 QWS65272:QWS65478 RGO65272:RGO65478 RQK65272:RQK65478 SAG65272:SAG65478 SKC65272:SKC65478 STY65272:STY65478 TDU65272:TDU65478 TNQ65272:TNQ65478 TXM65272:TXM65478 UHI65272:UHI65478 URE65272:URE65478 VBA65272:VBA65478 VKW65272:VKW65478 VUS65272:VUS65478 WEO65272:WEO65478 WOK65272:WOK65478 WYG65272:WYG65478 CB130808:CC131014 LU130808:LU131014 VQ130808:VQ131014 AFM130808:AFM131014 API130808:API131014 AZE130808:AZE131014 BJA130808:BJA131014 BSW130808:BSW131014 CCS130808:CCS131014 CMO130808:CMO131014 CWK130808:CWK131014 DGG130808:DGG131014 DQC130808:DQC131014 DZY130808:DZY131014 EJU130808:EJU131014 ETQ130808:ETQ131014 FDM130808:FDM131014 FNI130808:FNI131014 FXE130808:FXE131014 GHA130808:GHA131014 GQW130808:GQW131014 HAS130808:HAS131014 HKO130808:HKO131014 HUK130808:HUK131014 IEG130808:IEG131014 IOC130808:IOC131014 IXY130808:IXY131014 JHU130808:JHU131014 JRQ130808:JRQ131014 KBM130808:KBM131014 KLI130808:KLI131014 KVE130808:KVE131014 LFA130808:LFA131014 LOW130808:LOW131014 LYS130808:LYS131014 MIO130808:MIO131014 MSK130808:MSK131014 NCG130808:NCG131014 NMC130808:NMC131014 NVY130808:NVY131014 OFU130808:OFU131014 OPQ130808:OPQ131014 OZM130808:OZM131014 PJI130808:PJI131014 PTE130808:PTE131014 QDA130808:QDA131014 QMW130808:QMW131014 QWS130808:QWS131014 RGO130808:RGO131014 RQK130808:RQK131014 SAG130808:SAG131014 SKC130808:SKC131014 STY130808:STY131014 TDU130808:TDU131014 TNQ130808:TNQ131014 TXM130808:TXM131014 UHI130808:UHI131014 URE130808:URE131014 VBA130808:VBA131014 VKW130808:VKW131014 VUS130808:VUS131014 WEO130808:WEO131014 WOK130808:WOK131014 WYG130808:WYG131014 CB196344:CC196550 LU196344:LU196550 VQ196344:VQ196550 AFM196344:AFM196550 API196344:API196550 AZE196344:AZE196550 BJA196344:BJA196550 BSW196344:BSW196550 CCS196344:CCS196550 CMO196344:CMO196550 CWK196344:CWK196550 DGG196344:DGG196550 DQC196344:DQC196550 DZY196344:DZY196550 EJU196344:EJU196550 ETQ196344:ETQ196550 FDM196344:FDM196550 FNI196344:FNI196550 FXE196344:FXE196550 GHA196344:GHA196550 GQW196344:GQW196550 HAS196344:HAS196550 HKO196344:HKO196550 HUK196344:HUK196550 IEG196344:IEG196550 IOC196344:IOC196550 IXY196344:IXY196550 JHU196344:JHU196550 JRQ196344:JRQ196550 KBM196344:KBM196550 KLI196344:KLI196550 KVE196344:KVE196550 LFA196344:LFA196550 LOW196344:LOW196550 LYS196344:LYS196550 MIO196344:MIO196550 MSK196344:MSK196550 NCG196344:NCG196550 NMC196344:NMC196550 NVY196344:NVY196550 OFU196344:OFU196550 OPQ196344:OPQ196550 OZM196344:OZM196550 PJI196344:PJI196550 PTE196344:PTE196550 QDA196344:QDA196550 QMW196344:QMW196550 QWS196344:QWS196550 RGO196344:RGO196550 RQK196344:RQK196550 SAG196344:SAG196550 SKC196344:SKC196550 STY196344:STY196550 TDU196344:TDU196550 TNQ196344:TNQ196550 TXM196344:TXM196550 UHI196344:UHI196550 URE196344:URE196550 VBA196344:VBA196550 VKW196344:VKW196550 VUS196344:VUS196550 WEO196344:WEO196550 WOK196344:WOK196550 WYG196344:WYG196550 CB261880:CC262086 LU261880:LU262086 VQ261880:VQ262086 AFM261880:AFM262086 API261880:API262086 AZE261880:AZE262086 BJA261880:BJA262086 BSW261880:BSW262086 CCS261880:CCS262086 CMO261880:CMO262086 CWK261880:CWK262086 DGG261880:DGG262086 DQC261880:DQC262086 DZY261880:DZY262086 EJU261880:EJU262086 ETQ261880:ETQ262086 FDM261880:FDM262086 FNI261880:FNI262086 FXE261880:FXE262086 GHA261880:GHA262086 GQW261880:GQW262086 HAS261880:HAS262086 HKO261880:HKO262086 HUK261880:HUK262086 IEG261880:IEG262086 IOC261880:IOC262086 IXY261880:IXY262086 JHU261880:JHU262086 JRQ261880:JRQ262086 KBM261880:KBM262086 KLI261880:KLI262086 KVE261880:KVE262086 LFA261880:LFA262086 LOW261880:LOW262086 LYS261880:LYS262086 MIO261880:MIO262086 MSK261880:MSK262086 NCG261880:NCG262086 NMC261880:NMC262086 NVY261880:NVY262086 OFU261880:OFU262086 OPQ261880:OPQ262086 OZM261880:OZM262086 PJI261880:PJI262086 PTE261880:PTE262086 QDA261880:QDA262086 QMW261880:QMW262086 QWS261880:QWS262086 RGO261880:RGO262086 RQK261880:RQK262086 SAG261880:SAG262086 SKC261880:SKC262086 STY261880:STY262086 TDU261880:TDU262086 TNQ261880:TNQ262086 TXM261880:TXM262086 UHI261880:UHI262086 URE261880:URE262086 VBA261880:VBA262086 VKW261880:VKW262086 VUS261880:VUS262086 WEO261880:WEO262086 WOK261880:WOK262086 WYG261880:WYG262086 CB327416:CC327622 LU327416:LU327622 VQ327416:VQ327622 AFM327416:AFM327622 API327416:API327622 AZE327416:AZE327622 BJA327416:BJA327622 BSW327416:BSW327622 CCS327416:CCS327622 CMO327416:CMO327622 CWK327416:CWK327622 DGG327416:DGG327622 DQC327416:DQC327622 DZY327416:DZY327622 EJU327416:EJU327622 ETQ327416:ETQ327622 FDM327416:FDM327622 FNI327416:FNI327622 FXE327416:FXE327622 GHA327416:GHA327622 GQW327416:GQW327622 HAS327416:HAS327622 HKO327416:HKO327622 HUK327416:HUK327622 IEG327416:IEG327622 IOC327416:IOC327622 IXY327416:IXY327622 JHU327416:JHU327622 JRQ327416:JRQ327622 KBM327416:KBM327622 KLI327416:KLI327622 KVE327416:KVE327622 LFA327416:LFA327622 LOW327416:LOW327622 LYS327416:LYS327622 MIO327416:MIO327622 MSK327416:MSK327622 NCG327416:NCG327622 NMC327416:NMC327622 NVY327416:NVY327622 OFU327416:OFU327622 OPQ327416:OPQ327622 OZM327416:OZM327622 PJI327416:PJI327622 PTE327416:PTE327622 QDA327416:QDA327622 QMW327416:QMW327622 QWS327416:QWS327622 RGO327416:RGO327622 RQK327416:RQK327622 SAG327416:SAG327622 SKC327416:SKC327622 STY327416:STY327622 TDU327416:TDU327622 TNQ327416:TNQ327622 TXM327416:TXM327622 UHI327416:UHI327622 URE327416:URE327622 VBA327416:VBA327622 VKW327416:VKW327622 VUS327416:VUS327622 WEO327416:WEO327622 WOK327416:WOK327622 WYG327416:WYG327622 CB392952:CC393158 LU392952:LU393158 VQ392952:VQ393158 AFM392952:AFM393158 API392952:API393158 AZE392952:AZE393158 BJA392952:BJA393158 BSW392952:BSW393158 CCS392952:CCS393158 CMO392952:CMO393158 CWK392952:CWK393158 DGG392952:DGG393158 DQC392952:DQC393158 DZY392952:DZY393158 EJU392952:EJU393158 ETQ392952:ETQ393158 FDM392952:FDM393158 FNI392952:FNI393158 FXE392952:FXE393158 GHA392952:GHA393158 GQW392952:GQW393158 HAS392952:HAS393158 HKO392952:HKO393158 HUK392952:HUK393158 IEG392952:IEG393158 IOC392952:IOC393158 IXY392952:IXY393158 JHU392952:JHU393158 JRQ392952:JRQ393158 KBM392952:KBM393158 KLI392952:KLI393158 KVE392952:KVE393158 LFA392952:LFA393158 LOW392952:LOW393158 LYS392952:LYS393158 MIO392952:MIO393158 MSK392952:MSK393158 NCG392952:NCG393158 NMC392952:NMC393158 NVY392952:NVY393158 OFU392952:OFU393158 OPQ392952:OPQ393158 OZM392952:OZM393158 PJI392952:PJI393158 PTE392952:PTE393158 QDA392952:QDA393158 QMW392952:QMW393158 QWS392952:QWS393158 RGO392952:RGO393158 RQK392952:RQK393158 SAG392952:SAG393158 SKC392952:SKC393158 STY392952:STY393158 TDU392952:TDU393158 TNQ392952:TNQ393158 TXM392952:TXM393158 UHI392952:UHI393158 URE392952:URE393158 VBA392952:VBA393158 VKW392952:VKW393158 VUS392952:VUS393158 WEO392952:WEO393158 WOK392952:WOK393158 WYG392952:WYG393158 CB458488:CC458694 LU458488:LU458694 VQ458488:VQ458694 AFM458488:AFM458694 API458488:API458694 AZE458488:AZE458694 BJA458488:BJA458694 BSW458488:BSW458694 CCS458488:CCS458694 CMO458488:CMO458694 CWK458488:CWK458694 DGG458488:DGG458694 DQC458488:DQC458694 DZY458488:DZY458694 EJU458488:EJU458694 ETQ458488:ETQ458694 FDM458488:FDM458694 FNI458488:FNI458694 FXE458488:FXE458694 GHA458488:GHA458694 GQW458488:GQW458694 HAS458488:HAS458694 HKO458488:HKO458694 HUK458488:HUK458694 IEG458488:IEG458694 IOC458488:IOC458694 IXY458488:IXY458694 JHU458488:JHU458694 JRQ458488:JRQ458694 KBM458488:KBM458694 KLI458488:KLI458694 KVE458488:KVE458694 LFA458488:LFA458694 LOW458488:LOW458694 LYS458488:LYS458694 MIO458488:MIO458694 MSK458488:MSK458694 NCG458488:NCG458694 NMC458488:NMC458694 NVY458488:NVY458694 OFU458488:OFU458694 OPQ458488:OPQ458694 OZM458488:OZM458694 PJI458488:PJI458694 PTE458488:PTE458694 QDA458488:QDA458694 QMW458488:QMW458694 QWS458488:QWS458694 RGO458488:RGO458694 RQK458488:RQK458694 SAG458488:SAG458694 SKC458488:SKC458694 STY458488:STY458694 TDU458488:TDU458694 TNQ458488:TNQ458694 TXM458488:TXM458694 UHI458488:UHI458694 URE458488:URE458694 VBA458488:VBA458694 VKW458488:VKW458694 VUS458488:VUS458694 WEO458488:WEO458694 WOK458488:WOK458694 WYG458488:WYG458694 CB524024:CC524230 LU524024:LU524230 VQ524024:VQ524230 AFM524024:AFM524230 API524024:API524230 AZE524024:AZE524230 BJA524024:BJA524230 BSW524024:BSW524230 CCS524024:CCS524230 CMO524024:CMO524230 CWK524024:CWK524230 DGG524024:DGG524230 DQC524024:DQC524230 DZY524024:DZY524230 EJU524024:EJU524230 ETQ524024:ETQ524230 FDM524024:FDM524230 FNI524024:FNI524230 FXE524024:FXE524230 GHA524024:GHA524230 GQW524024:GQW524230 HAS524024:HAS524230 HKO524024:HKO524230 HUK524024:HUK524230 IEG524024:IEG524230 IOC524024:IOC524230 IXY524024:IXY524230 JHU524024:JHU524230 JRQ524024:JRQ524230 KBM524024:KBM524230 KLI524024:KLI524230 KVE524024:KVE524230 LFA524024:LFA524230 LOW524024:LOW524230 LYS524024:LYS524230 MIO524024:MIO524230 MSK524024:MSK524230 NCG524024:NCG524230 NMC524024:NMC524230 NVY524024:NVY524230 OFU524024:OFU524230 OPQ524024:OPQ524230 OZM524024:OZM524230 PJI524024:PJI524230 PTE524024:PTE524230 QDA524024:QDA524230 QMW524024:QMW524230 QWS524024:QWS524230 RGO524024:RGO524230 RQK524024:RQK524230 SAG524024:SAG524230 SKC524024:SKC524230 STY524024:STY524230 TDU524024:TDU524230 TNQ524024:TNQ524230 TXM524024:TXM524230 UHI524024:UHI524230 URE524024:URE524230 VBA524024:VBA524230 VKW524024:VKW524230 VUS524024:VUS524230 WEO524024:WEO524230 WOK524024:WOK524230 WYG524024:WYG524230 CB589560:CC589766 LU589560:LU589766 VQ589560:VQ589766 AFM589560:AFM589766 API589560:API589766 AZE589560:AZE589766 BJA589560:BJA589766 BSW589560:BSW589766 CCS589560:CCS589766 CMO589560:CMO589766 CWK589560:CWK589766 DGG589560:DGG589766 DQC589560:DQC589766 DZY589560:DZY589766 EJU589560:EJU589766 ETQ589560:ETQ589766 FDM589560:FDM589766 FNI589560:FNI589766 FXE589560:FXE589766 GHA589560:GHA589766 GQW589560:GQW589766 HAS589560:HAS589766 HKO589560:HKO589766 HUK589560:HUK589766 IEG589560:IEG589766 IOC589560:IOC589766 IXY589560:IXY589766 JHU589560:JHU589766 JRQ589560:JRQ589766 KBM589560:KBM589766 KLI589560:KLI589766 KVE589560:KVE589766 LFA589560:LFA589766 LOW589560:LOW589766 LYS589560:LYS589766 MIO589560:MIO589766 MSK589560:MSK589766 NCG589560:NCG589766 NMC589560:NMC589766 NVY589560:NVY589766 OFU589560:OFU589766 OPQ589560:OPQ589766 OZM589560:OZM589766 PJI589560:PJI589766 PTE589560:PTE589766 QDA589560:QDA589766 QMW589560:QMW589766 QWS589560:QWS589766 RGO589560:RGO589766 RQK589560:RQK589766 SAG589560:SAG589766 SKC589560:SKC589766 STY589560:STY589766 TDU589560:TDU589766 TNQ589560:TNQ589766 TXM589560:TXM589766 UHI589560:UHI589766 URE589560:URE589766 VBA589560:VBA589766 VKW589560:VKW589766 VUS589560:VUS589766 WEO589560:WEO589766 WOK589560:WOK589766 WYG589560:WYG589766 CB655096:CC655302 LU655096:LU655302 VQ655096:VQ655302 AFM655096:AFM655302 API655096:API655302 AZE655096:AZE655302 BJA655096:BJA655302 BSW655096:BSW655302 CCS655096:CCS655302 CMO655096:CMO655302 CWK655096:CWK655302 DGG655096:DGG655302 DQC655096:DQC655302 DZY655096:DZY655302 EJU655096:EJU655302 ETQ655096:ETQ655302 FDM655096:FDM655302 FNI655096:FNI655302 FXE655096:FXE655302 GHA655096:GHA655302 GQW655096:GQW655302 HAS655096:HAS655302 HKO655096:HKO655302 HUK655096:HUK655302 IEG655096:IEG655302 IOC655096:IOC655302 IXY655096:IXY655302 JHU655096:JHU655302 JRQ655096:JRQ655302 KBM655096:KBM655302 KLI655096:KLI655302 KVE655096:KVE655302 LFA655096:LFA655302 LOW655096:LOW655302 LYS655096:LYS655302 MIO655096:MIO655302 MSK655096:MSK655302 NCG655096:NCG655302 NMC655096:NMC655302 NVY655096:NVY655302 OFU655096:OFU655302 OPQ655096:OPQ655302 OZM655096:OZM655302 PJI655096:PJI655302 PTE655096:PTE655302 QDA655096:QDA655302 QMW655096:QMW655302 QWS655096:QWS655302 RGO655096:RGO655302 RQK655096:RQK655302 SAG655096:SAG655302 SKC655096:SKC655302 STY655096:STY655302 TDU655096:TDU655302 TNQ655096:TNQ655302 TXM655096:TXM655302 UHI655096:UHI655302 URE655096:URE655302 VBA655096:VBA655302 VKW655096:VKW655302 VUS655096:VUS655302 WEO655096:WEO655302 WOK655096:WOK655302 WYG655096:WYG655302 CB720632:CC720838 LU720632:LU720838 VQ720632:VQ720838 AFM720632:AFM720838 API720632:API720838 AZE720632:AZE720838 BJA720632:BJA720838 BSW720632:BSW720838 CCS720632:CCS720838 CMO720632:CMO720838 CWK720632:CWK720838 DGG720632:DGG720838 DQC720632:DQC720838 DZY720632:DZY720838 EJU720632:EJU720838 ETQ720632:ETQ720838 FDM720632:FDM720838 FNI720632:FNI720838 FXE720632:FXE720838 GHA720632:GHA720838 GQW720632:GQW720838 HAS720632:HAS720838 HKO720632:HKO720838 HUK720632:HUK720838 IEG720632:IEG720838 IOC720632:IOC720838 IXY720632:IXY720838 JHU720632:JHU720838 JRQ720632:JRQ720838 KBM720632:KBM720838 KLI720632:KLI720838 KVE720632:KVE720838 LFA720632:LFA720838 LOW720632:LOW720838 LYS720632:LYS720838 MIO720632:MIO720838 MSK720632:MSK720838 NCG720632:NCG720838 NMC720632:NMC720838 NVY720632:NVY720838 OFU720632:OFU720838 OPQ720632:OPQ720838 OZM720632:OZM720838 PJI720632:PJI720838 PTE720632:PTE720838 QDA720632:QDA720838 QMW720632:QMW720838 QWS720632:QWS720838 RGO720632:RGO720838 RQK720632:RQK720838 SAG720632:SAG720838 SKC720632:SKC720838 STY720632:STY720838 TDU720632:TDU720838 TNQ720632:TNQ720838 TXM720632:TXM720838 UHI720632:UHI720838 URE720632:URE720838 VBA720632:VBA720838 VKW720632:VKW720838 VUS720632:VUS720838 WEO720632:WEO720838 WOK720632:WOK720838 WYG720632:WYG720838 CB786168:CC786374 LU786168:LU786374 VQ786168:VQ786374 AFM786168:AFM786374 API786168:API786374 AZE786168:AZE786374 BJA786168:BJA786374 BSW786168:BSW786374 CCS786168:CCS786374 CMO786168:CMO786374 CWK786168:CWK786374 DGG786168:DGG786374 DQC786168:DQC786374 DZY786168:DZY786374 EJU786168:EJU786374 ETQ786168:ETQ786374 FDM786168:FDM786374 FNI786168:FNI786374 FXE786168:FXE786374 GHA786168:GHA786374 GQW786168:GQW786374 HAS786168:HAS786374 HKO786168:HKO786374 HUK786168:HUK786374 IEG786168:IEG786374 IOC786168:IOC786374 IXY786168:IXY786374 JHU786168:JHU786374 JRQ786168:JRQ786374 KBM786168:KBM786374 KLI786168:KLI786374 KVE786168:KVE786374 LFA786168:LFA786374 LOW786168:LOW786374 LYS786168:LYS786374 MIO786168:MIO786374 MSK786168:MSK786374 NCG786168:NCG786374 NMC786168:NMC786374 NVY786168:NVY786374 OFU786168:OFU786374 OPQ786168:OPQ786374 OZM786168:OZM786374 PJI786168:PJI786374 PTE786168:PTE786374 QDA786168:QDA786374 QMW786168:QMW786374 QWS786168:QWS786374 RGO786168:RGO786374 RQK786168:RQK786374 SAG786168:SAG786374 SKC786168:SKC786374 STY786168:STY786374 TDU786168:TDU786374 TNQ786168:TNQ786374 TXM786168:TXM786374 UHI786168:UHI786374 URE786168:URE786374 VBA786168:VBA786374 VKW786168:VKW786374 VUS786168:VUS786374 WEO786168:WEO786374 WOK786168:WOK786374 WYG786168:WYG786374 CB851704:CC851910 LU851704:LU851910 VQ851704:VQ851910 AFM851704:AFM851910 API851704:API851910 AZE851704:AZE851910 BJA851704:BJA851910 BSW851704:BSW851910 CCS851704:CCS851910 CMO851704:CMO851910 CWK851704:CWK851910 DGG851704:DGG851910 DQC851704:DQC851910 DZY851704:DZY851910 EJU851704:EJU851910 ETQ851704:ETQ851910 FDM851704:FDM851910 FNI851704:FNI851910 FXE851704:FXE851910 GHA851704:GHA851910 GQW851704:GQW851910 HAS851704:HAS851910 HKO851704:HKO851910 HUK851704:HUK851910 IEG851704:IEG851910 IOC851704:IOC851910 IXY851704:IXY851910 JHU851704:JHU851910 JRQ851704:JRQ851910 KBM851704:KBM851910 KLI851704:KLI851910 KVE851704:KVE851910 LFA851704:LFA851910 LOW851704:LOW851910 LYS851704:LYS851910 MIO851704:MIO851910 MSK851704:MSK851910 NCG851704:NCG851910 NMC851704:NMC851910 NVY851704:NVY851910 OFU851704:OFU851910 OPQ851704:OPQ851910 OZM851704:OZM851910 PJI851704:PJI851910 PTE851704:PTE851910 QDA851704:QDA851910 QMW851704:QMW851910 QWS851704:QWS851910 RGO851704:RGO851910 RQK851704:RQK851910 SAG851704:SAG851910 SKC851704:SKC851910 STY851704:STY851910 TDU851704:TDU851910 TNQ851704:TNQ851910 TXM851704:TXM851910 UHI851704:UHI851910 URE851704:URE851910 VBA851704:VBA851910 VKW851704:VKW851910 VUS851704:VUS851910 WEO851704:WEO851910 WOK851704:WOK851910 WYG851704:WYG851910 CB917240:CC917446 LU917240:LU917446 VQ917240:VQ917446 AFM917240:AFM917446 API917240:API917446 AZE917240:AZE917446 BJA917240:BJA917446 BSW917240:BSW917446 CCS917240:CCS917446 CMO917240:CMO917446 CWK917240:CWK917446 DGG917240:DGG917446 DQC917240:DQC917446 DZY917240:DZY917446 EJU917240:EJU917446 ETQ917240:ETQ917446 FDM917240:FDM917446 FNI917240:FNI917446 FXE917240:FXE917446 GHA917240:GHA917446 GQW917240:GQW917446 HAS917240:HAS917446 HKO917240:HKO917446 HUK917240:HUK917446 IEG917240:IEG917446 IOC917240:IOC917446 IXY917240:IXY917446 JHU917240:JHU917446 JRQ917240:JRQ917446 KBM917240:KBM917446 KLI917240:KLI917446 KVE917240:KVE917446 LFA917240:LFA917446 LOW917240:LOW917446 LYS917240:LYS917446 MIO917240:MIO917446 MSK917240:MSK917446 NCG917240:NCG917446 NMC917240:NMC917446 NVY917240:NVY917446 OFU917240:OFU917446 OPQ917240:OPQ917446 OZM917240:OZM917446 PJI917240:PJI917446 PTE917240:PTE917446 QDA917240:QDA917446 QMW917240:QMW917446 QWS917240:QWS917446 RGO917240:RGO917446 RQK917240:RQK917446 SAG917240:SAG917446 SKC917240:SKC917446 STY917240:STY917446 TDU917240:TDU917446 TNQ917240:TNQ917446 TXM917240:TXM917446 UHI917240:UHI917446 URE917240:URE917446 VBA917240:VBA917446 VKW917240:VKW917446 VUS917240:VUS917446 WEO917240:WEO917446 WOK917240:WOK917446 WYG917240:WYG917446 CB982776:CC982982 LU982776:LU982982 VQ982776:VQ982982 AFM982776:AFM982982 API982776:API982982 AZE982776:AZE982982 BJA982776:BJA982982 BSW982776:BSW982982 CCS982776:CCS982982 CMO982776:CMO982982 CWK982776:CWK982982 DGG982776:DGG982982 DQC982776:DQC982982 DZY982776:DZY982982 EJU982776:EJU982982 ETQ982776:ETQ982982 FDM982776:FDM982982 FNI982776:FNI982982 FXE982776:FXE982982 GHA982776:GHA982982 GQW982776:GQW982982 HAS982776:HAS982982 HKO982776:HKO982982 HUK982776:HUK982982 IEG982776:IEG982982 IOC982776:IOC982982 IXY982776:IXY982982 JHU982776:JHU982982 JRQ982776:JRQ982982 KBM982776:KBM982982 KLI982776:KLI982982 KVE982776:KVE982982 LFA982776:LFA982982 LOW982776:LOW982982 LYS982776:LYS982982 MIO982776:MIO982982 MSK982776:MSK982982 NCG982776:NCG982982 NMC982776:NMC982982 NVY982776:NVY982982 OFU982776:OFU982982 OPQ982776:OPQ982982 OZM982776:OZM982982 PJI982776:PJI982982 PTE982776:PTE982982 QDA982776:QDA982982 QMW982776:QMW982982 QWS982776:QWS982982 RGO982776:RGO982982 RQK982776:RQK982982 SAG982776:SAG982982 SKC982776:SKC982982 STY982776:STY982982 TDU982776:TDU982982 TNQ982776:TNQ982982 TXM982776:TXM982982 UHI982776:UHI982982 URE982776:URE982982 VBA982776:VBA982982 VKW982776:VKW982982 VUS982776:VUS982982 WEO982776:WEO982982 WOK982776:WOK982982 WYG982776:WYG982982 LA65272:LA65478 UW65272:UW65478 AES65272:AES65478 AOO65272:AOO65478 AYK65272:AYK65478 BIG65272:BIG65478 BSC65272:BSC65478 CBY65272:CBY65478 CLU65272:CLU65478 CVQ65272:CVQ65478 DFM65272:DFM65478 DPI65272:DPI65478 DZE65272:DZE65478 EJA65272:EJA65478 ESW65272:ESW65478 FCS65272:FCS65478 FMO65272:FMO65478 FWK65272:FWK65478 GGG65272:GGG65478 GQC65272:GQC65478 GZY65272:GZY65478 HJU65272:HJU65478 HTQ65272:HTQ65478 IDM65272:IDM65478 INI65272:INI65478 IXE65272:IXE65478 JHA65272:JHA65478 JQW65272:JQW65478 KAS65272:KAS65478 KKO65272:KKO65478 KUK65272:KUK65478 LEG65272:LEG65478 LOC65272:LOC65478 LXY65272:LXY65478 MHU65272:MHU65478 MRQ65272:MRQ65478 NBM65272:NBM65478 NLI65272:NLI65478 NVE65272:NVE65478 OFA65272:OFA65478 OOW65272:OOW65478 OYS65272:OYS65478 PIO65272:PIO65478 PSK65272:PSK65478 QCG65272:QCG65478 QMC65272:QMC65478 QVY65272:QVY65478 RFU65272:RFU65478 RPQ65272:RPQ65478 RZM65272:RZM65478 SJI65272:SJI65478 STE65272:STE65478 TDA65272:TDA65478 TMW65272:TMW65478 TWS65272:TWS65478 UGO65272:UGO65478 UQK65272:UQK65478 VAG65272:VAG65478 VKC65272:VKC65478 VTY65272:VTY65478 WDU65272:WDU65478 WNQ65272:WNQ65478 WXM65272:WXM65478 LA130808:LA131014 UW130808:UW131014 AES130808:AES131014 AOO130808:AOO131014 AYK130808:AYK131014 BIG130808:BIG131014 BSC130808:BSC131014 CBY130808:CBY131014 CLU130808:CLU131014 CVQ130808:CVQ131014 DFM130808:DFM131014 DPI130808:DPI131014 DZE130808:DZE131014 EJA130808:EJA131014 ESW130808:ESW131014 FCS130808:FCS131014 FMO130808:FMO131014 FWK130808:FWK131014 GGG130808:GGG131014 GQC130808:GQC131014 GZY130808:GZY131014 HJU130808:HJU131014 HTQ130808:HTQ131014 IDM130808:IDM131014 INI130808:INI131014 IXE130808:IXE131014 JHA130808:JHA131014 JQW130808:JQW131014 KAS130808:KAS131014 KKO130808:KKO131014 KUK130808:KUK131014 LEG130808:LEG131014 LOC130808:LOC131014 LXY130808:LXY131014 MHU130808:MHU131014 MRQ130808:MRQ131014 NBM130808:NBM131014 NLI130808:NLI131014 NVE130808:NVE131014 OFA130808:OFA131014 OOW130808:OOW131014 OYS130808:OYS131014 PIO130808:PIO131014 PSK130808:PSK131014 QCG130808:QCG131014 QMC130808:QMC131014 QVY130808:QVY131014 RFU130808:RFU131014 RPQ130808:RPQ131014 RZM130808:RZM131014 SJI130808:SJI131014 STE130808:STE131014 TDA130808:TDA131014 TMW130808:TMW131014 TWS130808:TWS131014 UGO130808:UGO131014 UQK130808:UQK131014 VAG130808:VAG131014 VKC130808:VKC131014 VTY130808:VTY131014 WDU130808:WDU131014 WNQ130808:WNQ131014 WXM130808:WXM131014 LA196344:LA196550 UW196344:UW196550 AES196344:AES196550 AOO196344:AOO196550 AYK196344:AYK196550 BIG196344:BIG196550 BSC196344:BSC196550 CBY196344:CBY196550 CLU196344:CLU196550 CVQ196344:CVQ196550 DFM196344:DFM196550 DPI196344:DPI196550 DZE196344:DZE196550 EJA196344:EJA196550 ESW196344:ESW196550 FCS196344:FCS196550 FMO196344:FMO196550 FWK196344:FWK196550 GGG196344:GGG196550 GQC196344:GQC196550 GZY196344:GZY196550 HJU196344:HJU196550 HTQ196344:HTQ196550 IDM196344:IDM196550 INI196344:INI196550 IXE196344:IXE196550 JHA196344:JHA196550 JQW196344:JQW196550 KAS196344:KAS196550 KKO196344:KKO196550 KUK196344:KUK196550 LEG196344:LEG196550 LOC196344:LOC196550 LXY196344:LXY196550 MHU196344:MHU196550 MRQ196344:MRQ196550 NBM196344:NBM196550 NLI196344:NLI196550 NVE196344:NVE196550 OFA196344:OFA196550 OOW196344:OOW196550 OYS196344:OYS196550 PIO196344:PIO196550 PSK196344:PSK196550 QCG196344:QCG196550 QMC196344:QMC196550 QVY196344:QVY196550 RFU196344:RFU196550 RPQ196344:RPQ196550 RZM196344:RZM196550 SJI196344:SJI196550 STE196344:STE196550 TDA196344:TDA196550 TMW196344:TMW196550 TWS196344:TWS196550 UGO196344:UGO196550 UQK196344:UQK196550 VAG196344:VAG196550 VKC196344:VKC196550 VTY196344:VTY196550 WDU196344:WDU196550 WNQ196344:WNQ196550 WXM196344:WXM196550 LA261880:LA262086 UW261880:UW262086 AES261880:AES262086 AOO261880:AOO262086 AYK261880:AYK262086 BIG261880:BIG262086 BSC261880:BSC262086 CBY261880:CBY262086 CLU261880:CLU262086 CVQ261880:CVQ262086 DFM261880:DFM262086 DPI261880:DPI262086 DZE261880:DZE262086 EJA261880:EJA262086 ESW261880:ESW262086 FCS261880:FCS262086 FMO261880:FMO262086 FWK261880:FWK262086 GGG261880:GGG262086 GQC261880:GQC262086 GZY261880:GZY262086 HJU261880:HJU262086 HTQ261880:HTQ262086 IDM261880:IDM262086 INI261880:INI262086 IXE261880:IXE262086 JHA261880:JHA262086 JQW261880:JQW262086 KAS261880:KAS262086 KKO261880:KKO262086 KUK261880:KUK262086 LEG261880:LEG262086 LOC261880:LOC262086 LXY261880:LXY262086 MHU261880:MHU262086 MRQ261880:MRQ262086 NBM261880:NBM262086 NLI261880:NLI262086 NVE261880:NVE262086 OFA261880:OFA262086 OOW261880:OOW262086 OYS261880:OYS262086 PIO261880:PIO262086 PSK261880:PSK262086 QCG261880:QCG262086 QMC261880:QMC262086 QVY261880:QVY262086 RFU261880:RFU262086 RPQ261880:RPQ262086 RZM261880:RZM262086 SJI261880:SJI262086 STE261880:STE262086 TDA261880:TDA262086 TMW261880:TMW262086 TWS261880:TWS262086 UGO261880:UGO262086 UQK261880:UQK262086 VAG261880:VAG262086 VKC261880:VKC262086 VTY261880:VTY262086 WDU261880:WDU262086 WNQ261880:WNQ262086 WXM261880:WXM262086 LA327416:LA327622 UW327416:UW327622 AES327416:AES327622 AOO327416:AOO327622 AYK327416:AYK327622 BIG327416:BIG327622 BSC327416:BSC327622 CBY327416:CBY327622 CLU327416:CLU327622 CVQ327416:CVQ327622 DFM327416:DFM327622 DPI327416:DPI327622 DZE327416:DZE327622 EJA327416:EJA327622 ESW327416:ESW327622 FCS327416:FCS327622 FMO327416:FMO327622 FWK327416:FWK327622 GGG327416:GGG327622 GQC327416:GQC327622 GZY327416:GZY327622 HJU327416:HJU327622 HTQ327416:HTQ327622 IDM327416:IDM327622 INI327416:INI327622 IXE327416:IXE327622 JHA327416:JHA327622 JQW327416:JQW327622 KAS327416:KAS327622 KKO327416:KKO327622 KUK327416:KUK327622 LEG327416:LEG327622 LOC327416:LOC327622 LXY327416:LXY327622 MHU327416:MHU327622 MRQ327416:MRQ327622 NBM327416:NBM327622 NLI327416:NLI327622 NVE327416:NVE327622 OFA327416:OFA327622 OOW327416:OOW327622 OYS327416:OYS327622 PIO327416:PIO327622 PSK327416:PSK327622 QCG327416:QCG327622 QMC327416:QMC327622 QVY327416:QVY327622 RFU327416:RFU327622 RPQ327416:RPQ327622 RZM327416:RZM327622 SJI327416:SJI327622 STE327416:STE327622 TDA327416:TDA327622 TMW327416:TMW327622 TWS327416:TWS327622 UGO327416:UGO327622 UQK327416:UQK327622 VAG327416:VAG327622 VKC327416:VKC327622 VTY327416:VTY327622 WDU327416:WDU327622 WNQ327416:WNQ327622 WXM327416:WXM327622 LA392952:LA393158 UW392952:UW393158 AES392952:AES393158 AOO392952:AOO393158 AYK392952:AYK393158 BIG392952:BIG393158 BSC392952:BSC393158 CBY392952:CBY393158 CLU392952:CLU393158 CVQ392952:CVQ393158 DFM392952:DFM393158 DPI392952:DPI393158 DZE392952:DZE393158 EJA392952:EJA393158 ESW392952:ESW393158 FCS392952:FCS393158 FMO392952:FMO393158 FWK392952:FWK393158 GGG392952:GGG393158 GQC392952:GQC393158 GZY392952:GZY393158 HJU392952:HJU393158 HTQ392952:HTQ393158 IDM392952:IDM393158 INI392952:INI393158 IXE392952:IXE393158 JHA392952:JHA393158 JQW392952:JQW393158 KAS392952:KAS393158 KKO392952:KKO393158 KUK392952:KUK393158 LEG392952:LEG393158 LOC392952:LOC393158 LXY392952:LXY393158 MHU392952:MHU393158 MRQ392952:MRQ393158 NBM392952:NBM393158 NLI392952:NLI393158 NVE392952:NVE393158 OFA392952:OFA393158 OOW392952:OOW393158 OYS392952:OYS393158 PIO392952:PIO393158 PSK392952:PSK393158 QCG392952:QCG393158 QMC392952:QMC393158 QVY392952:QVY393158 RFU392952:RFU393158 RPQ392952:RPQ393158 RZM392952:RZM393158 SJI392952:SJI393158 STE392952:STE393158 TDA392952:TDA393158 TMW392952:TMW393158 TWS392952:TWS393158 UGO392952:UGO393158 UQK392952:UQK393158 VAG392952:VAG393158 VKC392952:VKC393158 VTY392952:VTY393158 WDU392952:WDU393158 WNQ392952:WNQ393158 WXM392952:WXM393158 LA458488:LA458694 UW458488:UW458694 AES458488:AES458694 AOO458488:AOO458694 AYK458488:AYK458694 BIG458488:BIG458694 BSC458488:BSC458694 CBY458488:CBY458694 CLU458488:CLU458694 CVQ458488:CVQ458694 DFM458488:DFM458694 DPI458488:DPI458694 DZE458488:DZE458694 EJA458488:EJA458694 ESW458488:ESW458694 FCS458488:FCS458694 FMO458488:FMO458694 FWK458488:FWK458694 GGG458488:GGG458694 GQC458488:GQC458694 GZY458488:GZY458694 HJU458488:HJU458694 HTQ458488:HTQ458694 IDM458488:IDM458694 INI458488:INI458694 IXE458488:IXE458694 JHA458488:JHA458694 JQW458488:JQW458694 KAS458488:KAS458694 KKO458488:KKO458694 KUK458488:KUK458694 LEG458488:LEG458694 LOC458488:LOC458694 LXY458488:LXY458694 MHU458488:MHU458694 MRQ458488:MRQ458694 NBM458488:NBM458694 NLI458488:NLI458694 NVE458488:NVE458694 OFA458488:OFA458694 OOW458488:OOW458694 OYS458488:OYS458694 PIO458488:PIO458694 PSK458488:PSK458694 QCG458488:QCG458694 QMC458488:QMC458694 QVY458488:QVY458694 RFU458488:RFU458694 RPQ458488:RPQ458694 RZM458488:RZM458694 SJI458488:SJI458694 STE458488:STE458694 TDA458488:TDA458694 TMW458488:TMW458694 TWS458488:TWS458694 UGO458488:UGO458694 UQK458488:UQK458694 VAG458488:VAG458694 VKC458488:VKC458694 VTY458488:VTY458694 WDU458488:WDU458694 WNQ458488:WNQ458694 WXM458488:WXM458694 LA524024:LA524230 UW524024:UW524230 AES524024:AES524230 AOO524024:AOO524230 AYK524024:AYK524230 BIG524024:BIG524230 BSC524024:BSC524230 CBY524024:CBY524230 CLU524024:CLU524230 CVQ524024:CVQ524230 DFM524024:DFM524230 DPI524024:DPI524230 DZE524024:DZE524230 EJA524024:EJA524230 ESW524024:ESW524230 FCS524024:FCS524230 FMO524024:FMO524230 FWK524024:FWK524230 GGG524024:GGG524230 GQC524024:GQC524230 GZY524024:GZY524230 HJU524024:HJU524230 HTQ524024:HTQ524230 IDM524024:IDM524230 INI524024:INI524230 IXE524024:IXE524230 JHA524024:JHA524230 JQW524024:JQW524230 KAS524024:KAS524230 KKO524024:KKO524230 KUK524024:KUK524230 LEG524024:LEG524230 LOC524024:LOC524230 LXY524024:LXY524230 MHU524024:MHU524230 MRQ524024:MRQ524230 NBM524024:NBM524230 NLI524024:NLI524230 NVE524024:NVE524230 OFA524024:OFA524230 OOW524024:OOW524230 OYS524024:OYS524230 PIO524024:PIO524230 PSK524024:PSK524230 QCG524024:QCG524230 QMC524024:QMC524230 QVY524024:QVY524230 RFU524024:RFU524230 RPQ524024:RPQ524230 RZM524024:RZM524230 SJI524024:SJI524230 STE524024:STE524230 TDA524024:TDA524230 TMW524024:TMW524230 TWS524024:TWS524230 UGO524024:UGO524230 UQK524024:UQK524230 VAG524024:VAG524230 VKC524024:VKC524230 VTY524024:VTY524230 WDU524024:WDU524230 WNQ524024:WNQ524230 WXM524024:WXM524230 LA589560:LA589766 UW589560:UW589766 AES589560:AES589766 AOO589560:AOO589766 AYK589560:AYK589766 BIG589560:BIG589766 BSC589560:BSC589766 CBY589560:CBY589766 CLU589560:CLU589766 CVQ589560:CVQ589766 DFM589560:DFM589766 DPI589560:DPI589766 DZE589560:DZE589766 EJA589560:EJA589766 ESW589560:ESW589766 FCS589560:FCS589766 FMO589560:FMO589766 FWK589560:FWK589766 GGG589560:GGG589766 GQC589560:GQC589766 GZY589560:GZY589766 HJU589560:HJU589766 HTQ589560:HTQ589766 IDM589560:IDM589766 INI589560:INI589766 IXE589560:IXE589766 JHA589560:JHA589766 JQW589560:JQW589766 KAS589560:KAS589766 KKO589560:KKO589766 KUK589560:KUK589766 LEG589560:LEG589766 LOC589560:LOC589766 LXY589560:LXY589766 MHU589560:MHU589766 MRQ589560:MRQ589766 NBM589560:NBM589766 NLI589560:NLI589766 NVE589560:NVE589766 OFA589560:OFA589766 OOW589560:OOW589766 OYS589560:OYS589766 PIO589560:PIO589766 PSK589560:PSK589766 QCG589560:QCG589766 QMC589560:QMC589766 QVY589560:QVY589766 RFU589560:RFU589766 RPQ589560:RPQ589766 RZM589560:RZM589766 SJI589560:SJI589766 STE589560:STE589766 TDA589560:TDA589766 TMW589560:TMW589766 TWS589560:TWS589766 UGO589560:UGO589766 UQK589560:UQK589766 VAG589560:VAG589766 VKC589560:VKC589766 VTY589560:VTY589766 WDU589560:WDU589766 WNQ589560:WNQ589766 WXM589560:WXM589766 LA655096:LA655302 UW655096:UW655302 AES655096:AES655302 AOO655096:AOO655302 AYK655096:AYK655302 BIG655096:BIG655302 BSC655096:BSC655302 CBY655096:CBY655302 CLU655096:CLU655302 CVQ655096:CVQ655302 DFM655096:DFM655302 DPI655096:DPI655302 DZE655096:DZE655302 EJA655096:EJA655302 ESW655096:ESW655302 FCS655096:FCS655302 FMO655096:FMO655302 FWK655096:FWK655302 GGG655096:GGG655302 GQC655096:GQC655302 GZY655096:GZY655302 HJU655096:HJU655302 HTQ655096:HTQ655302 IDM655096:IDM655302 INI655096:INI655302 IXE655096:IXE655302 JHA655096:JHA655302 JQW655096:JQW655302 KAS655096:KAS655302 KKO655096:KKO655302 KUK655096:KUK655302 LEG655096:LEG655302 LOC655096:LOC655302 LXY655096:LXY655302 MHU655096:MHU655302 MRQ655096:MRQ655302 NBM655096:NBM655302 NLI655096:NLI655302 NVE655096:NVE655302 OFA655096:OFA655302 OOW655096:OOW655302 OYS655096:OYS655302 PIO655096:PIO655302 PSK655096:PSK655302 QCG655096:QCG655302 QMC655096:QMC655302 QVY655096:QVY655302 RFU655096:RFU655302 RPQ655096:RPQ655302 RZM655096:RZM655302 SJI655096:SJI655302 STE655096:STE655302 TDA655096:TDA655302 TMW655096:TMW655302 TWS655096:TWS655302 UGO655096:UGO655302 UQK655096:UQK655302 VAG655096:VAG655302 VKC655096:VKC655302 VTY655096:VTY655302 WDU655096:WDU655302 WNQ655096:WNQ655302 WXM655096:WXM655302 LA720632:LA720838 UW720632:UW720838 AES720632:AES720838 AOO720632:AOO720838 AYK720632:AYK720838 BIG720632:BIG720838 BSC720632:BSC720838 CBY720632:CBY720838 CLU720632:CLU720838 CVQ720632:CVQ720838 DFM720632:DFM720838 DPI720632:DPI720838 DZE720632:DZE720838 EJA720632:EJA720838 ESW720632:ESW720838 FCS720632:FCS720838 FMO720632:FMO720838 FWK720632:FWK720838 GGG720632:GGG720838 GQC720632:GQC720838 GZY720632:GZY720838 HJU720632:HJU720838 HTQ720632:HTQ720838 IDM720632:IDM720838 INI720632:INI720838 IXE720632:IXE720838 JHA720632:JHA720838 JQW720632:JQW720838 KAS720632:KAS720838 KKO720632:KKO720838 KUK720632:KUK720838 LEG720632:LEG720838 LOC720632:LOC720838 LXY720632:LXY720838 MHU720632:MHU720838 MRQ720632:MRQ720838 NBM720632:NBM720838 NLI720632:NLI720838 NVE720632:NVE720838 OFA720632:OFA720838 OOW720632:OOW720838 OYS720632:OYS720838 PIO720632:PIO720838 PSK720632:PSK720838 QCG720632:QCG720838 QMC720632:QMC720838 QVY720632:QVY720838 RFU720632:RFU720838 RPQ720632:RPQ720838 RZM720632:RZM720838 SJI720632:SJI720838 STE720632:STE720838 TDA720632:TDA720838 TMW720632:TMW720838 TWS720632:TWS720838 UGO720632:UGO720838 UQK720632:UQK720838 VAG720632:VAG720838 VKC720632:VKC720838 VTY720632:VTY720838 WDU720632:WDU720838 WNQ720632:WNQ720838 WXM720632:WXM720838 LA786168:LA786374 UW786168:UW786374 AES786168:AES786374 AOO786168:AOO786374 AYK786168:AYK786374 BIG786168:BIG786374 BSC786168:BSC786374 CBY786168:CBY786374 CLU786168:CLU786374 CVQ786168:CVQ786374 DFM786168:DFM786374 DPI786168:DPI786374 DZE786168:DZE786374 EJA786168:EJA786374 ESW786168:ESW786374 FCS786168:FCS786374 FMO786168:FMO786374 FWK786168:FWK786374 GGG786168:GGG786374 GQC786168:GQC786374 GZY786168:GZY786374 HJU786168:HJU786374 HTQ786168:HTQ786374 IDM786168:IDM786374 INI786168:INI786374 IXE786168:IXE786374 JHA786168:JHA786374 JQW786168:JQW786374 KAS786168:KAS786374 KKO786168:KKO786374 KUK786168:KUK786374 LEG786168:LEG786374 LOC786168:LOC786374 LXY786168:LXY786374 MHU786168:MHU786374 MRQ786168:MRQ786374 NBM786168:NBM786374 NLI786168:NLI786374 NVE786168:NVE786374 OFA786168:OFA786374 OOW786168:OOW786374 OYS786168:OYS786374 PIO786168:PIO786374 PSK786168:PSK786374 QCG786168:QCG786374 QMC786168:QMC786374 QVY786168:QVY786374 RFU786168:RFU786374 RPQ786168:RPQ786374 RZM786168:RZM786374 SJI786168:SJI786374 STE786168:STE786374 TDA786168:TDA786374 TMW786168:TMW786374 TWS786168:TWS786374 UGO786168:UGO786374 UQK786168:UQK786374 VAG786168:VAG786374 VKC786168:VKC786374 VTY786168:VTY786374 WDU786168:WDU786374 WNQ786168:WNQ786374 WXM786168:WXM786374 LA851704:LA851910 UW851704:UW851910 AES851704:AES851910 AOO851704:AOO851910 AYK851704:AYK851910 BIG851704:BIG851910 BSC851704:BSC851910 CBY851704:CBY851910 CLU851704:CLU851910 CVQ851704:CVQ851910 DFM851704:DFM851910 DPI851704:DPI851910 DZE851704:DZE851910 EJA851704:EJA851910 ESW851704:ESW851910 FCS851704:FCS851910 FMO851704:FMO851910 FWK851704:FWK851910 GGG851704:GGG851910 GQC851704:GQC851910 GZY851704:GZY851910 HJU851704:HJU851910 HTQ851704:HTQ851910 IDM851704:IDM851910 INI851704:INI851910 IXE851704:IXE851910 JHA851704:JHA851910 JQW851704:JQW851910 KAS851704:KAS851910 KKO851704:KKO851910 KUK851704:KUK851910 LEG851704:LEG851910 LOC851704:LOC851910 LXY851704:LXY851910 MHU851704:MHU851910 MRQ851704:MRQ851910 NBM851704:NBM851910 NLI851704:NLI851910 NVE851704:NVE851910 OFA851704:OFA851910 OOW851704:OOW851910 OYS851704:OYS851910 PIO851704:PIO851910 PSK851704:PSK851910 QCG851704:QCG851910 QMC851704:QMC851910 QVY851704:QVY851910 RFU851704:RFU851910 RPQ851704:RPQ851910 RZM851704:RZM851910 SJI851704:SJI851910 STE851704:STE851910 TDA851704:TDA851910 TMW851704:TMW851910 TWS851704:TWS851910 UGO851704:UGO851910 UQK851704:UQK851910 VAG851704:VAG851910 VKC851704:VKC851910 VTY851704:VTY851910 WDU851704:WDU851910 WNQ851704:WNQ851910 WXM851704:WXM851910 LA917240:LA917446 UW917240:UW917446 AES917240:AES917446 AOO917240:AOO917446 AYK917240:AYK917446 BIG917240:BIG917446 BSC917240:BSC917446 CBY917240:CBY917446 CLU917240:CLU917446 CVQ917240:CVQ917446 DFM917240:DFM917446 DPI917240:DPI917446 DZE917240:DZE917446 EJA917240:EJA917446 ESW917240:ESW917446 FCS917240:FCS917446 FMO917240:FMO917446 FWK917240:FWK917446 GGG917240:GGG917446 GQC917240:GQC917446 GZY917240:GZY917446 HJU917240:HJU917446 HTQ917240:HTQ917446 IDM917240:IDM917446 INI917240:INI917446 IXE917240:IXE917446 JHA917240:JHA917446 JQW917240:JQW917446 KAS917240:KAS917446 KKO917240:KKO917446 KUK917240:KUK917446 LEG917240:LEG917446 LOC917240:LOC917446 LXY917240:LXY917446 MHU917240:MHU917446 MRQ917240:MRQ917446 NBM917240:NBM917446 NLI917240:NLI917446 NVE917240:NVE917446 OFA917240:OFA917446 OOW917240:OOW917446 OYS917240:OYS917446 PIO917240:PIO917446 PSK917240:PSK917446 QCG917240:QCG917446 QMC917240:QMC917446 QVY917240:QVY917446 RFU917240:RFU917446 RPQ917240:RPQ917446 RZM917240:RZM917446 SJI917240:SJI917446 STE917240:STE917446 TDA917240:TDA917446 TMW917240:TMW917446 TWS917240:TWS917446 UGO917240:UGO917446 UQK917240:UQK917446 VAG917240:VAG917446 VKC917240:VKC917446 VTY917240:VTY917446 WDU917240:WDU917446 WNQ917240:WNQ917446 WXM917240:WXM917446 LA982776:LA982982 UW982776:UW982982 AES982776:AES982982 AOO982776:AOO982982 AYK982776:AYK982982 BIG982776:BIG982982 BSC982776:BSC982982 CBY982776:CBY982982 CLU982776:CLU982982 CVQ982776:CVQ982982 DFM982776:DFM982982 DPI982776:DPI982982 DZE982776:DZE982982 EJA982776:EJA982982 ESW982776:ESW982982 FCS982776:FCS982982 FMO982776:FMO982982 FWK982776:FWK982982 GGG982776:GGG982982 GQC982776:GQC982982 GZY982776:GZY982982 HJU982776:HJU982982 HTQ982776:HTQ982982 IDM982776:IDM982982 INI982776:INI982982 IXE982776:IXE982982 JHA982776:JHA982982 JQW982776:JQW982982 KAS982776:KAS982982 KKO982776:KKO982982 KUK982776:KUK982982 LEG982776:LEG982982 LOC982776:LOC982982 LXY982776:LXY982982 MHU982776:MHU982982 MRQ982776:MRQ982982 NBM982776:NBM982982 NLI982776:NLI982982 NVE982776:NVE982982 OFA982776:OFA982982 OOW982776:OOW982982 OYS982776:OYS982982 PIO982776:PIO982982 PSK982776:PSK982982 QCG982776:QCG982982 QMC982776:QMC982982 QVY982776:QVY982982 RFU982776:RFU982982 RPQ982776:RPQ982982 RZM982776:RZM982982 SJI982776:SJI982982 STE982776:STE982982 TDA982776:TDA982982 TMW982776:TMW982982 TWS982776:TWS982982 UGO982776:UGO982982 UQK982776:UQK982982 VAG982776:VAG982982 VKC982776:VKC982982 VTY982776:VTY982982 WDU982776:WDU982982 WNQ982776:WNQ982982 WXM982776:WXM982982 BL65272:BM65478 LF65272:LF65478 VB65272:VB65478 AEX65272:AEX65478 AOT65272:AOT65478 AYP65272:AYP65478 BIL65272:BIL65478 BSH65272:BSH65478 CCD65272:CCD65478 CLZ65272:CLZ65478 CVV65272:CVV65478 DFR65272:DFR65478 DPN65272:DPN65478 DZJ65272:DZJ65478 EJF65272:EJF65478 ETB65272:ETB65478 FCX65272:FCX65478 FMT65272:FMT65478 FWP65272:FWP65478 GGL65272:GGL65478 GQH65272:GQH65478 HAD65272:HAD65478 HJZ65272:HJZ65478 HTV65272:HTV65478 IDR65272:IDR65478 INN65272:INN65478 IXJ65272:IXJ65478 JHF65272:JHF65478 JRB65272:JRB65478 KAX65272:KAX65478 KKT65272:KKT65478 KUP65272:KUP65478 LEL65272:LEL65478 LOH65272:LOH65478 LYD65272:LYD65478 MHZ65272:MHZ65478 MRV65272:MRV65478 NBR65272:NBR65478 NLN65272:NLN65478 NVJ65272:NVJ65478 OFF65272:OFF65478 OPB65272:OPB65478 OYX65272:OYX65478 PIT65272:PIT65478 PSP65272:PSP65478 QCL65272:QCL65478 QMH65272:QMH65478 QWD65272:QWD65478 RFZ65272:RFZ65478 RPV65272:RPV65478 RZR65272:RZR65478 SJN65272:SJN65478 STJ65272:STJ65478 TDF65272:TDF65478 TNB65272:TNB65478 TWX65272:TWX65478 UGT65272:UGT65478 UQP65272:UQP65478 VAL65272:VAL65478 VKH65272:VKH65478 VUD65272:VUD65478 WDZ65272:WDZ65478 WNV65272:WNV65478 WXR65272:WXR65478 BL130808:BM131014 LF130808:LF131014 VB130808:VB131014 AEX130808:AEX131014 AOT130808:AOT131014 AYP130808:AYP131014 BIL130808:BIL131014 BSH130808:BSH131014 CCD130808:CCD131014 CLZ130808:CLZ131014 CVV130808:CVV131014 DFR130808:DFR131014 DPN130808:DPN131014 DZJ130808:DZJ131014 EJF130808:EJF131014 ETB130808:ETB131014 FCX130808:FCX131014 FMT130808:FMT131014 FWP130808:FWP131014 GGL130808:GGL131014 GQH130808:GQH131014 HAD130808:HAD131014 HJZ130808:HJZ131014 HTV130808:HTV131014 IDR130808:IDR131014 INN130808:INN131014 IXJ130808:IXJ131014 JHF130808:JHF131014 JRB130808:JRB131014 KAX130808:KAX131014 KKT130808:KKT131014 KUP130808:KUP131014 LEL130808:LEL131014 LOH130808:LOH131014 LYD130808:LYD131014 MHZ130808:MHZ131014 MRV130808:MRV131014 NBR130808:NBR131014 NLN130808:NLN131014 NVJ130808:NVJ131014 OFF130808:OFF131014 OPB130808:OPB131014 OYX130808:OYX131014 PIT130808:PIT131014 PSP130808:PSP131014 QCL130808:QCL131014 QMH130808:QMH131014 QWD130808:QWD131014 RFZ130808:RFZ131014 RPV130808:RPV131014 RZR130808:RZR131014 SJN130808:SJN131014 STJ130808:STJ131014 TDF130808:TDF131014 TNB130808:TNB131014 TWX130808:TWX131014 UGT130808:UGT131014 UQP130808:UQP131014 VAL130808:VAL131014 VKH130808:VKH131014 VUD130808:VUD131014 WDZ130808:WDZ131014 WNV130808:WNV131014 WXR130808:WXR131014 BL196344:BM196550 LF196344:LF196550 VB196344:VB196550 AEX196344:AEX196550 AOT196344:AOT196550 AYP196344:AYP196550 BIL196344:BIL196550 BSH196344:BSH196550 CCD196344:CCD196550 CLZ196344:CLZ196550 CVV196344:CVV196550 DFR196344:DFR196550 DPN196344:DPN196550 DZJ196344:DZJ196550 EJF196344:EJF196550 ETB196344:ETB196550 FCX196344:FCX196550 FMT196344:FMT196550 FWP196344:FWP196550 GGL196344:GGL196550 GQH196344:GQH196550 HAD196344:HAD196550 HJZ196344:HJZ196550 HTV196344:HTV196550 IDR196344:IDR196550 INN196344:INN196550 IXJ196344:IXJ196550 JHF196344:JHF196550 JRB196344:JRB196550 KAX196344:KAX196550 KKT196344:KKT196550 KUP196344:KUP196550 LEL196344:LEL196550 LOH196344:LOH196550 LYD196344:LYD196550 MHZ196344:MHZ196550 MRV196344:MRV196550 NBR196344:NBR196550 NLN196344:NLN196550 NVJ196344:NVJ196550 OFF196344:OFF196550 OPB196344:OPB196550 OYX196344:OYX196550 PIT196344:PIT196550 PSP196344:PSP196550 QCL196344:QCL196550 QMH196344:QMH196550 QWD196344:QWD196550 RFZ196344:RFZ196550 RPV196344:RPV196550 RZR196344:RZR196550 SJN196344:SJN196550 STJ196344:STJ196550 TDF196344:TDF196550 TNB196344:TNB196550 TWX196344:TWX196550 UGT196344:UGT196550 UQP196344:UQP196550 VAL196344:VAL196550 VKH196344:VKH196550 VUD196344:VUD196550 WDZ196344:WDZ196550 WNV196344:WNV196550 WXR196344:WXR196550 BL261880:BM262086 LF261880:LF262086 VB261880:VB262086 AEX261880:AEX262086 AOT261880:AOT262086 AYP261880:AYP262086 BIL261880:BIL262086 BSH261880:BSH262086 CCD261880:CCD262086 CLZ261880:CLZ262086 CVV261880:CVV262086 DFR261880:DFR262086 DPN261880:DPN262086 DZJ261880:DZJ262086 EJF261880:EJF262086 ETB261880:ETB262086 FCX261880:FCX262086 FMT261880:FMT262086 FWP261880:FWP262086 GGL261880:GGL262086 GQH261880:GQH262086 HAD261880:HAD262086 HJZ261880:HJZ262086 HTV261880:HTV262086 IDR261880:IDR262086 INN261880:INN262086 IXJ261880:IXJ262086 JHF261880:JHF262086 JRB261880:JRB262086 KAX261880:KAX262086 KKT261880:KKT262086 KUP261880:KUP262086 LEL261880:LEL262086 LOH261880:LOH262086 LYD261880:LYD262086 MHZ261880:MHZ262086 MRV261880:MRV262086 NBR261880:NBR262086 NLN261880:NLN262086 NVJ261880:NVJ262086 OFF261880:OFF262086 OPB261880:OPB262086 OYX261880:OYX262086 PIT261880:PIT262086 PSP261880:PSP262086 QCL261880:QCL262086 QMH261880:QMH262086 QWD261880:QWD262086 RFZ261880:RFZ262086 RPV261880:RPV262086 RZR261880:RZR262086 SJN261880:SJN262086 STJ261880:STJ262086 TDF261880:TDF262086 TNB261880:TNB262086 TWX261880:TWX262086 UGT261880:UGT262086 UQP261880:UQP262086 VAL261880:VAL262086 VKH261880:VKH262086 VUD261880:VUD262086 WDZ261880:WDZ262086 WNV261880:WNV262086 WXR261880:WXR262086 BL327416:BM327622 LF327416:LF327622 VB327416:VB327622 AEX327416:AEX327622 AOT327416:AOT327622 AYP327416:AYP327622 BIL327416:BIL327622 BSH327416:BSH327622 CCD327416:CCD327622 CLZ327416:CLZ327622 CVV327416:CVV327622 DFR327416:DFR327622 DPN327416:DPN327622 DZJ327416:DZJ327622 EJF327416:EJF327622 ETB327416:ETB327622 FCX327416:FCX327622 FMT327416:FMT327622 FWP327416:FWP327622 GGL327416:GGL327622 GQH327416:GQH327622 HAD327416:HAD327622 HJZ327416:HJZ327622 HTV327416:HTV327622 IDR327416:IDR327622 INN327416:INN327622 IXJ327416:IXJ327622 JHF327416:JHF327622 JRB327416:JRB327622 KAX327416:KAX327622 KKT327416:KKT327622 KUP327416:KUP327622 LEL327416:LEL327622 LOH327416:LOH327622 LYD327416:LYD327622 MHZ327416:MHZ327622 MRV327416:MRV327622 NBR327416:NBR327622 NLN327416:NLN327622 NVJ327416:NVJ327622 OFF327416:OFF327622 OPB327416:OPB327622 OYX327416:OYX327622 PIT327416:PIT327622 PSP327416:PSP327622 QCL327416:QCL327622 QMH327416:QMH327622 QWD327416:QWD327622 RFZ327416:RFZ327622 RPV327416:RPV327622 RZR327416:RZR327622 SJN327416:SJN327622 STJ327416:STJ327622 TDF327416:TDF327622 TNB327416:TNB327622 TWX327416:TWX327622 UGT327416:UGT327622 UQP327416:UQP327622 VAL327416:VAL327622 VKH327416:VKH327622 VUD327416:VUD327622 WDZ327416:WDZ327622 WNV327416:WNV327622 WXR327416:WXR327622 BL392952:BM393158 LF392952:LF393158 VB392952:VB393158 AEX392952:AEX393158 AOT392952:AOT393158 AYP392952:AYP393158 BIL392952:BIL393158 BSH392952:BSH393158 CCD392952:CCD393158 CLZ392952:CLZ393158 CVV392952:CVV393158 DFR392952:DFR393158 DPN392952:DPN393158 DZJ392952:DZJ393158 EJF392952:EJF393158 ETB392952:ETB393158 FCX392952:FCX393158 FMT392952:FMT393158 FWP392952:FWP393158 GGL392952:GGL393158 GQH392952:GQH393158 HAD392952:HAD393158 HJZ392952:HJZ393158 HTV392952:HTV393158 IDR392952:IDR393158 INN392952:INN393158 IXJ392952:IXJ393158 JHF392952:JHF393158 JRB392952:JRB393158 KAX392952:KAX393158 KKT392952:KKT393158 KUP392952:KUP393158 LEL392952:LEL393158 LOH392952:LOH393158 LYD392952:LYD393158 MHZ392952:MHZ393158 MRV392952:MRV393158 NBR392952:NBR393158 NLN392952:NLN393158 NVJ392952:NVJ393158 OFF392952:OFF393158 OPB392952:OPB393158 OYX392952:OYX393158 PIT392952:PIT393158 PSP392952:PSP393158 QCL392952:QCL393158 QMH392952:QMH393158 QWD392952:QWD393158 RFZ392952:RFZ393158 RPV392952:RPV393158 RZR392952:RZR393158 SJN392952:SJN393158 STJ392952:STJ393158 TDF392952:TDF393158 TNB392952:TNB393158 TWX392952:TWX393158 UGT392952:UGT393158 UQP392952:UQP393158 VAL392952:VAL393158 VKH392952:VKH393158 VUD392952:VUD393158 WDZ392952:WDZ393158 WNV392952:WNV393158 WXR392952:WXR393158 BL458488:BM458694 LF458488:LF458694 VB458488:VB458694 AEX458488:AEX458694 AOT458488:AOT458694 AYP458488:AYP458694 BIL458488:BIL458694 BSH458488:BSH458694 CCD458488:CCD458694 CLZ458488:CLZ458694 CVV458488:CVV458694 DFR458488:DFR458694 DPN458488:DPN458694 DZJ458488:DZJ458694 EJF458488:EJF458694 ETB458488:ETB458694 FCX458488:FCX458694 FMT458488:FMT458694 FWP458488:FWP458694 GGL458488:GGL458694 GQH458488:GQH458694 HAD458488:HAD458694 HJZ458488:HJZ458694 HTV458488:HTV458694 IDR458488:IDR458694 INN458488:INN458694 IXJ458488:IXJ458694 JHF458488:JHF458694 JRB458488:JRB458694 KAX458488:KAX458694 KKT458488:KKT458694 KUP458488:KUP458694 LEL458488:LEL458694 LOH458488:LOH458694 LYD458488:LYD458694 MHZ458488:MHZ458694 MRV458488:MRV458694 NBR458488:NBR458694 NLN458488:NLN458694 NVJ458488:NVJ458694 OFF458488:OFF458694 OPB458488:OPB458694 OYX458488:OYX458694 PIT458488:PIT458694 PSP458488:PSP458694 QCL458488:QCL458694 QMH458488:QMH458694 QWD458488:QWD458694 RFZ458488:RFZ458694 RPV458488:RPV458694 RZR458488:RZR458694 SJN458488:SJN458694 STJ458488:STJ458694 TDF458488:TDF458694 TNB458488:TNB458694 TWX458488:TWX458694 UGT458488:UGT458694 UQP458488:UQP458694 VAL458488:VAL458694 VKH458488:VKH458694 VUD458488:VUD458694 WDZ458488:WDZ458694 WNV458488:WNV458694 WXR458488:WXR458694 BL524024:BM524230 LF524024:LF524230 VB524024:VB524230 AEX524024:AEX524230 AOT524024:AOT524230 AYP524024:AYP524230 BIL524024:BIL524230 BSH524024:BSH524230 CCD524024:CCD524230 CLZ524024:CLZ524230 CVV524024:CVV524230 DFR524024:DFR524230 DPN524024:DPN524230 DZJ524024:DZJ524230 EJF524024:EJF524230 ETB524024:ETB524230 FCX524024:FCX524230 FMT524024:FMT524230 FWP524024:FWP524230 GGL524024:GGL524230 GQH524024:GQH524230 HAD524024:HAD524230 HJZ524024:HJZ524230 HTV524024:HTV524230 IDR524024:IDR524230 INN524024:INN524230 IXJ524024:IXJ524230 JHF524024:JHF524230 JRB524024:JRB524230 KAX524024:KAX524230 KKT524024:KKT524230 KUP524024:KUP524230 LEL524024:LEL524230 LOH524024:LOH524230 LYD524024:LYD524230 MHZ524024:MHZ524230 MRV524024:MRV524230 NBR524024:NBR524230 NLN524024:NLN524230 NVJ524024:NVJ524230 OFF524024:OFF524230 OPB524024:OPB524230 OYX524024:OYX524230 PIT524024:PIT524230 PSP524024:PSP524230 QCL524024:QCL524230 QMH524024:QMH524230 QWD524024:QWD524230 RFZ524024:RFZ524230 RPV524024:RPV524230 RZR524024:RZR524230 SJN524024:SJN524230 STJ524024:STJ524230 TDF524024:TDF524230 TNB524024:TNB524230 TWX524024:TWX524230 UGT524024:UGT524230 UQP524024:UQP524230 VAL524024:VAL524230 VKH524024:VKH524230 VUD524024:VUD524230 WDZ524024:WDZ524230 WNV524024:WNV524230 WXR524024:WXR524230 BL589560:BM589766 LF589560:LF589766 VB589560:VB589766 AEX589560:AEX589766 AOT589560:AOT589766 AYP589560:AYP589766 BIL589560:BIL589766 BSH589560:BSH589766 CCD589560:CCD589766 CLZ589560:CLZ589766 CVV589560:CVV589766 DFR589560:DFR589766 DPN589560:DPN589766 DZJ589560:DZJ589766 EJF589560:EJF589766 ETB589560:ETB589766 FCX589560:FCX589766 FMT589560:FMT589766 FWP589560:FWP589766 GGL589560:GGL589766 GQH589560:GQH589766 HAD589560:HAD589766 HJZ589560:HJZ589766 HTV589560:HTV589766 IDR589560:IDR589766 INN589560:INN589766 IXJ589560:IXJ589766 JHF589560:JHF589766 JRB589560:JRB589766 KAX589560:KAX589766 KKT589560:KKT589766 KUP589560:KUP589766 LEL589560:LEL589766 LOH589560:LOH589766 LYD589560:LYD589766 MHZ589560:MHZ589766 MRV589560:MRV589766 NBR589560:NBR589766 NLN589560:NLN589766 NVJ589560:NVJ589766 OFF589560:OFF589766 OPB589560:OPB589766 OYX589560:OYX589766 PIT589560:PIT589766 PSP589560:PSP589766 QCL589560:QCL589766 QMH589560:QMH589766 QWD589560:QWD589766 RFZ589560:RFZ589766 RPV589560:RPV589766 RZR589560:RZR589766 SJN589560:SJN589766 STJ589560:STJ589766 TDF589560:TDF589766 TNB589560:TNB589766 TWX589560:TWX589766 UGT589560:UGT589766 UQP589560:UQP589766 VAL589560:VAL589766 VKH589560:VKH589766 VUD589560:VUD589766 WDZ589560:WDZ589766 WNV589560:WNV589766 WXR589560:WXR589766 BL655096:BM655302 LF655096:LF655302 VB655096:VB655302 AEX655096:AEX655302 AOT655096:AOT655302 AYP655096:AYP655302 BIL655096:BIL655302 BSH655096:BSH655302 CCD655096:CCD655302 CLZ655096:CLZ655302 CVV655096:CVV655302 DFR655096:DFR655302 DPN655096:DPN655302 DZJ655096:DZJ655302 EJF655096:EJF655302 ETB655096:ETB655302 FCX655096:FCX655302 FMT655096:FMT655302 FWP655096:FWP655302 GGL655096:GGL655302 GQH655096:GQH655302 HAD655096:HAD655302 HJZ655096:HJZ655302 HTV655096:HTV655302 IDR655096:IDR655302 INN655096:INN655302 IXJ655096:IXJ655302 JHF655096:JHF655302 JRB655096:JRB655302 KAX655096:KAX655302 KKT655096:KKT655302 KUP655096:KUP655302 LEL655096:LEL655302 LOH655096:LOH655302 LYD655096:LYD655302 MHZ655096:MHZ655302 MRV655096:MRV655302 NBR655096:NBR655302 NLN655096:NLN655302 NVJ655096:NVJ655302 OFF655096:OFF655302 OPB655096:OPB655302 OYX655096:OYX655302 PIT655096:PIT655302 PSP655096:PSP655302 QCL655096:QCL655302 QMH655096:QMH655302 QWD655096:QWD655302 RFZ655096:RFZ655302 RPV655096:RPV655302 RZR655096:RZR655302 SJN655096:SJN655302 STJ655096:STJ655302 TDF655096:TDF655302 TNB655096:TNB655302 TWX655096:TWX655302 UGT655096:UGT655302 UQP655096:UQP655302 VAL655096:VAL655302 VKH655096:VKH655302 VUD655096:VUD655302 WDZ655096:WDZ655302 WNV655096:WNV655302 WXR655096:WXR655302 BL720632:BM720838 LF720632:LF720838 VB720632:VB720838 AEX720632:AEX720838 AOT720632:AOT720838 AYP720632:AYP720838 BIL720632:BIL720838 BSH720632:BSH720838 CCD720632:CCD720838 CLZ720632:CLZ720838 CVV720632:CVV720838 DFR720632:DFR720838 DPN720632:DPN720838 DZJ720632:DZJ720838 EJF720632:EJF720838 ETB720632:ETB720838 FCX720632:FCX720838 FMT720632:FMT720838 FWP720632:FWP720838 GGL720632:GGL720838 GQH720632:GQH720838 HAD720632:HAD720838 HJZ720632:HJZ720838 HTV720632:HTV720838 IDR720632:IDR720838 INN720632:INN720838 IXJ720632:IXJ720838 JHF720632:JHF720838 JRB720632:JRB720838 KAX720632:KAX720838 KKT720632:KKT720838 KUP720632:KUP720838 LEL720632:LEL720838 LOH720632:LOH720838 LYD720632:LYD720838 MHZ720632:MHZ720838 MRV720632:MRV720838 NBR720632:NBR720838 NLN720632:NLN720838 NVJ720632:NVJ720838 OFF720632:OFF720838 OPB720632:OPB720838 OYX720632:OYX720838 PIT720632:PIT720838 PSP720632:PSP720838 QCL720632:QCL720838 QMH720632:QMH720838 QWD720632:QWD720838 RFZ720632:RFZ720838 RPV720632:RPV720838 RZR720632:RZR720838 SJN720632:SJN720838 STJ720632:STJ720838 TDF720632:TDF720838 TNB720632:TNB720838 TWX720632:TWX720838 UGT720632:UGT720838 UQP720632:UQP720838 VAL720632:VAL720838 VKH720632:VKH720838 VUD720632:VUD720838 WDZ720632:WDZ720838 WNV720632:WNV720838 WXR720632:WXR720838 BL786168:BM786374 LF786168:LF786374 VB786168:VB786374 AEX786168:AEX786374 AOT786168:AOT786374 AYP786168:AYP786374 BIL786168:BIL786374 BSH786168:BSH786374 CCD786168:CCD786374 CLZ786168:CLZ786374 CVV786168:CVV786374 DFR786168:DFR786374 DPN786168:DPN786374 DZJ786168:DZJ786374 EJF786168:EJF786374 ETB786168:ETB786374 FCX786168:FCX786374 FMT786168:FMT786374 FWP786168:FWP786374 GGL786168:GGL786374 GQH786168:GQH786374 HAD786168:HAD786374 HJZ786168:HJZ786374 HTV786168:HTV786374 IDR786168:IDR786374 INN786168:INN786374 IXJ786168:IXJ786374 JHF786168:JHF786374 JRB786168:JRB786374 KAX786168:KAX786374 KKT786168:KKT786374 KUP786168:KUP786374 LEL786168:LEL786374 LOH786168:LOH786374 LYD786168:LYD786374 MHZ786168:MHZ786374 MRV786168:MRV786374 NBR786168:NBR786374 NLN786168:NLN786374 NVJ786168:NVJ786374 OFF786168:OFF786374 OPB786168:OPB786374 OYX786168:OYX786374 PIT786168:PIT786374 PSP786168:PSP786374 QCL786168:QCL786374 QMH786168:QMH786374 QWD786168:QWD786374 RFZ786168:RFZ786374 RPV786168:RPV786374 RZR786168:RZR786374 SJN786168:SJN786374 STJ786168:STJ786374 TDF786168:TDF786374 TNB786168:TNB786374 TWX786168:TWX786374 UGT786168:UGT786374 UQP786168:UQP786374 VAL786168:VAL786374 VKH786168:VKH786374 VUD786168:VUD786374 WDZ786168:WDZ786374 WNV786168:WNV786374 WXR786168:WXR786374 BL851704:BM851910 LF851704:LF851910 VB851704:VB851910 AEX851704:AEX851910 AOT851704:AOT851910 AYP851704:AYP851910 BIL851704:BIL851910 BSH851704:BSH851910 CCD851704:CCD851910 CLZ851704:CLZ851910 CVV851704:CVV851910 DFR851704:DFR851910 DPN851704:DPN851910 DZJ851704:DZJ851910 EJF851704:EJF851910 ETB851704:ETB851910 FCX851704:FCX851910 FMT851704:FMT851910 FWP851704:FWP851910 GGL851704:GGL851910 GQH851704:GQH851910 HAD851704:HAD851910 HJZ851704:HJZ851910 HTV851704:HTV851910 IDR851704:IDR851910 INN851704:INN851910 IXJ851704:IXJ851910 JHF851704:JHF851910 JRB851704:JRB851910 KAX851704:KAX851910 KKT851704:KKT851910 KUP851704:KUP851910 LEL851704:LEL851910 LOH851704:LOH851910 LYD851704:LYD851910 MHZ851704:MHZ851910 MRV851704:MRV851910 NBR851704:NBR851910 NLN851704:NLN851910 NVJ851704:NVJ851910 OFF851704:OFF851910 OPB851704:OPB851910 OYX851704:OYX851910 PIT851704:PIT851910 PSP851704:PSP851910 QCL851704:QCL851910 QMH851704:QMH851910 QWD851704:QWD851910 RFZ851704:RFZ851910 RPV851704:RPV851910 RZR851704:RZR851910 SJN851704:SJN851910 STJ851704:STJ851910 TDF851704:TDF851910 TNB851704:TNB851910 TWX851704:TWX851910 UGT851704:UGT851910 UQP851704:UQP851910 VAL851704:VAL851910 VKH851704:VKH851910 VUD851704:VUD851910 WDZ851704:WDZ851910 WNV851704:WNV851910 WXR851704:WXR851910 BL917240:BM917446 LF917240:LF917446 VB917240:VB917446 AEX917240:AEX917446 AOT917240:AOT917446 AYP917240:AYP917446 BIL917240:BIL917446 BSH917240:BSH917446 CCD917240:CCD917446 CLZ917240:CLZ917446 CVV917240:CVV917446 DFR917240:DFR917446 DPN917240:DPN917446 DZJ917240:DZJ917446 EJF917240:EJF917446 ETB917240:ETB917446 FCX917240:FCX917446 FMT917240:FMT917446 FWP917240:FWP917446 GGL917240:GGL917446 GQH917240:GQH917446 HAD917240:HAD917446 HJZ917240:HJZ917446 HTV917240:HTV917446 IDR917240:IDR917446 INN917240:INN917446 IXJ917240:IXJ917446 JHF917240:JHF917446 JRB917240:JRB917446 KAX917240:KAX917446 KKT917240:KKT917446 KUP917240:KUP917446 LEL917240:LEL917446 LOH917240:LOH917446 LYD917240:LYD917446 MHZ917240:MHZ917446 MRV917240:MRV917446 NBR917240:NBR917446 NLN917240:NLN917446 NVJ917240:NVJ917446 OFF917240:OFF917446 OPB917240:OPB917446 OYX917240:OYX917446 PIT917240:PIT917446 PSP917240:PSP917446 QCL917240:QCL917446 QMH917240:QMH917446 QWD917240:QWD917446 RFZ917240:RFZ917446 RPV917240:RPV917446 RZR917240:RZR917446 SJN917240:SJN917446 STJ917240:STJ917446 TDF917240:TDF917446 TNB917240:TNB917446 TWX917240:TWX917446 UGT917240:UGT917446 UQP917240:UQP917446 VAL917240:VAL917446 VKH917240:VKH917446 VUD917240:VUD917446 WDZ917240:WDZ917446 WNV917240:WNV917446 WXR917240:WXR917446 BL982776:BM982982 LF982776:LF982982 VB982776:VB982982 AEX982776:AEX982982 AOT982776:AOT982982 AYP982776:AYP982982 BIL982776:BIL982982 BSH982776:BSH982982 CCD982776:CCD982982 CLZ982776:CLZ982982 CVV982776:CVV982982 DFR982776:DFR982982 DPN982776:DPN982982 DZJ982776:DZJ982982 EJF982776:EJF982982 ETB982776:ETB982982 FCX982776:FCX982982 FMT982776:FMT982982 FWP982776:FWP982982 GGL982776:GGL982982 GQH982776:GQH982982 HAD982776:HAD982982 HJZ982776:HJZ982982 HTV982776:HTV982982 IDR982776:IDR982982 INN982776:INN982982 IXJ982776:IXJ982982 JHF982776:JHF982982 JRB982776:JRB982982 KAX982776:KAX982982 KKT982776:KKT982982 KUP982776:KUP982982 LEL982776:LEL982982 LOH982776:LOH982982 LYD982776:LYD982982 MHZ982776:MHZ982982 MRV982776:MRV982982 NBR982776:NBR982982 NLN982776:NLN982982 NVJ982776:NVJ982982 OFF982776:OFF982982 OPB982776:OPB982982 OYX982776:OYX982982 PIT982776:PIT982982 PSP982776:PSP982982 QCL982776:QCL982982 QMH982776:QMH982982 QWD982776:QWD982982 RFZ982776:RFZ982982 RPV982776:RPV982982 RZR982776:RZR982982 SJN982776:SJN982982 STJ982776:STJ982982 TDF982776:TDF982982 TNB982776:TNB982982 TWX982776:TWX982982 UGT982776:UGT982982 UQP982776:UQP982982 VAL982776:VAL982982 VKH982776:VKH982982 VUD982776:VUD982982 WDZ982776:WDZ982982 WNV982776:WNV982982 WXR982776:WXR982982 BQ65272:BQ65478 LI65272:LI65478 VE65272:VE65478 AFA65272:AFA65478 AOW65272:AOW65478 AYS65272:AYS65478 BIO65272:BIO65478 BSK65272:BSK65478 CCG65272:CCG65478 CMC65272:CMC65478 CVY65272:CVY65478 DFU65272:DFU65478 DPQ65272:DPQ65478 DZM65272:DZM65478 EJI65272:EJI65478 ETE65272:ETE65478 FDA65272:FDA65478 FMW65272:FMW65478 FWS65272:FWS65478 GGO65272:GGO65478 GQK65272:GQK65478 HAG65272:HAG65478 HKC65272:HKC65478 HTY65272:HTY65478 IDU65272:IDU65478 INQ65272:INQ65478 IXM65272:IXM65478 JHI65272:JHI65478 JRE65272:JRE65478 KBA65272:KBA65478 KKW65272:KKW65478 KUS65272:KUS65478 LEO65272:LEO65478 LOK65272:LOK65478 LYG65272:LYG65478 MIC65272:MIC65478 MRY65272:MRY65478 NBU65272:NBU65478 NLQ65272:NLQ65478 NVM65272:NVM65478 OFI65272:OFI65478 OPE65272:OPE65478 OZA65272:OZA65478 PIW65272:PIW65478 PSS65272:PSS65478 QCO65272:QCO65478 QMK65272:QMK65478 QWG65272:QWG65478 RGC65272:RGC65478 RPY65272:RPY65478 RZU65272:RZU65478 SJQ65272:SJQ65478 STM65272:STM65478 TDI65272:TDI65478 TNE65272:TNE65478 TXA65272:TXA65478 UGW65272:UGW65478 UQS65272:UQS65478 VAO65272:VAO65478 VKK65272:VKK65478 VUG65272:VUG65478 WEC65272:WEC65478 WNY65272:WNY65478 WXU65272:WXU65478 BQ130808:BQ131014 LI130808:LI131014 VE130808:VE131014 AFA130808:AFA131014 AOW130808:AOW131014 AYS130808:AYS131014 BIO130808:BIO131014 BSK130808:BSK131014 CCG130808:CCG131014 CMC130808:CMC131014 CVY130808:CVY131014 DFU130808:DFU131014 DPQ130808:DPQ131014 DZM130808:DZM131014 EJI130808:EJI131014 ETE130808:ETE131014 FDA130808:FDA131014 FMW130808:FMW131014 FWS130808:FWS131014 GGO130808:GGO131014 GQK130808:GQK131014 HAG130808:HAG131014 HKC130808:HKC131014 HTY130808:HTY131014 IDU130808:IDU131014 INQ130808:INQ131014 IXM130808:IXM131014 JHI130808:JHI131014 JRE130808:JRE131014 KBA130808:KBA131014 KKW130808:KKW131014 KUS130808:KUS131014 LEO130808:LEO131014 LOK130808:LOK131014 LYG130808:LYG131014 MIC130808:MIC131014 MRY130808:MRY131014 NBU130808:NBU131014 NLQ130808:NLQ131014 NVM130808:NVM131014 OFI130808:OFI131014 OPE130808:OPE131014 OZA130808:OZA131014 PIW130808:PIW131014 PSS130808:PSS131014 QCO130808:QCO131014 QMK130808:QMK131014 QWG130808:QWG131014 RGC130808:RGC131014 RPY130808:RPY131014 RZU130808:RZU131014 SJQ130808:SJQ131014 STM130808:STM131014 TDI130808:TDI131014 TNE130808:TNE131014 TXA130808:TXA131014 UGW130808:UGW131014 UQS130808:UQS131014 VAO130808:VAO131014 VKK130808:VKK131014 VUG130808:VUG131014 WEC130808:WEC131014 WNY130808:WNY131014 WXU130808:WXU131014 BQ196344:BQ196550 LI196344:LI196550 VE196344:VE196550 AFA196344:AFA196550 AOW196344:AOW196550 AYS196344:AYS196550 BIO196344:BIO196550 BSK196344:BSK196550 CCG196344:CCG196550 CMC196344:CMC196550 CVY196344:CVY196550 DFU196344:DFU196550 DPQ196344:DPQ196550 DZM196344:DZM196550 EJI196344:EJI196550 ETE196344:ETE196550 FDA196344:FDA196550 FMW196344:FMW196550 FWS196344:FWS196550 GGO196344:GGO196550 GQK196344:GQK196550 HAG196344:HAG196550 HKC196344:HKC196550 HTY196344:HTY196550 IDU196344:IDU196550 INQ196344:INQ196550 IXM196344:IXM196550 JHI196344:JHI196550 JRE196344:JRE196550 KBA196344:KBA196550 KKW196344:KKW196550 KUS196344:KUS196550 LEO196344:LEO196550 LOK196344:LOK196550 LYG196344:LYG196550 MIC196344:MIC196550 MRY196344:MRY196550 NBU196344:NBU196550 NLQ196344:NLQ196550 NVM196344:NVM196550 OFI196344:OFI196550 OPE196344:OPE196550 OZA196344:OZA196550 PIW196344:PIW196550 PSS196344:PSS196550 QCO196344:QCO196550 QMK196344:QMK196550 QWG196344:QWG196550 RGC196344:RGC196550 RPY196344:RPY196550 RZU196344:RZU196550 SJQ196344:SJQ196550 STM196344:STM196550 TDI196344:TDI196550 TNE196344:TNE196550 TXA196344:TXA196550 UGW196344:UGW196550 UQS196344:UQS196550 VAO196344:VAO196550 VKK196344:VKK196550 VUG196344:VUG196550 WEC196344:WEC196550 WNY196344:WNY196550 WXU196344:WXU196550 BQ261880:BQ262086 LI261880:LI262086 VE261880:VE262086 AFA261880:AFA262086 AOW261880:AOW262086 AYS261880:AYS262086 BIO261880:BIO262086 BSK261880:BSK262086 CCG261880:CCG262086 CMC261880:CMC262086 CVY261880:CVY262086 DFU261880:DFU262086 DPQ261880:DPQ262086 DZM261880:DZM262086 EJI261880:EJI262086 ETE261880:ETE262086 FDA261880:FDA262086 FMW261880:FMW262086 FWS261880:FWS262086 GGO261880:GGO262086 GQK261880:GQK262086 HAG261880:HAG262086 HKC261880:HKC262086 HTY261880:HTY262086 IDU261880:IDU262086 INQ261880:INQ262086 IXM261880:IXM262086 JHI261880:JHI262086 JRE261880:JRE262086 KBA261880:KBA262086 KKW261880:KKW262086 KUS261880:KUS262086 LEO261880:LEO262086 LOK261880:LOK262086 LYG261880:LYG262086 MIC261880:MIC262086 MRY261880:MRY262086 NBU261880:NBU262086 NLQ261880:NLQ262086 NVM261880:NVM262086 OFI261880:OFI262086 OPE261880:OPE262086 OZA261880:OZA262086 PIW261880:PIW262086 PSS261880:PSS262086 QCO261880:QCO262086 QMK261880:QMK262086 QWG261880:QWG262086 RGC261880:RGC262086 RPY261880:RPY262086 RZU261880:RZU262086 SJQ261880:SJQ262086 STM261880:STM262086 TDI261880:TDI262086 TNE261880:TNE262086 TXA261880:TXA262086 UGW261880:UGW262086 UQS261880:UQS262086 VAO261880:VAO262086 VKK261880:VKK262086 VUG261880:VUG262086 WEC261880:WEC262086 WNY261880:WNY262086 WXU261880:WXU262086 BQ327416:BQ327622 LI327416:LI327622 VE327416:VE327622 AFA327416:AFA327622 AOW327416:AOW327622 AYS327416:AYS327622 BIO327416:BIO327622 BSK327416:BSK327622 CCG327416:CCG327622 CMC327416:CMC327622 CVY327416:CVY327622 DFU327416:DFU327622 DPQ327416:DPQ327622 DZM327416:DZM327622 EJI327416:EJI327622 ETE327416:ETE327622 FDA327416:FDA327622 FMW327416:FMW327622 FWS327416:FWS327622 GGO327416:GGO327622 GQK327416:GQK327622 HAG327416:HAG327622 HKC327416:HKC327622 HTY327416:HTY327622 IDU327416:IDU327622 INQ327416:INQ327622 IXM327416:IXM327622 JHI327416:JHI327622 JRE327416:JRE327622 KBA327416:KBA327622 KKW327416:KKW327622 KUS327416:KUS327622 LEO327416:LEO327622 LOK327416:LOK327622 LYG327416:LYG327622 MIC327416:MIC327622 MRY327416:MRY327622 NBU327416:NBU327622 NLQ327416:NLQ327622 NVM327416:NVM327622 OFI327416:OFI327622 OPE327416:OPE327622 OZA327416:OZA327622 PIW327416:PIW327622 PSS327416:PSS327622 QCO327416:QCO327622 QMK327416:QMK327622 QWG327416:QWG327622 RGC327416:RGC327622 RPY327416:RPY327622 RZU327416:RZU327622 SJQ327416:SJQ327622 STM327416:STM327622 TDI327416:TDI327622 TNE327416:TNE327622 TXA327416:TXA327622 UGW327416:UGW327622 UQS327416:UQS327622 VAO327416:VAO327622 VKK327416:VKK327622 VUG327416:VUG327622 WEC327416:WEC327622 WNY327416:WNY327622 WXU327416:WXU327622 BQ392952:BQ393158 LI392952:LI393158 VE392952:VE393158 AFA392952:AFA393158 AOW392952:AOW393158 AYS392952:AYS393158 BIO392952:BIO393158 BSK392952:BSK393158 CCG392952:CCG393158 CMC392952:CMC393158 CVY392952:CVY393158 DFU392952:DFU393158 DPQ392952:DPQ393158 DZM392952:DZM393158 EJI392952:EJI393158 ETE392952:ETE393158 FDA392952:FDA393158 FMW392952:FMW393158 FWS392952:FWS393158 GGO392952:GGO393158 GQK392952:GQK393158 HAG392952:HAG393158 HKC392952:HKC393158 HTY392952:HTY393158 IDU392952:IDU393158 INQ392952:INQ393158 IXM392952:IXM393158 JHI392952:JHI393158 JRE392952:JRE393158 KBA392952:KBA393158 KKW392952:KKW393158 KUS392952:KUS393158 LEO392952:LEO393158 LOK392952:LOK393158 LYG392952:LYG393158 MIC392952:MIC393158 MRY392952:MRY393158 NBU392952:NBU393158 NLQ392952:NLQ393158 NVM392952:NVM393158 OFI392952:OFI393158 OPE392952:OPE393158 OZA392952:OZA393158 PIW392952:PIW393158 PSS392952:PSS393158 QCO392952:QCO393158 QMK392952:QMK393158 QWG392952:QWG393158 RGC392952:RGC393158 RPY392952:RPY393158 RZU392952:RZU393158 SJQ392952:SJQ393158 STM392952:STM393158 TDI392952:TDI393158 TNE392952:TNE393158 TXA392952:TXA393158 UGW392952:UGW393158 UQS392952:UQS393158 VAO392952:VAO393158 VKK392952:VKK393158 VUG392952:VUG393158 WEC392952:WEC393158 WNY392952:WNY393158 WXU392952:WXU393158 BQ458488:BQ458694 LI458488:LI458694 VE458488:VE458694 AFA458488:AFA458694 AOW458488:AOW458694 AYS458488:AYS458694 BIO458488:BIO458694 BSK458488:BSK458694 CCG458488:CCG458694 CMC458488:CMC458694 CVY458488:CVY458694 DFU458488:DFU458694 DPQ458488:DPQ458694 DZM458488:DZM458694 EJI458488:EJI458694 ETE458488:ETE458694 FDA458488:FDA458694 FMW458488:FMW458694 FWS458488:FWS458694 GGO458488:GGO458694 GQK458488:GQK458694 HAG458488:HAG458694 HKC458488:HKC458694 HTY458488:HTY458694 IDU458488:IDU458694 INQ458488:INQ458694 IXM458488:IXM458694 JHI458488:JHI458694 JRE458488:JRE458694 KBA458488:KBA458694 KKW458488:KKW458694 KUS458488:KUS458694 LEO458488:LEO458694 LOK458488:LOK458694 LYG458488:LYG458694 MIC458488:MIC458694 MRY458488:MRY458694 NBU458488:NBU458694 NLQ458488:NLQ458694 NVM458488:NVM458694 OFI458488:OFI458694 OPE458488:OPE458694 OZA458488:OZA458694 PIW458488:PIW458694 PSS458488:PSS458694 QCO458488:QCO458694 QMK458488:QMK458694 QWG458488:QWG458694 RGC458488:RGC458694 RPY458488:RPY458694 RZU458488:RZU458694 SJQ458488:SJQ458694 STM458488:STM458694 TDI458488:TDI458694 TNE458488:TNE458694 TXA458488:TXA458694 UGW458488:UGW458694 UQS458488:UQS458694 VAO458488:VAO458694 VKK458488:VKK458694 VUG458488:VUG458694 WEC458488:WEC458694 WNY458488:WNY458694 WXU458488:WXU458694 BQ524024:BQ524230 LI524024:LI524230 VE524024:VE524230 AFA524024:AFA524230 AOW524024:AOW524230 AYS524024:AYS524230 BIO524024:BIO524230 BSK524024:BSK524230 CCG524024:CCG524230 CMC524024:CMC524230 CVY524024:CVY524230 DFU524024:DFU524230 DPQ524024:DPQ524230 DZM524024:DZM524230 EJI524024:EJI524230 ETE524024:ETE524230 FDA524024:FDA524230 FMW524024:FMW524230 FWS524024:FWS524230 GGO524024:GGO524230 GQK524024:GQK524230 HAG524024:HAG524230 HKC524024:HKC524230 HTY524024:HTY524230 IDU524024:IDU524230 INQ524024:INQ524230 IXM524024:IXM524230 JHI524024:JHI524230 JRE524024:JRE524230 KBA524024:KBA524230 KKW524024:KKW524230 KUS524024:KUS524230 LEO524024:LEO524230 LOK524024:LOK524230 LYG524024:LYG524230 MIC524024:MIC524230 MRY524024:MRY524230 NBU524024:NBU524230 NLQ524024:NLQ524230 NVM524024:NVM524230 OFI524024:OFI524230 OPE524024:OPE524230 OZA524024:OZA524230 PIW524024:PIW524230 PSS524024:PSS524230 QCO524024:QCO524230 QMK524024:QMK524230 QWG524024:QWG524230 RGC524024:RGC524230 RPY524024:RPY524230 RZU524024:RZU524230 SJQ524024:SJQ524230 STM524024:STM524230 TDI524024:TDI524230 TNE524024:TNE524230 TXA524024:TXA524230 UGW524024:UGW524230 UQS524024:UQS524230 VAO524024:VAO524230 VKK524024:VKK524230 VUG524024:VUG524230 WEC524024:WEC524230 WNY524024:WNY524230 WXU524024:WXU524230 BQ589560:BQ589766 LI589560:LI589766 VE589560:VE589766 AFA589560:AFA589766 AOW589560:AOW589766 AYS589560:AYS589766 BIO589560:BIO589766 BSK589560:BSK589766 CCG589560:CCG589766 CMC589560:CMC589766 CVY589560:CVY589766 DFU589560:DFU589766 DPQ589560:DPQ589766 DZM589560:DZM589766 EJI589560:EJI589766 ETE589560:ETE589766 FDA589560:FDA589766 FMW589560:FMW589766 FWS589560:FWS589766 GGO589560:GGO589766 GQK589560:GQK589766 HAG589560:HAG589766 HKC589560:HKC589766 HTY589560:HTY589766 IDU589560:IDU589766 INQ589560:INQ589766 IXM589560:IXM589766 JHI589560:JHI589766 JRE589560:JRE589766 KBA589560:KBA589766 KKW589560:KKW589766 KUS589560:KUS589766 LEO589560:LEO589766 LOK589560:LOK589766 LYG589560:LYG589766 MIC589560:MIC589766 MRY589560:MRY589766 NBU589560:NBU589766 NLQ589560:NLQ589766 NVM589560:NVM589766 OFI589560:OFI589766 OPE589560:OPE589766 OZA589560:OZA589766 PIW589560:PIW589766 PSS589560:PSS589766 QCO589560:QCO589766 QMK589560:QMK589766 QWG589560:QWG589766 RGC589560:RGC589766 RPY589560:RPY589766 RZU589560:RZU589766 SJQ589560:SJQ589766 STM589560:STM589766 TDI589560:TDI589766 TNE589560:TNE589766 TXA589560:TXA589766 UGW589560:UGW589766 UQS589560:UQS589766 VAO589560:VAO589766 VKK589560:VKK589766 VUG589560:VUG589766 WEC589560:WEC589766 WNY589560:WNY589766 WXU589560:WXU589766 BQ655096:BQ655302 LI655096:LI655302 VE655096:VE655302 AFA655096:AFA655302 AOW655096:AOW655302 AYS655096:AYS655302 BIO655096:BIO655302 BSK655096:BSK655302 CCG655096:CCG655302 CMC655096:CMC655302 CVY655096:CVY655302 DFU655096:DFU655302 DPQ655096:DPQ655302 DZM655096:DZM655302 EJI655096:EJI655302 ETE655096:ETE655302 FDA655096:FDA655302 FMW655096:FMW655302 FWS655096:FWS655302 GGO655096:GGO655302 GQK655096:GQK655302 HAG655096:HAG655302 HKC655096:HKC655302 HTY655096:HTY655302 IDU655096:IDU655302 INQ655096:INQ655302 IXM655096:IXM655302 JHI655096:JHI655302 JRE655096:JRE655302 KBA655096:KBA655302 KKW655096:KKW655302 KUS655096:KUS655302 LEO655096:LEO655302 LOK655096:LOK655302 LYG655096:LYG655302 MIC655096:MIC655302 MRY655096:MRY655302 NBU655096:NBU655302 NLQ655096:NLQ655302 NVM655096:NVM655302 OFI655096:OFI655302 OPE655096:OPE655302 OZA655096:OZA655302 PIW655096:PIW655302 PSS655096:PSS655302 QCO655096:QCO655302 QMK655096:QMK655302 QWG655096:QWG655302 RGC655096:RGC655302 RPY655096:RPY655302 RZU655096:RZU655302 SJQ655096:SJQ655302 STM655096:STM655302 TDI655096:TDI655302 TNE655096:TNE655302 TXA655096:TXA655302 UGW655096:UGW655302 UQS655096:UQS655302 VAO655096:VAO655302 VKK655096:VKK655302 VUG655096:VUG655302 WEC655096:WEC655302 WNY655096:WNY655302 WXU655096:WXU655302 BQ720632:BQ720838 LI720632:LI720838 VE720632:VE720838 AFA720632:AFA720838 AOW720632:AOW720838 AYS720632:AYS720838 BIO720632:BIO720838 BSK720632:BSK720838 CCG720632:CCG720838 CMC720632:CMC720838 CVY720632:CVY720838 DFU720632:DFU720838 DPQ720632:DPQ720838 DZM720632:DZM720838 EJI720632:EJI720838 ETE720632:ETE720838 FDA720632:FDA720838 FMW720632:FMW720838 FWS720632:FWS720838 GGO720632:GGO720838 GQK720632:GQK720838 HAG720632:HAG720838 HKC720632:HKC720838 HTY720632:HTY720838 IDU720632:IDU720838 INQ720632:INQ720838 IXM720632:IXM720838 JHI720632:JHI720838 JRE720632:JRE720838 KBA720632:KBA720838 KKW720632:KKW720838 KUS720632:KUS720838 LEO720632:LEO720838 LOK720632:LOK720838 LYG720632:LYG720838 MIC720632:MIC720838 MRY720632:MRY720838 NBU720632:NBU720838 NLQ720632:NLQ720838 NVM720632:NVM720838 OFI720632:OFI720838 OPE720632:OPE720838 OZA720632:OZA720838 PIW720632:PIW720838 PSS720632:PSS720838 QCO720632:QCO720838 QMK720632:QMK720838 QWG720632:QWG720838 RGC720632:RGC720838 RPY720632:RPY720838 RZU720632:RZU720838 SJQ720632:SJQ720838 STM720632:STM720838 TDI720632:TDI720838 TNE720632:TNE720838 TXA720632:TXA720838 UGW720632:UGW720838 UQS720632:UQS720838 VAO720632:VAO720838 VKK720632:VKK720838 VUG720632:VUG720838 WEC720632:WEC720838 WNY720632:WNY720838 WXU720632:WXU720838 BQ786168:BQ786374 LI786168:LI786374 VE786168:VE786374 AFA786168:AFA786374 AOW786168:AOW786374 AYS786168:AYS786374 BIO786168:BIO786374 BSK786168:BSK786374 CCG786168:CCG786374 CMC786168:CMC786374 CVY786168:CVY786374 DFU786168:DFU786374 DPQ786168:DPQ786374 DZM786168:DZM786374 EJI786168:EJI786374 ETE786168:ETE786374 FDA786168:FDA786374 FMW786168:FMW786374 FWS786168:FWS786374 GGO786168:GGO786374 GQK786168:GQK786374 HAG786168:HAG786374 HKC786168:HKC786374 HTY786168:HTY786374 IDU786168:IDU786374 INQ786168:INQ786374 IXM786168:IXM786374 JHI786168:JHI786374 JRE786168:JRE786374 KBA786168:KBA786374 KKW786168:KKW786374 KUS786168:KUS786374 LEO786168:LEO786374 LOK786168:LOK786374 LYG786168:LYG786374 MIC786168:MIC786374 MRY786168:MRY786374 NBU786168:NBU786374 NLQ786168:NLQ786374 NVM786168:NVM786374 OFI786168:OFI786374 OPE786168:OPE786374 OZA786168:OZA786374 PIW786168:PIW786374 PSS786168:PSS786374 QCO786168:QCO786374 QMK786168:QMK786374 QWG786168:QWG786374 RGC786168:RGC786374 RPY786168:RPY786374 RZU786168:RZU786374 SJQ786168:SJQ786374 STM786168:STM786374 TDI786168:TDI786374 TNE786168:TNE786374 TXA786168:TXA786374 UGW786168:UGW786374 UQS786168:UQS786374 VAO786168:VAO786374 VKK786168:VKK786374 VUG786168:VUG786374 WEC786168:WEC786374 WNY786168:WNY786374 WXU786168:WXU786374 BQ851704:BQ851910 LI851704:LI851910 VE851704:VE851910 AFA851704:AFA851910 AOW851704:AOW851910 AYS851704:AYS851910 BIO851704:BIO851910 BSK851704:BSK851910 CCG851704:CCG851910 CMC851704:CMC851910 CVY851704:CVY851910 DFU851704:DFU851910 DPQ851704:DPQ851910 DZM851704:DZM851910 EJI851704:EJI851910 ETE851704:ETE851910 FDA851704:FDA851910 FMW851704:FMW851910 FWS851704:FWS851910 GGO851704:GGO851910 GQK851704:GQK851910 HAG851704:HAG851910 HKC851704:HKC851910 HTY851704:HTY851910 IDU851704:IDU851910 INQ851704:INQ851910 IXM851704:IXM851910 JHI851704:JHI851910 JRE851704:JRE851910 KBA851704:KBA851910 KKW851704:KKW851910 KUS851704:KUS851910 LEO851704:LEO851910 LOK851704:LOK851910 LYG851704:LYG851910 MIC851704:MIC851910 MRY851704:MRY851910 NBU851704:NBU851910 NLQ851704:NLQ851910 NVM851704:NVM851910 OFI851704:OFI851910 OPE851704:OPE851910 OZA851704:OZA851910 PIW851704:PIW851910 PSS851704:PSS851910 QCO851704:QCO851910 QMK851704:QMK851910 QWG851704:QWG851910 RGC851704:RGC851910 RPY851704:RPY851910 RZU851704:RZU851910 SJQ851704:SJQ851910 STM851704:STM851910 TDI851704:TDI851910 TNE851704:TNE851910 TXA851704:TXA851910 UGW851704:UGW851910 UQS851704:UQS851910 VAO851704:VAO851910 VKK851704:VKK851910 VUG851704:VUG851910 WEC851704:WEC851910 WNY851704:WNY851910 WXU851704:WXU851910 BQ917240:BQ917446 LI917240:LI917446 VE917240:VE917446 AFA917240:AFA917446 AOW917240:AOW917446 AYS917240:AYS917446 BIO917240:BIO917446 BSK917240:BSK917446 CCG917240:CCG917446 CMC917240:CMC917446 CVY917240:CVY917446 DFU917240:DFU917446 DPQ917240:DPQ917446 DZM917240:DZM917446 EJI917240:EJI917446 ETE917240:ETE917446 FDA917240:FDA917446 FMW917240:FMW917446 FWS917240:FWS917446 GGO917240:GGO917446 GQK917240:GQK917446 HAG917240:HAG917446 HKC917240:HKC917446 HTY917240:HTY917446 IDU917240:IDU917446 INQ917240:INQ917446 IXM917240:IXM917446 JHI917240:JHI917446 JRE917240:JRE917446 KBA917240:KBA917446 KKW917240:KKW917446 KUS917240:KUS917446 LEO917240:LEO917446 LOK917240:LOK917446 LYG917240:LYG917446 MIC917240:MIC917446 MRY917240:MRY917446 NBU917240:NBU917446 NLQ917240:NLQ917446 NVM917240:NVM917446 OFI917240:OFI917446 OPE917240:OPE917446 OZA917240:OZA917446 PIW917240:PIW917446 PSS917240:PSS917446 QCO917240:QCO917446 QMK917240:QMK917446 QWG917240:QWG917446 RGC917240:RGC917446 RPY917240:RPY917446 RZU917240:RZU917446 SJQ917240:SJQ917446 STM917240:STM917446 TDI917240:TDI917446 TNE917240:TNE917446 TXA917240:TXA917446 UGW917240:UGW917446 UQS917240:UQS917446 VAO917240:VAO917446 VKK917240:VKK917446 VUG917240:VUG917446 WEC917240:WEC917446 WNY917240:WNY917446 WXU917240:WXU917446 BQ982776:BQ982982 LI982776:LI982982 VE982776:VE982982 AFA982776:AFA982982 AOW982776:AOW982982 AYS982776:AYS982982 BIO982776:BIO982982 BSK982776:BSK982982 CCG982776:CCG982982 CMC982776:CMC982982 CVY982776:CVY982982 DFU982776:DFU982982 DPQ982776:DPQ982982 DZM982776:DZM982982 EJI982776:EJI982982 ETE982776:ETE982982 FDA982776:FDA982982 FMW982776:FMW982982 FWS982776:FWS982982 GGO982776:GGO982982 GQK982776:GQK982982 HAG982776:HAG982982 HKC982776:HKC982982 HTY982776:HTY982982 IDU982776:IDU982982 INQ982776:INQ982982 IXM982776:IXM982982 JHI982776:JHI982982 JRE982776:JRE982982 KBA982776:KBA982982 KKW982776:KKW982982 KUS982776:KUS982982 LEO982776:LEO982982 LOK982776:LOK982982 LYG982776:LYG982982 MIC982776:MIC982982 MRY982776:MRY982982 NBU982776:NBU982982 NLQ982776:NLQ982982 NVM982776:NVM982982 OFI982776:OFI982982 OPE982776:OPE982982 OZA982776:OZA982982 PIW982776:PIW982982 PSS982776:PSS982982 QCO982776:QCO982982 QMK982776:QMK982982 QWG982776:QWG982982 RGC982776:RGC982982 RPY982776:RPY982982 RZU982776:RZU982982 SJQ982776:SJQ982982 STM982776:STM982982 TDI982776:TDI982982 TNE982776:TNE982982 TXA982776:TXA982982 UGW982776:UGW982982 UQS982776:UQS982982 VAO982776:VAO982982 VKK982776:VKK982982 VUG982776:VUG982982 WEC982776:WEC982982 WNY982776:WNY982982 WXU982776:WXU982982 BD65272:BE65478 AP65272:AQ65478 AF982776:AG982982 AF917240:AG917446 AP982776:AQ982982 AF851704:AG851910 AP917240:AQ917446 AF786168:AG786374 AP851704:AQ851910 AF720632:AG720838 AP786168:AQ786374 AF655096:AG655302 AP720632:AQ720838 AF589560:AG589766 AP655096:AQ655302 AF524024:AG524230 AP589560:AQ589766 AF458488:AG458694 AP524024:AQ524230 AF392952:AG393158 AP458488:AQ458694 AF327416:AG327622 AP392952:AQ393158 AF261880:AG262086 AP327416:AQ327622 AF196344:AG196550 AP261880:AQ262086 AF130808:AG131014 AP196344:AQ196550 AP130808:AQ131014 BD982776:BE982982 BD917240:BE917446 BD851704:BE851910 BD786168:BE786374 BD720632:BE720838 BD655096:BE655302 BD589560:BE589766 BD524024:BE524230 BD458488:BE458694 BD392952:BE393158 BD327416:BE327622 BD261880:BE262086 BD196344:BE196550 BD130808:BE131014 AF65272:AG65478 AXX5:AXX11 BHT5:BHT11 BRP5:BRP11 CBL5:CBL11 CLH5:CLH11 CVD5:CVD11 DEZ5:DEZ11 DOV5:DOV11 DYR5:DYR11 EIN5:EIN11 ESJ5:ESJ11 FCF5:FCF11 FMB5:FMB11 FVX5:FVX11 GFT5:GFT11 GPP5:GPP11 GZL5:GZL11 HJH5:HJH11 HTD5:HTD11 ICZ5:ICZ11 IMV5:IMV11 IWR5:IWR11 JGN5:JGN11 JQJ5:JQJ11 KAF5:KAF11 KKB5:KKB11 KTX5:KTX11 LDT5:LDT11 LNP5:LNP11 LXL5:LXL11 MHH5:MHH11 MRD5:MRD11 NAZ5:NAZ11 NKV5:NKV11 NUR5:NUR11 OEN5:OEN11 OOJ5:OOJ11 OYF5:OYF11 PIB5:PIB11 PRX5:PRX11 QBT5:QBT11 QLP5:QLP11 QVL5:QVL11 RFH5:RFH11 RPD5:RPD11 RYZ5:RYZ11 SIV5:SIV11 SSR5:SSR11 TCN5:TCN11 TMJ5:TMJ11 TWF5:TWF11 UGB5:UGB11 UPX5:UPX11 UZT5:UZT11 VJP5:VJP11 VTL5:VTL11 WDH5:WDH11 WND5:WND11 WWZ5:WWZ11 LU5:LU11 VQ5:VQ11 AFM5:AFM11 API5:API11 AZE5:AZE11 BJA5:BJA11 BSW5:BSW11 CCS5:CCS11 CMO5:CMO11 CWK5:CWK11 DGG5:DGG11 DQC5:DQC11 DZY5:DZY11 EJU5:EJU11 ETQ5:ETQ11 FDM5:FDM11 FNI5:FNI11 FXE5:FXE11 GHA5:GHA11 GQW5:GQW11 HAS5:HAS11 HKO5:HKO11 HUK5:HUK11 IEG5:IEG11 IOC5:IOC11 IXY5:IXY11 JHU5:JHU11 JRQ5:JRQ11 KBM5:KBM11 KLI5:KLI11 KVE5:KVE11 LFA5:LFA11 LOW5:LOW11 LYS5:LYS11 MIO5:MIO11 MSK5:MSK11 NCG5:NCG11 NMC5:NMC11 NVY5:NVY11 OFU5:OFU11 OPQ5:OPQ11 OZM5:OZM11 PJI5:PJI11 PTE5:PTE11 QDA5:QDA11 QMW5:QMW11 QWS5:QWS11 RGO5:RGO11 RQK5:RQK11 SAG5:SAG11 SKC5:SKC11 STY5:STY11 TDU5:TDU11 TNQ5:TNQ11 TXM5:TXM11 UHI5:UHI11 URE5:URE11 VBA5:VBA11 VKW5:VKW11 VUS5:VUS11 WEO5:WEO11 WOK5:WOK11 WYG5:WYG11 LA5:LA11 UW5:UW11 AES5:AES11 AOO5:AOO11 AYK5:AYK11 BIG5:BIG11 BSC5:BSC11 CBY5:CBY11 CLU5:CLU11 CVQ5:CVQ11 DFM5:DFM11 DPI5:DPI11 DZE5:DZE11 EJA5:EJA11 ESW5:ESW11 FCS5:FCS11 FMO5:FMO11 FWK5:FWK11 GGG5:GGG11 GQC5:GQC11 GZY5:GZY11 HJU5:HJU11 HTQ5:HTQ11 IDM5:IDM11 INI5:INI11 IXE5:IXE11 JHA5:JHA11 JQW5:JQW11 KAS5:KAS11 KKO5:KKO11 KUK5:KUK11 LEG5:LEG11 LOC5:LOC11 LXY5:LXY11 MHU5:MHU11 MRQ5:MRQ11 NBM5:NBM11 NLI5:NLI11 NVE5:NVE11 OFA5:OFA11 OOW5:OOW11 OYS5:OYS11 PIO5:PIO11 PSK5:PSK11 QCG5:QCG11 QMC5:QMC11 QVY5:QVY11 RFU5:RFU11 RPQ5:RPQ11 RZM5:RZM11 SJI5:SJI11 STE5:STE11 TDA5:TDA11 TMW5:TMW11 TWS5:TWS11 UGO5:UGO11 UQK5:UQK11 VAG5:VAG11 VKC5:VKC11 VTY5:VTY11 WDU5:WDU11 WNQ5:WNQ11 WXM5:WXM11 LF5:LF11 VB5:VB11 AEX5:AEX11 AOT5:AOT11 AYP5:AYP11 BIL5:BIL11 BSH5:BSH11 CCD5:CCD11 CLZ5:CLZ11 CVV5:CVV11 DFR5:DFR11 DPN5:DPN11 DZJ5:DZJ11 EJF5:EJF11 ETB5:ETB11 FCX5:FCX11 FMT5:FMT11 FWP5:FWP11 GGL5:GGL11 GQH5:GQH11 HAD5:HAD11 HJZ5:HJZ11 HTV5:HTV11 IDR5:IDR11 INN5:INN11 IXJ5:IXJ11 JHF5:JHF11 JRB5:JRB11 KAX5:KAX11 KKT5:KKT11 KUP5:KUP11 LEL5:LEL11 LOH5:LOH11 LYD5:LYD11 MHZ5:MHZ11 MRV5:MRV11 NBR5:NBR11 NLN5:NLN11 NVJ5:NVJ11 OFF5:OFF11 OPB5:OPB11 OYX5:OYX11 PIT5:PIT11 PSP5:PSP11 QCL5:QCL11 QMH5:QMH11 QWD5:QWD11 RFZ5:RFZ11 RPV5:RPV11 RZR5:RZR11 SJN5:SJN11 STJ5:STJ11 TDF5:TDF11 TNB5:TNB11 TWX5:TWX11 UGT5:UGT11 UQP5:UQP11 VAL5:VAL11 VKH5:VKH11 VUD5:VUD11 WDZ5:WDZ11 WNV5:WNV11 WXR5:WXR11 LI5:LI11 VE5:VE11 AFA5:AFA11 AOW5:AOW11 AYS5:AYS11 BIO5:BIO11 BSK5:BSK11 CCG5:CCG11 CMC5:CMC11 CVY5:CVY11 DFU5:DFU11 DPQ5:DPQ11 DZM5:DZM11 EJI5:EJI11 ETE5:ETE11 FDA5:FDA11 FMW5:FMW11 FWS5:FWS11 GGO5:GGO11 GQK5:GQK11 HAG5:HAG11 HKC5:HKC11 HTY5:HTY11 IDU5:IDU11 INQ5:INQ11 IXM5:IXM11 JHI5:JHI11 JRE5:JRE11 KBA5:KBA11 KKW5:KKW11 KUS5:KUS11 LEO5:LEO11 LOK5:LOK11 LYG5:LYG11 MIC5:MIC11 MRY5:MRY11 NBU5:NBU11 NLQ5:NLQ11 NVM5:NVM11 OFI5:OFI11 OPE5:OPE11 OZA5:OZA11 PIW5:PIW11 PSS5:PSS11 QCO5:QCO11 QMK5:QMK11 QWG5:QWG11 RGC5:RGC11 RPY5:RPY11 RZU5:RZU11 SJQ5:SJQ11 STM5:STM11 TDI5:TDI11 TNE5:TNE11 TXA5:TXA11 UGW5:UGW11 UQS5:UQS11 VAO5:VAO11 VKK5:VKK11 VUG5:VUG11 WEC5:WEC11 WNY5:WNY11 UJ5:UJ11 AEF5:AEF11 KN5:KN11 WXU5:WXU11 AOB5:AOB11 CC5:CC11 BE5:BE180">
      <formula1>0</formula1>
      <formula2>100</formula2>
    </dataValidation>
    <dataValidation type="list" allowBlank="1" showInputMessage="1" showErrorMessage="1" sqref="BH65272:BH65474 LD5:LD11 UZ5:UZ11 WNM982776:WNM982978 WDQ982776:WDQ982978 VTU982776:VTU982978 VJY982776:VJY982978 VAC982776:VAC982978 UQG982776:UQG982978 UGK982776:UGK982978 TWO982776:TWO982978 TMS982776:TMS982978 TCW982776:TCW982978 STA982776:STA982978 SJE982776:SJE982978 RZI982776:RZI982978 RPM982776:RPM982978 RFQ982776:RFQ982978 QVU982776:QVU982978 QLY982776:QLY982978 QCC982776:QCC982978 PSG982776:PSG982978 PIK982776:PIK982978 OYO982776:OYO982978 OOS982776:OOS982978 OEW982776:OEW982978 NVA982776:NVA982978 NLE982776:NLE982978 NBI982776:NBI982978 MRM982776:MRM982978 MHQ982776:MHQ982978 LXU982776:LXU982978 LNY982776:LNY982978 LEC982776:LEC982978 KUG982776:KUG982978 KKK982776:KKK982978 KAO982776:KAO982978 JQS982776:JQS982978 JGW982776:JGW982978 IXA982776:IXA982978 INE982776:INE982978 IDI982776:IDI982978 HTM982776:HTM982978 HJQ982776:HJQ982978 GZU982776:GZU982978 GPY982776:GPY982978 GGC982776:GGC982978 FWG982776:FWG982978 FMK982776:FMK982978 FCO982776:FCO982978 ESS982776:ESS982978 EIW982776:EIW982978 DZA982776:DZA982978 DPE982776:DPE982978 DFI982776:DFI982978 CVM982776:CVM982978 CLQ982776:CLQ982978 CBU982776:CBU982978 BRY982776:BRY982978 BIC982776:BIC982978 AYG982776:AYG982978 AOK982776:AOK982978 AEO982776:AEO982978 US982776:US982978 KW982776:KW982978 AV982776:AV982978 WXI917240:WXI917442 WNM917240:WNM917442 WDQ917240:WDQ917442 VTU917240:VTU917442 VJY917240:VJY917442 VAC917240:VAC917442 UQG917240:UQG917442 UGK917240:UGK917442 TWO917240:TWO917442 TMS917240:TMS917442 TCW917240:TCW917442 STA917240:STA917442 SJE917240:SJE917442 RZI917240:RZI917442 RPM917240:RPM917442 RFQ917240:RFQ917442 QVU917240:QVU917442 QLY917240:QLY917442 QCC917240:QCC917442 PSG917240:PSG917442 PIK917240:PIK917442 OYO917240:OYO917442 OOS917240:OOS917442 OEW917240:OEW917442 NVA917240:NVA917442 NLE917240:NLE917442 NBI917240:NBI917442 MRM917240:MRM917442 MHQ917240:MHQ917442 LXU917240:LXU917442 LNY917240:LNY917442 LEC917240:LEC917442 KUG917240:KUG917442 KKK917240:KKK917442 KAO917240:KAO917442 JQS917240:JQS917442 JGW917240:JGW917442 IXA917240:IXA917442 INE917240:INE917442 IDI917240:IDI917442 HTM917240:HTM917442 HJQ917240:HJQ917442 GZU917240:GZU917442 GPY917240:GPY917442 GGC917240:GGC917442 FWG917240:FWG917442 FMK917240:FMK917442 FCO917240:FCO917442 ESS917240:ESS917442 EIW917240:EIW917442 DZA917240:DZA917442 DPE917240:DPE917442 DFI917240:DFI917442 CVM917240:CVM917442 CLQ917240:CLQ917442 CBU917240:CBU917442 BRY917240:BRY917442 BIC917240:BIC917442 AYG917240:AYG917442 AOK917240:AOK917442 AEO917240:AEO917442 US917240:US917442 KW917240:KW917442 AV917240:AV917442 WXI851704:WXI851906 WNM851704:WNM851906 WDQ851704:WDQ851906 VTU851704:VTU851906 VJY851704:VJY851906 VAC851704:VAC851906 UQG851704:UQG851906 UGK851704:UGK851906 TWO851704:TWO851906 TMS851704:TMS851906 TCW851704:TCW851906 STA851704:STA851906 SJE851704:SJE851906 RZI851704:RZI851906 RPM851704:RPM851906 RFQ851704:RFQ851906 QVU851704:QVU851906 QLY851704:QLY851906 QCC851704:QCC851906 PSG851704:PSG851906 PIK851704:PIK851906 OYO851704:OYO851906 OOS851704:OOS851906 OEW851704:OEW851906 NVA851704:NVA851906 NLE851704:NLE851906 NBI851704:NBI851906 MRM851704:MRM851906 MHQ851704:MHQ851906 LXU851704:LXU851906 LNY851704:LNY851906 LEC851704:LEC851906 KUG851704:KUG851906 KKK851704:KKK851906 KAO851704:KAO851906 JQS851704:JQS851906 JGW851704:JGW851906 IXA851704:IXA851906 INE851704:INE851906 IDI851704:IDI851906 HTM851704:HTM851906 HJQ851704:HJQ851906 GZU851704:GZU851906 GPY851704:GPY851906 GGC851704:GGC851906 FWG851704:FWG851906 FMK851704:FMK851906 FCO851704:FCO851906 ESS851704:ESS851906 EIW851704:EIW851906 DZA851704:DZA851906 DPE851704:DPE851906 DFI851704:DFI851906 CVM851704:CVM851906 CLQ851704:CLQ851906 CBU851704:CBU851906 BRY851704:BRY851906 BIC851704:BIC851906 AYG851704:AYG851906 AOK851704:AOK851906 AEO851704:AEO851906 US851704:US851906 KW851704:KW851906 AV851704:AV851906 WXI786168:WXI786370 WNM786168:WNM786370 WDQ786168:WDQ786370 VTU786168:VTU786370 VJY786168:VJY786370 VAC786168:VAC786370 UQG786168:UQG786370 UGK786168:UGK786370 TWO786168:TWO786370 TMS786168:TMS786370 TCW786168:TCW786370 STA786168:STA786370 SJE786168:SJE786370 RZI786168:RZI786370 RPM786168:RPM786370 RFQ786168:RFQ786370 QVU786168:QVU786370 QLY786168:QLY786370 QCC786168:QCC786370 PSG786168:PSG786370 PIK786168:PIK786370 OYO786168:OYO786370 OOS786168:OOS786370 OEW786168:OEW786370 NVA786168:NVA786370 NLE786168:NLE786370 NBI786168:NBI786370 MRM786168:MRM786370 MHQ786168:MHQ786370 LXU786168:LXU786370 LNY786168:LNY786370 LEC786168:LEC786370 KUG786168:KUG786370 KKK786168:KKK786370 KAO786168:KAO786370 JQS786168:JQS786370 JGW786168:JGW786370 IXA786168:IXA786370 INE786168:INE786370 IDI786168:IDI786370 HTM786168:HTM786370 HJQ786168:HJQ786370 GZU786168:GZU786370 GPY786168:GPY786370 GGC786168:GGC786370 FWG786168:FWG786370 FMK786168:FMK786370 FCO786168:FCO786370 ESS786168:ESS786370 EIW786168:EIW786370 DZA786168:DZA786370 DPE786168:DPE786370 DFI786168:DFI786370 CVM786168:CVM786370 CLQ786168:CLQ786370 CBU786168:CBU786370 BRY786168:BRY786370 BIC786168:BIC786370 AYG786168:AYG786370 AOK786168:AOK786370 AEO786168:AEO786370 US786168:US786370 KW786168:KW786370 AV786168:AV786370 WXI720632:WXI720834 WNM720632:WNM720834 WDQ720632:WDQ720834 VTU720632:VTU720834 VJY720632:VJY720834 VAC720632:VAC720834 UQG720632:UQG720834 UGK720632:UGK720834 TWO720632:TWO720834 TMS720632:TMS720834 TCW720632:TCW720834 STA720632:STA720834 SJE720632:SJE720834 RZI720632:RZI720834 RPM720632:RPM720834 RFQ720632:RFQ720834 QVU720632:QVU720834 QLY720632:QLY720834 QCC720632:QCC720834 PSG720632:PSG720834 PIK720632:PIK720834 OYO720632:OYO720834 OOS720632:OOS720834 OEW720632:OEW720834 NVA720632:NVA720834 NLE720632:NLE720834 NBI720632:NBI720834 MRM720632:MRM720834 MHQ720632:MHQ720834 LXU720632:LXU720834 LNY720632:LNY720834 LEC720632:LEC720834 KUG720632:KUG720834 KKK720632:KKK720834 KAO720632:KAO720834 JQS720632:JQS720834 JGW720632:JGW720834 IXA720632:IXA720834 INE720632:INE720834 IDI720632:IDI720834 HTM720632:HTM720834 HJQ720632:HJQ720834 GZU720632:GZU720834 GPY720632:GPY720834 GGC720632:GGC720834 FWG720632:FWG720834 FMK720632:FMK720834 FCO720632:FCO720834 ESS720632:ESS720834 EIW720632:EIW720834 DZA720632:DZA720834 DPE720632:DPE720834 DFI720632:DFI720834 CVM720632:CVM720834 CLQ720632:CLQ720834 CBU720632:CBU720834 BRY720632:BRY720834 BIC720632:BIC720834 AYG720632:AYG720834 AOK720632:AOK720834 AEO720632:AEO720834 US720632:US720834 KW720632:KW720834 AV720632:AV720834 WXI655096:WXI655298 WNM655096:WNM655298 WDQ655096:WDQ655298 VTU655096:VTU655298 VJY655096:VJY655298 VAC655096:VAC655298 UQG655096:UQG655298 UGK655096:UGK655298 TWO655096:TWO655298 TMS655096:TMS655298 TCW655096:TCW655298 STA655096:STA655298 SJE655096:SJE655298 RZI655096:RZI655298 RPM655096:RPM655298 RFQ655096:RFQ655298 QVU655096:QVU655298 QLY655096:QLY655298 QCC655096:QCC655298 PSG655096:PSG655298 PIK655096:PIK655298 OYO655096:OYO655298 OOS655096:OOS655298 OEW655096:OEW655298 NVA655096:NVA655298 NLE655096:NLE655298 NBI655096:NBI655298 MRM655096:MRM655298 MHQ655096:MHQ655298 LXU655096:LXU655298 LNY655096:LNY655298 LEC655096:LEC655298 KUG655096:KUG655298 KKK655096:KKK655298 KAO655096:KAO655298 JQS655096:JQS655298 JGW655096:JGW655298 IXA655096:IXA655298 INE655096:INE655298 IDI655096:IDI655298 HTM655096:HTM655298 HJQ655096:HJQ655298 GZU655096:GZU655298 GPY655096:GPY655298 GGC655096:GGC655298 FWG655096:FWG655298 FMK655096:FMK655298 FCO655096:FCO655298 ESS655096:ESS655298 EIW655096:EIW655298 DZA655096:DZA655298 DPE655096:DPE655298 DFI655096:DFI655298 CVM655096:CVM655298 CLQ655096:CLQ655298 CBU655096:CBU655298 BRY655096:BRY655298 BIC655096:BIC655298 AYG655096:AYG655298 AOK655096:AOK655298 AEO655096:AEO655298 US655096:US655298 KW655096:KW655298 AV655096:AV655298 WXI589560:WXI589762 WNM589560:WNM589762 WDQ589560:WDQ589762 VTU589560:VTU589762 VJY589560:VJY589762 VAC589560:VAC589762 UQG589560:UQG589762 UGK589560:UGK589762 TWO589560:TWO589762 TMS589560:TMS589762 TCW589560:TCW589762 STA589560:STA589762 SJE589560:SJE589762 RZI589560:RZI589762 RPM589560:RPM589762 RFQ589560:RFQ589762 QVU589560:QVU589762 QLY589560:QLY589762 QCC589560:QCC589762 PSG589560:PSG589762 PIK589560:PIK589762 OYO589560:OYO589762 OOS589560:OOS589762 OEW589560:OEW589762 NVA589560:NVA589762 NLE589560:NLE589762 NBI589560:NBI589762 MRM589560:MRM589762 MHQ589560:MHQ589762 LXU589560:LXU589762 LNY589560:LNY589762 LEC589560:LEC589762 KUG589560:KUG589762 KKK589560:KKK589762 KAO589560:KAO589762 JQS589560:JQS589762 JGW589560:JGW589762 IXA589560:IXA589762 INE589560:INE589762 IDI589560:IDI589762 HTM589560:HTM589762 HJQ589560:HJQ589762 GZU589560:GZU589762 GPY589560:GPY589762 GGC589560:GGC589762 FWG589560:FWG589762 FMK589560:FMK589762 FCO589560:FCO589762 ESS589560:ESS589762 EIW589560:EIW589762 DZA589560:DZA589762 DPE589560:DPE589762 DFI589560:DFI589762 CVM589560:CVM589762 CLQ589560:CLQ589762 CBU589560:CBU589762 BRY589560:BRY589762 BIC589560:BIC589762 AYG589560:AYG589762 AOK589560:AOK589762 AEO589560:AEO589762 US589560:US589762 KW589560:KW589762 AV589560:AV589762 WXI524024:WXI524226 WNM524024:WNM524226 WDQ524024:WDQ524226 VTU524024:VTU524226 VJY524024:VJY524226 VAC524024:VAC524226 UQG524024:UQG524226 UGK524024:UGK524226 TWO524024:TWO524226 TMS524024:TMS524226 TCW524024:TCW524226 STA524024:STA524226 SJE524024:SJE524226 RZI524024:RZI524226 RPM524024:RPM524226 RFQ524024:RFQ524226 QVU524024:QVU524226 QLY524024:QLY524226 QCC524024:QCC524226 PSG524024:PSG524226 PIK524024:PIK524226 OYO524024:OYO524226 OOS524024:OOS524226 OEW524024:OEW524226 NVA524024:NVA524226 NLE524024:NLE524226 NBI524024:NBI524226 MRM524024:MRM524226 MHQ524024:MHQ524226 LXU524024:LXU524226 LNY524024:LNY524226 LEC524024:LEC524226 KUG524024:KUG524226 KKK524024:KKK524226 KAO524024:KAO524226 JQS524024:JQS524226 JGW524024:JGW524226 IXA524024:IXA524226 INE524024:INE524226 IDI524024:IDI524226 HTM524024:HTM524226 HJQ524024:HJQ524226 GZU524024:GZU524226 GPY524024:GPY524226 GGC524024:GGC524226 FWG524024:FWG524226 FMK524024:FMK524226 FCO524024:FCO524226 ESS524024:ESS524226 EIW524024:EIW524226 DZA524024:DZA524226 DPE524024:DPE524226 DFI524024:DFI524226 CVM524024:CVM524226 CLQ524024:CLQ524226 CBU524024:CBU524226 BRY524024:BRY524226 BIC524024:BIC524226 AYG524024:AYG524226 AOK524024:AOK524226 AEO524024:AEO524226 US524024:US524226 KW524024:KW524226 AV524024:AV524226 WXI458488:WXI458690 WNM458488:WNM458690 WDQ458488:WDQ458690 VTU458488:VTU458690 VJY458488:VJY458690 VAC458488:VAC458690 UQG458488:UQG458690 UGK458488:UGK458690 TWO458488:TWO458690 TMS458488:TMS458690 TCW458488:TCW458690 STA458488:STA458690 SJE458488:SJE458690 RZI458488:RZI458690 RPM458488:RPM458690 RFQ458488:RFQ458690 QVU458488:QVU458690 QLY458488:QLY458690 QCC458488:QCC458690 PSG458488:PSG458690 PIK458488:PIK458690 OYO458488:OYO458690 OOS458488:OOS458690 OEW458488:OEW458690 NVA458488:NVA458690 NLE458488:NLE458690 NBI458488:NBI458690 MRM458488:MRM458690 MHQ458488:MHQ458690 LXU458488:LXU458690 LNY458488:LNY458690 LEC458488:LEC458690 KUG458488:KUG458690 KKK458488:KKK458690 KAO458488:KAO458690 JQS458488:JQS458690 JGW458488:JGW458690 IXA458488:IXA458690 INE458488:INE458690 IDI458488:IDI458690 HTM458488:HTM458690 HJQ458488:HJQ458690 GZU458488:GZU458690 GPY458488:GPY458690 GGC458488:GGC458690 FWG458488:FWG458690 FMK458488:FMK458690 FCO458488:FCO458690 ESS458488:ESS458690 EIW458488:EIW458690 DZA458488:DZA458690 DPE458488:DPE458690 DFI458488:DFI458690 CVM458488:CVM458690 CLQ458488:CLQ458690 CBU458488:CBU458690 BRY458488:BRY458690 BIC458488:BIC458690 AYG458488:AYG458690 AOK458488:AOK458690 AEO458488:AEO458690 US458488:US458690 KW458488:KW458690 AV458488:AV458690 WXI392952:WXI393154 WNM392952:WNM393154 WDQ392952:WDQ393154 VTU392952:VTU393154 VJY392952:VJY393154 VAC392952:VAC393154 UQG392952:UQG393154 UGK392952:UGK393154 TWO392952:TWO393154 TMS392952:TMS393154 TCW392952:TCW393154 STA392952:STA393154 SJE392952:SJE393154 RZI392952:RZI393154 RPM392952:RPM393154 RFQ392952:RFQ393154 QVU392952:QVU393154 QLY392952:QLY393154 QCC392952:QCC393154 PSG392952:PSG393154 PIK392952:PIK393154 OYO392952:OYO393154 OOS392952:OOS393154 OEW392952:OEW393154 NVA392952:NVA393154 NLE392952:NLE393154 NBI392952:NBI393154 MRM392952:MRM393154 MHQ392952:MHQ393154 LXU392952:LXU393154 LNY392952:LNY393154 LEC392952:LEC393154 KUG392952:KUG393154 KKK392952:KKK393154 KAO392952:KAO393154 JQS392952:JQS393154 JGW392952:JGW393154 IXA392952:IXA393154 INE392952:INE393154 IDI392952:IDI393154 HTM392952:HTM393154 HJQ392952:HJQ393154 GZU392952:GZU393154 GPY392952:GPY393154 GGC392952:GGC393154 FWG392952:FWG393154 FMK392952:FMK393154 FCO392952:FCO393154 ESS392952:ESS393154 EIW392952:EIW393154 DZA392952:DZA393154 DPE392952:DPE393154 DFI392952:DFI393154 CVM392952:CVM393154 CLQ392952:CLQ393154 CBU392952:CBU393154 BRY392952:BRY393154 BIC392952:BIC393154 AYG392952:AYG393154 AOK392952:AOK393154 AEO392952:AEO393154 US392952:US393154 KW392952:KW393154 AV392952:AV393154 WXI327416:WXI327618 WNM327416:WNM327618 WDQ327416:WDQ327618 VTU327416:VTU327618 VJY327416:VJY327618 VAC327416:VAC327618 UQG327416:UQG327618 UGK327416:UGK327618 TWO327416:TWO327618 TMS327416:TMS327618 TCW327416:TCW327618 STA327416:STA327618 SJE327416:SJE327618 RZI327416:RZI327618 RPM327416:RPM327618 RFQ327416:RFQ327618 QVU327416:QVU327618 QLY327416:QLY327618 QCC327416:QCC327618 PSG327416:PSG327618 PIK327416:PIK327618 OYO327416:OYO327618 OOS327416:OOS327618 OEW327416:OEW327618 NVA327416:NVA327618 NLE327416:NLE327618 NBI327416:NBI327618 MRM327416:MRM327618 MHQ327416:MHQ327618 LXU327416:LXU327618 LNY327416:LNY327618 LEC327416:LEC327618 KUG327416:KUG327618 KKK327416:KKK327618 KAO327416:KAO327618 JQS327416:JQS327618 JGW327416:JGW327618 IXA327416:IXA327618 INE327416:INE327618 IDI327416:IDI327618 HTM327416:HTM327618 HJQ327416:HJQ327618 GZU327416:GZU327618 GPY327416:GPY327618 GGC327416:GGC327618 FWG327416:FWG327618 FMK327416:FMK327618 FCO327416:FCO327618 ESS327416:ESS327618 EIW327416:EIW327618 DZA327416:DZA327618 DPE327416:DPE327618 DFI327416:DFI327618 CVM327416:CVM327618 CLQ327416:CLQ327618 CBU327416:CBU327618 BRY327416:BRY327618 BIC327416:BIC327618 AYG327416:AYG327618 AOK327416:AOK327618 AEO327416:AEO327618 US327416:US327618 KW327416:KW327618 AV327416:AV327618 WXI261880:WXI262082 WNM261880:WNM262082 WDQ261880:WDQ262082 VTU261880:VTU262082 VJY261880:VJY262082 VAC261880:VAC262082 UQG261880:UQG262082 UGK261880:UGK262082 TWO261880:TWO262082 TMS261880:TMS262082 TCW261880:TCW262082 STA261880:STA262082 SJE261880:SJE262082 RZI261880:RZI262082 RPM261880:RPM262082 RFQ261880:RFQ262082 QVU261880:QVU262082 QLY261880:QLY262082 QCC261880:QCC262082 PSG261880:PSG262082 PIK261880:PIK262082 OYO261880:OYO262082 OOS261880:OOS262082 OEW261880:OEW262082 NVA261880:NVA262082 NLE261880:NLE262082 NBI261880:NBI262082 MRM261880:MRM262082 MHQ261880:MHQ262082 LXU261880:LXU262082 LNY261880:LNY262082 LEC261880:LEC262082 KUG261880:KUG262082 KKK261880:KKK262082 KAO261880:KAO262082 JQS261880:JQS262082 JGW261880:JGW262082 IXA261880:IXA262082 INE261880:INE262082 IDI261880:IDI262082 HTM261880:HTM262082 HJQ261880:HJQ262082 GZU261880:GZU262082 GPY261880:GPY262082 GGC261880:GGC262082 FWG261880:FWG262082 FMK261880:FMK262082 FCO261880:FCO262082 ESS261880:ESS262082 EIW261880:EIW262082 DZA261880:DZA262082 DPE261880:DPE262082 DFI261880:DFI262082 CVM261880:CVM262082 CLQ261880:CLQ262082 CBU261880:CBU262082 BRY261880:BRY262082 BIC261880:BIC262082 AYG261880:AYG262082 AOK261880:AOK262082 AEO261880:AEO262082 US261880:US262082 KW261880:KW262082 AV261880:AV262082 WXI196344:WXI196546 WNM196344:WNM196546 WDQ196344:WDQ196546 VTU196344:VTU196546 VJY196344:VJY196546 VAC196344:VAC196546 UQG196344:UQG196546 UGK196344:UGK196546 TWO196344:TWO196546 TMS196344:TMS196546 TCW196344:TCW196546 STA196344:STA196546 SJE196344:SJE196546 RZI196344:RZI196546 RPM196344:RPM196546 RFQ196344:RFQ196546 QVU196344:QVU196546 QLY196344:QLY196546 QCC196344:QCC196546 PSG196344:PSG196546 PIK196344:PIK196546 OYO196344:OYO196546 OOS196344:OOS196546 OEW196344:OEW196546 NVA196344:NVA196546 NLE196344:NLE196546 NBI196344:NBI196546 MRM196344:MRM196546 MHQ196344:MHQ196546 LXU196344:LXU196546 LNY196344:LNY196546 LEC196344:LEC196546 KUG196344:KUG196546 KKK196344:KKK196546 KAO196344:KAO196546 JQS196344:JQS196546 JGW196344:JGW196546 IXA196344:IXA196546 INE196344:INE196546 IDI196344:IDI196546 HTM196344:HTM196546 HJQ196344:HJQ196546 GZU196344:GZU196546 GPY196344:GPY196546 GGC196344:GGC196546 FWG196344:FWG196546 FMK196344:FMK196546 FCO196344:FCO196546 ESS196344:ESS196546 EIW196344:EIW196546 DZA196344:DZA196546 DPE196344:DPE196546 DFI196344:DFI196546 CVM196344:CVM196546 CLQ196344:CLQ196546 CBU196344:CBU196546 BRY196344:BRY196546 BIC196344:BIC196546 AYG196344:AYG196546 AOK196344:AOK196546 AEO196344:AEO196546 US196344:US196546 KW196344:KW196546 AV196344:AV196546 WXI130808:WXI131010 WNM130808:WNM131010 WDQ130808:WDQ131010 VTU130808:VTU131010 VJY130808:VJY131010 VAC130808:VAC131010 UQG130808:UQG131010 UGK130808:UGK131010 TWO130808:TWO131010 TMS130808:TMS131010 TCW130808:TCW131010 STA130808:STA131010 SJE130808:SJE131010 RZI130808:RZI131010 RPM130808:RPM131010 RFQ130808:RFQ131010 QVU130808:QVU131010 QLY130808:QLY131010 QCC130808:QCC131010 PSG130808:PSG131010 PIK130808:PIK131010 OYO130808:OYO131010 OOS130808:OOS131010 OEW130808:OEW131010 NVA130808:NVA131010 NLE130808:NLE131010 NBI130808:NBI131010 MRM130808:MRM131010 MHQ130808:MHQ131010 LXU130808:LXU131010 LNY130808:LNY131010 LEC130808:LEC131010 KUG130808:KUG131010 KKK130808:KKK131010 KAO130808:KAO131010 JQS130808:JQS131010 JGW130808:JGW131010 IXA130808:IXA131010 INE130808:INE131010 IDI130808:IDI131010 HTM130808:HTM131010 HJQ130808:HJQ131010 GZU130808:GZU131010 GPY130808:GPY131010 GGC130808:GGC131010 FWG130808:FWG131010 FMK130808:FMK131010 FCO130808:FCO131010 ESS130808:ESS131010 EIW130808:EIW131010 DZA130808:DZA131010 DPE130808:DPE131010 DFI130808:DFI131010 CVM130808:CVM131010 CLQ130808:CLQ131010 CBU130808:CBU131010 BRY130808:BRY131010 BIC130808:BIC131010 AYG130808:AYG131010 AOK130808:AOK131010 AEO130808:AEO131010 US130808:US131010 KW130808:KW131010 AV130808:AV131010 WXI65272:WXI65474 WNM65272:WNM65474 WDQ65272:WDQ65474 VTU65272:VTU65474 VJY65272:VJY65474 VAC65272:VAC65474 UQG65272:UQG65474 UGK65272:UGK65474 TWO65272:TWO65474 TMS65272:TMS65474 TCW65272:TCW65474 STA65272:STA65474 SJE65272:SJE65474 RZI65272:RZI65474 RPM65272:RPM65474 RFQ65272:RFQ65474 QVU65272:QVU65474 QLY65272:QLY65474 QCC65272:QCC65474 PSG65272:PSG65474 PIK65272:PIK65474 OYO65272:OYO65474 OOS65272:OOS65474 OEW65272:OEW65474 NVA65272:NVA65474 NLE65272:NLE65474 NBI65272:NBI65474 MRM65272:MRM65474 MHQ65272:MHQ65474 LXU65272:LXU65474 LNY65272:LNY65474 LEC65272:LEC65474 KUG65272:KUG65474 KKK65272:KKK65474 KAO65272:KAO65474 JQS65272:JQS65474 JGW65272:JGW65474 IXA65272:IXA65474 INE65272:INE65474 IDI65272:IDI65474 HTM65272:HTM65474 HJQ65272:HJQ65474 GZU65272:GZU65474 GPY65272:GPY65474 GGC65272:GGC65474 FWG65272:FWG65474 FMK65272:FMK65474 FCO65272:FCO65474 ESS65272:ESS65474 EIW65272:EIW65474 DZA65272:DZA65474 DPE65272:DPE65474 DFI65272:DFI65474 CVM65272:CVM65474 CLQ65272:CLQ65474 CBU65272:CBU65474 BRY65272:BRY65474 BIC65272:BIC65474 AYG65272:AYG65474 AOK65272:AOK65474 AEO65272:AEO65474 US65272:US65474 KW65272:KW65474 AV65272:AV65474 WXI5:WXI11 WNM5:WNM11 WDQ5:WDQ11 VTU5:VTU11 VJY5:VJY11 VAC5:VAC11 UQG5:UQG11 UGK5:UGK11 TWO5:TWO11 TMS5:TMS11 TCW5:TCW11 STA5:STA11 SJE5:SJE11 RZI5:RZI11 RPM5:RPM11 RFQ5:RFQ11 QVU5:QVU11 QLY5:QLY11 QCC5:QCC11 PSG5:PSG11 PIK5:PIK11 OYO5:OYO11 OOS5:OOS11 OEW5:OEW11 NVA5:NVA11 NLE5:NLE11 NBI5:NBI11 MRM5:MRM11 MHQ5:MHQ11 LXU5:LXU11 LNY5:LNY11 LEC5:LEC11 KUG5:KUG11 KKK5:KKK11 KAO5:KAO11 JQS5:JQS11 JGW5:JGW11 IXA5:IXA11 INE5:INE11 IDI5:IDI11 HTM5:HTM11 HJQ5:HJQ11 GZU5:GZU11 GPY5:GPY11 GGC5:GGC11 FWG5:FWG11 FMK5:FMK11 FCO5:FCO11 ESS5:ESS11 EIW5:EIW11 DZA5:DZA11 DPE5:DPE11 DFI5:DFI11 CVM5:CVM11 CLQ5:CLQ11 CBU5:CBU11 BRY5:BRY11 BIC5:BIC11 AYG5:AYG11 AOK5:AOK11 AEO5:AEO11 US5:US11 KW5:KW11 WXI982776:WXI982978 WXP982776:WXP982978 WNT982776:WNT982978 WDX982776:WDX982978 VUB982776:VUB982978 VKF982776:VKF982978 VAJ982776:VAJ982978 UQN982776:UQN982978 UGR982776:UGR982978 TWV982776:TWV982978 TMZ982776:TMZ982978 TDD982776:TDD982978 STH982776:STH982978 SJL982776:SJL982978 RZP982776:RZP982978 RPT982776:RPT982978 RFX982776:RFX982978 QWB982776:QWB982978 QMF982776:QMF982978 QCJ982776:QCJ982978 PSN982776:PSN982978 PIR982776:PIR982978 OYV982776:OYV982978 OOZ982776:OOZ982978 OFD982776:OFD982978 NVH982776:NVH982978 NLL982776:NLL982978 NBP982776:NBP982978 MRT982776:MRT982978 MHX982776:MHX982978 LYB982776:LYB982978 LOF982776:LOF982978 LEJ982776:LEJ982978 KUN982776:KUN982978 KKR982776:KKR982978 KAV982776:KAV982978 JQZ982776:JQZ982978 JHD982776:JHD982978 IXH982776:IXH982978 INL982776:INL982978 IDP982776:IDP982978 HTT982776:HTT982978 HJX982776:HJX982978 HAB982776:HAB982978 GQF982776:GQF982978 GGJ982776:GGJ982978 FWN982776:FWN982978 FMR982776:FMR982978 FCV982776:FCV982978 ESZ982776:ESZ982978 EJD982776:EJD982978 DZH982776:DZH982978 DPL982776:DPL982978 DFP982776:DFP982978 CVT982776:CVT982978 CLX982776:CLX982978 CCB982776:CCB982978 BSF982776:BSF982978 BIJ982776:BIJ982978 AYN982776:AYN982978 AOR982776:AOR982978 AEV982776:AEV982978 UZ982776:UZ982978 LD982776:LD982978 BH982776:BH982978 WXP917240:WXP917442 WNT917240:WNT917442 WDX917240:WDX917442 VUB917240:VUB917442 VKF917240:VKF917442 VAJ917240:VAJ917442 UQN917240:UQN917442 UGR917240:UGR917442 TWV917240:TWV917442 TMZ917240:TMZ917442 TDD917240:TDD917442 STH917240:STH917442 SJL917240:SJL917442 RZP917240:RZP917442 RPT917240:RPT917442 RFX917240:RFX917442 QWB917240:QWB917442 QMF917240:QMF917442 QCJ917240:QCJ917442 PSN917240:PSN917442 PIR917240:PIR917442 OYV917240:OYV917442 OOZ917240:OOZ917442 OFD917240:OFD917442 NVH917240:NVH917442 NLL917240:NLL917442 NBP917240:NBP917442 MRT917240:MRT917442 MHX917240:MHX917442 LYB917240:LYB917442 LOF917240:LOF917442 LEJ917240:LEJ917442 KUN917240:KUN917442 KKR917240:KKR917442 KAV917240:KAV917442 JQZ917240:JQZ917442 JHD917240:JHD917442 IXH917240:IXH917442 INL917240:INL917442 IDP917240:IDP917442 HTT917240:HTT917442 HJX917240:HJX917442 HAB917240:HAB917442 GQF917240:GQF917442 GGJ917240:GGJ917442 FWN917240:FWN917442 FMR917240:FMR917442 FCV917240:FCV917442 ESZ917240:ESZ917442 EJD917240:EJD917442 DZH917240:DZH917442 DPL917240:DPL917442 DFP917240:DFP917442 CVT917240:CVT917442 CLX917240:CLX917442 CCB917240:CCB917442 BSF917240:BSF917442 BIJ917240:BIJ917442 AYN917240:AYN917442 AOR917240:AOR917442 AEV917240:AEV917442 UZ917240:UZ917442 LD917240:LD917442 BH917240:BH917442 WXP851704:WXP851906 WNT851704:WNT851906 WDX851704:WDX851906 VUB851704:VUB851906 VKF851704:VKF851906 VAJ851704:VAJ851906 UQN851704:UQN851906 UGR851704:UGR851906 TWV851704:TWV851906 TMZ851704:TMZ851906 TDD851704:TDD851906 STH851704:STH851906 SJL851704:SJL851906 RZP851704:RZP851906 RPT851704:RPT851906 RFX851704:RFX851906 QWB851704:QWB851906 QMF851704:QMF851906 QCJ851704:QCJ851906 PSN851704:PSN851906 PIR851704:PIR851906 OYV851704:OYV851906 OOZ851704:OOZ851906 OFD851704:OFD851906 NVH851704:NVH851906 NLL851704:NLL851906 NBP851704:NBP851906 MRT851704:MRT851906 MHX851704:MHX851906 LYB851704:LYB851906 LOF851704:LOF851906 LEJ851704:LEJ851906 KUN851704:KUN851906 KKR851704:KKR851906 KAV851704:KAV851906 JQZ851704:JQZ851906 JHD851704:JHD851906 IXH851704:IXH851906 INL851704:INL851906 IDP851704:IDP851906 HTT851704:HTT851906 HJX851704:HJX851906 HAB851704:HAB851906 GQF851704:GQF851906 GGJ851704:GGJ851906 FWN851704:FWN851906 FMR851704:FMR851906 FCV851704:FCV851906 ESZ851704:ESZ851906 EJD851704:EJD851906 DZH851704:DZH851906 DPL851704:DPL851906 DFP851704:DFP851906 CVT851704:CVT851906 CLX851704:CLX851906 CCB851704:CCB851906 BSF851704:BSF851906 BIJ851704:BIJ851906 AYN851704:AYN851906 AOR851704:AOR851906 AEV851704:AEV851906 UZ851704:UZ851906 LD851704:LD851906 BH851704:BH851906 WXP786168:WXP786370 WNT786168:WNT786370 WDX786168:WDX786370 VUB786168:VUB786370 VKF786168:VKF786370 VAJ786168:VAJ786370 UQN786168:UQN786370 UGR786168:UGR786370 TWV786168:TWV786370 TMZ786168:TMZ786370 TDD786168:TDD786370 STH786168:STH786370 SJL786168:SJL786370 RZP786168:RZP786370 RPT786168:RPT786370 RFX786168:RFX786370 QWB786168:QWB786370 QMF786168:QMF786370 QCJ786168:QCJ786370 PSN786168:PSN786370 PIR786168:PIR786370 OYV786168:OYV786370 OOZ786168:OOZ786370 OFD786168:OFD786370 NVH786168:NVH786370 NLL786168:NLL786370 NBP786168:NBP786370 MRT786168:MRT786370 MHX786168:MHX786370 LYB786168:LYB786370 LOF786168:LOF786370 LEJ786168:LEJ786370 KUN786168:KUN786370 KKR786168:KKR786370 KAV786168:KAV786370 JQZ786168:JQZ786370 JHD786168:JHD786370 IXH786168:IXH786370 INL786168:INL786370 IDP786168:IDP786370 HTT786168:HTT786370 HJX786168:HJX786370 HAB786168:HAB786370 GQF786168:GQF786370 GGJ786168:GGJ786370 FWN786168:FWN786370 FMR786168:FMR786370 FCV786168:FCV786370 ESZ786168:ESZ786370 EJD786168:EJD786370 DZH786168:DZH786370 DPL786168:DPL786370 DFP786168:DFP786370 CVT786168:CVT786370 CLX786168:CLX786370 CCB786168:CCB786370 BSF786168:BSF786370 BIJ786168:BIJ786370 AYN786168:AYN786370 AOR786168:AOR786370 AEV786168:AEV786370 UZ786168:UZ786370 LD786168:LD786370 BH786168:BH786370 WXP720632:WXP720834 WNT720632:WNT720834 WDX720632:WDX720834 VUB720632:VUB720834 VKF720632:VKF720834 VAJ720632:VAJ720834 UQN720632:UQN720834 UGR720632:UGR720834 TWV720632:TWV720834 TMZ720632:TMZ720834 TDD720632:TDD720834 STH720632:STH720834 SJL720632:SJL720834 RZP720632:RZP720834 RPT720632:RPT720834 RFX720632:RFX720834 QWB720632:QWB720834 QMF720632:QMF720834 QCJ720632:QCJ720834 PSN720632:PSN720834 PIR720632:PIR720834 OYV720632:OYV720834 OOZ720632:OOZ720834 OFD720632:OFD720834 NVH720632:NVH720834 NLL720632:NLL720834 NBP720632:NBP720834 MRT720632:MRT720834 MHX720632:MHX720834 LYB720632:LYB720834 LOF720632:LOF720834 LEJ720632:LEJ720834 KUN720632:KUN720834 KKR720632:KKR720834 KAV720632:KAV720834 JQZ720632:JQZ720834 JHD720632:JHD720834 IXH720632:IXH720834 INL720632:INL720834 IDP720632:IDP720834 HTT720632:HTT720834 HJX720632:HJX720834 HAB720632:HAB720834 GQF720632:GQF720834 GGJ720632:GGJ720834 FWN720632:FWN720834 FMR720632:FMR720834 FCV720632:FCV720834 ESZ720632:ESZ720834 EJD720632:EJD720834 DZH720632:DZH720834 DPL720632:DPL720834 DFP720632:DFP720834 CVT720632:CVT720834 CLX720632:CLX720834 CCB720632:CCB720834 BSF720632:BSF720834 BIJ720632:BIJ720834 AYN720632:AYN720834 AOR720632:AOR720834 AEV720632:AEV720834 UZ720632:UZ720834 LD720632:LD720834 BH720632:BH720834 WXP655096:WXP655298 WNT655096:WNT655298 WDX655096:WDX655298 VUB655096:VUB655298 VKF655096:VKF655298 VAJ655096:VAJ655298 UQN655096:UQN655298 UGR655096:UGR655298 TWV655096:TWV655298 TMZ655096:TMZ655298 TDD655096:TDD655298 STH655096:STH655298 SJL655096:SJL655298 RZP655096:RZP655298 RPT655096:RPT655298 RFX655096:RFX655298 QWB655096:QWB655298 QMF655096:QMF655298 QCJ655096:QCJ655298 PSN655096:PSN655298 PIR655096:PIR655298 OYV655096:OYV655298 OOZ655096:OOZ655298 OFD655096:OFD655298 NVH655096:NVH655298 NLL655096:NLL655298 NBP655096:NBP655298 MRT655096:MRT655298 MHX655096:MHX655298 LYB655096:LYB655298 LOF655096:LOF655298 LEJ655096:LEJ655298 KUN655096:KUN655298 KKR655096:KKR655298 KAV655096:KAV655298 JQZ655096:JQZ655298 JHD655096:JHD655298 IXH655096:IXH655298 INL655096:INL655298 IDP655096:IDP655298 HTT655096:HTT655298 HJX655096:HJX655298 HAB655096:HAB655298 GQF655096:GQF655298 GGJ655096:GGJ655298 FWN655096:FWN655298 FMR655096:FMR655298 FCV655096:FCV655298 ESZ655096:ESZ655298 EJD655096:EJD655298 DZH655096:DZH655298 DPL655096:DPL655298 DFP655096:DFP655298 CVT655096:CVT655298 CLX655096:CLX655298 CCB655096:CCB655298 BSF655096:BSF655298 BIJ655096:BIJ655298 AYN655096:AYN655298 AOR655096:AOR655298 AEV655096:AEV655298 UZ655096:UZ655298 LD655096:LD655298 BH655096:BH655298 WXP589560:WXP589762 WNT589560:WNT589762 WDX589560:WDX589762 VUB589560:VUB589762 VKF589560:VKF589762 VAJ589560:VAJ589762 UQN589560:UQN589762 UGR589560:UGR589762 TWV589560:TWV589762 TMZ589560:TMZ589762 TDD589560:TDD589762 STH589560:STH589762 SJL589560:SJL589762 RZP589560:RZP589762 RPT589560:RPT589762 RFX589560:RFX589762 QWB589560:QWB589762 QMF589560:QMF589762 QCJ589560:QCJ589762 PSN589560:PSN589762 PIR589560:PIR589762 OYV589560:OYV589762 OOZ589560:OOZ589762 OFD589560:OFD589762 NVH589560:NVH589762 NLL589560:NLL589762 NBP589560:NBP589762 MRT589560:MRT589762 MHX589560:MHX589762 LYB589560:LYB589762 LOF589560:LOF589762 LEJ589560:LEJ589762 KUN589560:KUN589762 KKR589560:KKR589762 KAV589560:KAV589762 JQZ589560:JQZ589762 JHD589560:JHD589762 IXH589560:IXH589762 INL589560:INL589762 IDP589560:IDP589762 HTT589560:HTT589762 HJX589560:HJX589762 HAB589560:HAB589762 GQF589560:GQF589762 GGJ589560:GGJ589762 FWN589560:FWN589762 FMR589560:FMR589762 FCV589560:FCV589762 ESZ589560:ESZ589762 EJD589560:EJD589762 DZH589560:DZH589762 DPL589560:DPL589762 DFP589560:DFP589762 CVT589560:CVT589762 CLX589560:CLX589762 CCB589560:CCB589762 BSF589560:BSF589762 BIJ589560:BIJ589762 AYN589560:AYN589762 AOR589560:AOR589762 AEV589560:AEV589762 UZ589560:UZ589762 LD589560:LD589762 BH589560:BH589762 WXP524024:WXP524226 WNT524024:WNT524226 WDX524024:WDX524226 VUB524024:VUB524226 VKF524024:VKF524226 VAJ524024:VAJ524226 UQN524024:UQN524226 UGR524024:UGR524226 TWV524024:TWV524226 TMZ524024:TMZ524226 TDD524024:TDD524226 STH524024:STH524226 SJL524024:SJL524226 RZP524024:RZP524226 RPT524024:RPT524226 RFX524024:RFX524226 QWB524024:QWB524226 QMF524024:QMF524226 QCJ524024:QCJ524226 PSN524024:PSN524226 PIR524024:PIR524226 OYV524024:OYV524226 OOZ524024:OOZ524226 OFD524024:OFD524226 NVH524024:NVH524226 NLL524024:NLL524226 NBP524024:NBP524226 MRT524024:MRT524226 MHX524024:MHX524226 LYB524024:LYB524226 LOF524024:LOF524226 LEJ524024:LEJ524226 KUN524024:KUN524226 KKR524024:KKR524226 KAV524024:KAV524226 JQZ524024:JQZ524226 JHD524024:JHD524226 IXH524024:IXH524226 INL524024:INL524226 IDP524024:IDP524226 HTT524024:HTT524226 HJX524024:HJX524226 HAB524024:HAB524226 GQF524024:GQF524226 GGJ524024:GGJ524226 FWN524024:FWN524226 FMR524024:FMR524226 FCV524024:FCV524226 ESZ524024:ESZ524226 EJD524024:EJD524226 DZH524024:DZH524226 DPL524024:DPL524226 DFP524024:DFP524226 CVT524024:CVT524226 CLX524024:CLX524226 CCB524024:CCB524226 BSF524024:BSF524226 BIJ524024:BIJ524226 AYN524024:AYN524226 AOR524024:AOR524226 AEV524024:AEV524226 UZ524024:UZ524226 LD524024:LD524226 BH524024:BH524226 WXP458488:WXP458690 WNT458488:WNT458690 WDX458488:WDX458690 VUB458488:VUB458690 VKF458488:VKF458690 VAJ458488:VAJ458690 UQN458488:UQN458690 UGR458488:UGR458690 TWV458488:TWV458690 TMZ458488:TMZ458690 TDD458488:TDD458690 STH458488:STH458690 SJL458488:SJL458690 RZP458488:RZP458690 RPT458488:RPT458690 RFX458488:RFX458690 QWB458488:QWB458690 QMF458488:QMF458690 QCJ458488:QCJ458690 PSN458488:PSN458690 PIR458488:PIR458690 OYV458488:OYV458690 OOZ458488:OOZ458690 OFD458488:OFD458690 NVH458488:NVH458690 NLL458488:NLL458690 NBP458488:NBP458690 MRT458488:MRT458690 MHX458488:MHX458690 LYB458488:LYB458690 LOF458488:LOF458690 LEJ458488:LEJ458690 KUN458488:KUN458690 KKR458488:KKR458690 KAV458488:KAV458690 JQZ458488:JQZ458690 JHD458488:JHD458690 IXH458488:IXH458690 INL458488:INL458690 IDP458488:IDP458690 HTT458488:HTT458690 HJX458488:HJX458690 HAB458488:HAB458690 GQF458488:GQF458690 GGJ458488:GGJ458690 FWN458488:FWN458690 FMR458488:FMR458690 FCV458488:FCV458690 ESZ458488:ESZ458690 EJD458488:EJD458690 DZH458488:DZH458690 DPL458488:DPL458690 DFP458488:DFP458690 CVT458488:CVT458690 CLX458488:CLX458690 CCB458488:CCB458690 BSF458488:BSF458690 BIJ458488:BIJ458690 AYN458488:AYN458690 AOR458488:AOR458690 AEV458488:AEV458690 UZ458488:UZ458690 LD458488:LD458690 BH458488:BH458690 WXP392952:WXP393154 WNT392952:WNT393154 WDX392952:WDX393154 VUB392952:VUB393154 VKF392952:VKF393154 VAJ392952:VAJ393154 UQN392952:UQN393154 UGR392952:UGR393154 TWV392952:TWV393154 TMZ392952:TMZ393154 TDD392952:TDD393154 STH392952:STH393154 SJL392952:SJL393154 RZP392952:RZP393154 RPT392952:RPT393154 RFX392952:RFX393154 QWB392952:QWB393154 QMF392952:QMF393154 QCJ392952:QCJ393154 PSN392952:PSN393154 PIR392952:PIR393154 OYV392952:OYV393154 OOZ392952:OOZ393154 OFD392952:OFD393154 NVH392952:NVH393154 NLL392952:NLL393154 NBP392952:NBP393154 MRT392952:MRT393154 MHX392952:MHX393154 LYB392952:LYB393154 LOF392952:LOF393154 LEJ392952:LEJ393154 KUN392952:KUN393154 KKR392952:KKR393154 KAV392952:KAV393154 JQZ392952:JQZ393154 JHD392952:JHD393154 IXH392952:IXH393154 INL392952:INL393154 IDP392952:IDP393154 HTT392952:HTT393154 HJX392952:HJX393154 HAB392952:HAB393154 GQF392952:GQF393154 GGJ392952:GGJ393154 FWN392952:FWN393154 FMR392952:FMR393154 FCV392952:FCV393154 ESZ392952:ESZ393154 EJD392952:EJD393154 DZH392952:DZH393154 DPL392952:DPL393154 DFP392952:DFP393154 CVT392952:CVT393154 CLX392952:CLX393154 CCB392952:CCB393154 BSF392952:BSF393154 BIJ392952:BIJ393154 AYN392952:AYN393154 AOR392952:AOR393154 AEV392952:AEV393154 UZ392952:UZ393154 LD392952:LD393154 BH392952:BH393154 WXP327416:WXP327618 WNT327416:WNT327618 WDX327416:WDX327618 VUB327416:VUB327618 VKF327416:VKF327618 VAJ327416:VAJ327618 UQN327416:UQN327618 UGR327416:UGR327618 TWV327416:TWV327618 TMZ327416:TMZ327618 TDD327416:TDD327618 STH327416:STH327618 SJL327416:SJL327618 RZP327416:RZP327618 RPT327416:RPT327618 RFX327416:RFX327618 QWB327416:QWB327618 QMF327416:QMF327618 QCJ327416:QCJ327618 PSN327416:PSN327618 PIR327416:PIR327618 OYV327416:OYV327618 OOZ327416:OOZ327618 OFD327416:OFD327618 NVH327416:NVH327618 NLL327416:NLL327618 NBP327416:NBP327618 MRT327416:MRT327618 MHX327416:MHX327618 LYB327416:LYB327618 LOF327416:LOF327618 LEJ327416:LEJ327618 KUN327416:KUN327618 KKR327416:KKR327618 KAV327416:KAV327618 JQZ327416:JQZ327618 JHD327416:JHD327618 IXH327416:IXH327618 INL327416:INL327618 IDP327416:IDP327618 HTT327416:HTT327618 HJX327416:HJX327618 HAB327416:HAB327618 GQF327416:GQF327618 GGJ327416:GGJ327618 FWN327416:FWN327618 FMR327416:FMR327618 FCV327416:FCV327618 ESZ327416:ESZ327618 EJD327416:EJD327618 DZH327416:DZH327618 DPL327416:DPL327618 DFP327416:DFP327618 CVT327416:CVT327618 CLX327416:CLX327618 CCB327416:CCB327618 BSF327416:BSF327618 BIJ327416:BIJ327618 AYN327416:AYN327618 AOR327416:AOR327618 AEV327416:AEV327618 UZ327416:UZ327618 LD327416:LD327618 BH327416:BH327618 WXP261880:WXP262082 WNT261880:WNT262082 WDX261880:WDX262082 VUB261880:VUB262082 VKF261880:VKF262082 VAJ261880:VAJ262082 UQN261880:UQN262082 UGR261880:UGR262082 TWV261880:TWV262082 TMZ261880:TMZ262082 TDD261880:TDD262082 STH261880:STH262082 SJL261880:SJL262082 RZP261880:RZP262082 RPT261880:RPT262082 RFX261880:RFX262082 QWB261880:QWB262082 QMF261880:QMF262082 QCJ261880:QCJ262082 PSN261880:PSN262082 PIR261880:PIR262082 OYV261880:OYV262082 OOZ261880:OOZ262082 OFD261880:OFD262082 NVH261880:NVH262082 NLL261880:NLL262082 NBP261880:NBP262082 MRT261880:MRT262082 MHX261880:MHX262082 LYB261880:LYB262082 LOF261880:LOF262082 LEJ261880:LEJ262082 KUN261880:KUN262082 KKR261880:KKR262082 KAV261880:KAV262082 JQZ261880:JQZ262082 JHD261880:JHD262082 IXH261880:IXH262082 INL261880:INL262082 IDP261880:IDP262082 HTT261880:HTT262082 HJX261880:HJX262082 HAB261880:HAB262082 GQF261880:GQF262082 GGJ261880:GGJ262082 FWN261880:FWN262082 FMR261880:FMR262082 FCV261880:FCV262082 ESZ261880:ESZ262082 EJD261880:EJD262082 DZH261880:DZH262082 DPL261880:DPL262082 DFP261880:DFP262082 CVT261880:CVT262082 CLX261880:CLX262082 CCB261880:CCB262082 BSF261880:BSF262082 BIJ261880:BIJ262082 AYN261880:AYN262082 AOR261880:AOR262082 AEV261880:AEV262082 UZ261880:UZ262082 LD261880:LD262082 BH261880:BH262082 WXP196344:WXP196546 WNT196344:WNT196546 WDX196344:WDX196546 VUB196344:VUB196546 VKF196344:VKF196546 VAJ196344:VAJ196546 UQN196344:UQN196546 UGR196344:UGR196546 TWV196344:TWV196546 TMZ196344:TMZ196546 TDD196344:TDD196546 STH196344:STH196546 SJL196344:SJL196546 RZP196344:RZP196546 RPT196344:RPT196546 RFX196344:RFX196546 QWB196344:QWB196546 QMF196344:QMF196546 QCJ196344:QCJ196546 PSN196344:PSN196546 PIR196344:PIR196546 OYV196344:OYV196546 OOZ196344:OOZ196546 OFD196344:OFD196546 NVH196344:NVH196546 NLL196344:NLL196546 NBP196344:NBP196546 MRT196344:MRT196546 MHX196344:MHX196546 LYB196344:LYB196546 LOF196344:LOF196546 LEJ196344:LEJ196546 KUN196344:KUN196546 KKR196344:KKR196546 KAV196344:KAV196546 JQZ196344:JQZ196546 JHD196344:JHD196546 IXH196344:IXH196546 INL196344:INL196546 IDP196344:IDP196546 HTT196344:HTT196546 HJX196344:HJX196546 HAB196344:HAB196546 GQF196344:GQF196546 GGJ196344:GGJ196546 FWN196344:FWN196546 FMR196344:FMR196546 FCV196344:FCV196546 ESZ196344:ESZ196546 EJD196344:EJD196546 DZH196344:DZH196546 DPL196344:DPL196546 DFP196344:DFP196546 CVT196344:CVT196546 CLX196344:CLX196546 CCB196344:CCB196546 BSF196344:BSF196546 BIJ196344:BIJ196546 AYN196344:AYN196546 AOR196344:AOR196546 AEV196344:AEV196546 UZ196344:UZ196546 LD196344:LD196546 BH196344:BH196546 WXP130808:WXP131010 WNT130808:WNT131010 WDX130808:WDX131010 VUB130808:VUB131010 VKF130808:VKF131010 VAJ130808:VAJ131010 UQN130808:UQN131010 UGR130808:UGR131010 TWV130808:TWV131010 TMZ130808:TMZ131010 TDD130808:TDD131010 STH130808:STH131010 SJL130808:SJL131010 RZP130808:RZP131010 RPT130808:RPT131010 RFX130808:RFX131010 QWB130808:QWB131010 QMF130808:QMF131010 QCJ130808:QCJ131010 PSN130808:PSN131010 PIR130808:PIR131010 OYV130808:OYV131010 OOZ130808:OOZ131010 OFD130808:OFD131010 NVH130808:NVH131010 NLL130808:NLL131010 NBP130808:NBP131010 MRT130808:MRT131010 MHX130808:MHX131010 LYB130808:LYB131010 LOF130808:LOF131010 LEJ130808:LEJ131010 KUN130808:KUN131010 KKR130808:KKR131010 KAV130808:KAV131010 JQZ130808:JQZ131010 JHD130808:JHD131010 IXH130808:IXH131010 INL130808:INL131010 IDP130808:IDP131010 HTT130808:HTT131010 HJX130808:HJX131010 HAB130808:HAB131010 GQF130808:GQF131010 GGJ130808:GGJ131010 FWN130808:FWN131010 FMR130808:FMR131010 FCV130808:FCV131010 ESZ130808:ESZ131010 EJD130808:EJD131010 DZH130808:DZH131010 DPL130808:DPL131010 DFP130808:DFP131010 CVT130808:CVT131010 CLX130808:CLX131010 CCB130808:CCB131010 BSF130808:BSF131010 BIJ130808:BIJ131010 AYN130808:AYN131010 AOR130808:AOR131010 AEV130808:AEV131010 UZ130808:UZ131010 LD130808:LD131010 BH130808:BH131010 WXP65272:WXP65474 WNT65272:WNT65474 WDX65272:WDX65474 VUB65272:VUB65474 VKF65272:VKF65474 VAJ65272:VAJ65474 UQN65272:UQN65474 UGR65272:UGR65474 TWV65272:TWV65474 TMZ65272:TMZ65474 TDD65272:TDD65474 STH65272:STH65474 SJL65272:SJL65474 RZP65272:RZP65474 RPT65272:RPT65474 RFX65272:RFX65474 QWB65272:QWB65474 QMF65272:QMF65474 QCJ65272:QCJ65474 PSN65272:PSN65474 PIR65272:PIR65474 OYV65272:OYV65474 OOZ65272:OOZ65474 OFD65272:OFD65474 NVH65272:NVH65474 NLL65272:NLL65474 NBP65272:NBP65474 MRT65272:MRT65474 MHX65272:MHX65474 LYB65272:LYB65474 LOF65272:LOF65474 LEJ65272:LEJ65474 KUN65272:KUN65474 KKR65272:KKR65474 KAV65272:KAV65474 JQZ65272:JQZ65474 JHD65272:JHD65474 IXH65272:IXH65474 INL65272:INL65474 IDP65272:IDP65474 HTT65272:HTT65474 HJX65272:HJX65474 HAB65272:HAB65474 GQF65272:GQF65474 GGJ65272:GGJ65474 FWN65272:FWN65474 FMR65272:FMR65474 FCV65272:FCV65474 ESZ65272:ESZ65474 EJD65272:EJD65474 DZH65272:DZH65474 DPL65272:DPL65474 DFP65272:DFP65474 CVT65272:CVT65474 CLX65272:CLX65474 CCB65272:CCB65474 BSF65272:BSF65474 BIJ65272:BIJ65474 AYN65272:AYN65474 AOR65272:AOR65474 AEV65272:AEV65474 UZ65272:UZ65474 LD65272:LD65474 WXP5:WXP11 WNT5:WNT11 WDX5:WDX11 VUB5:VUB11 VKF5:VKF11 VAJ5:VAJ11 UQN5:UQN11 UGR5:UGR11 TWV5:TWV11 TMZ5:TMZ11 TDD5:TDD11 STH5:STH11 SJL5:SJL11 RZP5:RZP11 RPT5:RPT11 RFX5:RFX11 QWB5:QWB11 QMF5:QMF11 QCJ5:QCJ11 PSN5:PSN11 PIR5:PIR11 OYV5:OYV11 OOZ5:OOZ11 OFD5:OFD11 NVH5:NVH11 NLL5:NLL11 NBP5:NBP11 MRT5:MRT11 MHX5:MHX11 LYB5:LYB11 LOF5:LOF11 LEJ5:LEJ11 KUN5:KUN11 KKR5:KKR11 KAV5:KAV11 JQZ5:JQZ11 JHD5:JHD11 IXH5:IXH11 INL5:INL11 IDP5:IDP11 HTT5:HTT11 HJX5:HJX11 HAB5:HAB11 GQF5:GQF11 GGJ5:GGJ11 FWN5:FWN11 FMR5:FMR11 FCV5:FCV11 ESZ5:ESZ11 EJD5:EJD11 DZH5:DZH11 DPL5:DPL11 DFP5:DFP11 CVT5:CVT11 CLX5:CLX11 CCB5:CCB11 BSF5:BSF11 BIJ5:BIJ11 AYN5:AYN11 AOR5:AOR11 AEV5:AEV11">
      <formula1>$E$12:$E$12</formula1>
    </dataValidation>
    <dataValidation type="whole" allowBlank="1" showInputMessage="1" showErrorMessage="1" sqref="BG65272:BG65478 LC65272:LC65478 UY65272:UY65478 AEU65272:AEU65478 AOQ65272:AOQ65478 AYM65272:AYM65478 BII65272:BII65478 BSE65272:BSE65478 CCA65272:CCA65478 CLW65272:CLW65478 CVS65272:CVS65478 DFO65272:DFO65478 DPK65272:DPK65478 DZG65272:DZG65478 EJC65272:EJC65478 ESY65272:ESY65478 FCU65272:FCU65478 FMQ65272:FMQ65478 FWM65272:FWM65478 GGI65272:GGI65478 GQE65272:GQE65478 HAA65272:HAA65478 HJW65272:HJW65478 HTS65272:HTS65478 IDO65272:IDO65478 INK65272:INK65478 IXG65272:IXG65478 JHC65272:JHC65478 JQY65272:JQY65478 KAU65272:KAU65478 KKQ65272:KKQ65478 KUM65272:KUM65478 LEI65272:LEI65478 LOE65272:LOE65478 LYA65272:LYA65478 MHW65272:MHW65478 MRS65272:MRS65478 NBO65272:NBO65478 NLK65272:NLK65478 NVG65272:NVG65478 OFC65272:OFC65478 OOY65272:OOY65478 OYU65272:OYU65478 PIQ65272:PIQ65478 PSM65272:PSM65478 QCI65272:QCI65478 QME65272:QME65478 QWA65272:QWA65478 RFW65272:RFW65478 RPS65272:RPS65478 RZO65272:RZO65478 SJK65272:SJK65478 STG65272:STG65478 TDC65272:TDC65478 TMY65272:TMY65478 TWU65272:TWU65478 UGQ65272:UGQ65478 UQM65272:UQM65478 VAI65272:VAI65478 VKE65272:VKE65478 VUA65272:VUA65478 WDW65272:WDW65478 WNS65272:WNS65478 WXO65272:WXO65478 BG130808:BG131014 LC130808:LC131014 UY130808:UY131014 AEU130808:AEU131014 AOQ130808:AOQ131014 AYM130808:AYM131014 BII130808:BII131014 BSE130808:BSE131014 CCA130808:CCA131014 CLW130808:CLW131014 CVS130808:CVS131014 DFO130808:DFO131014 DPK130808:DPK131014 DZG130808:DZG131014 EJC130808:EJC131014 ESY130808:ESY131014 FCU130808:FCU131014 FMQ130808:FMQ131014 FWM130808:FWM131014 GGI130808:GGI131014 GQE130808:GQE131014 HAA130808:HAA131014 HJW130808:HJW131014 HTS130808:HTS131014 IDO130808:IDO131014 INK130808:INK131014 IXG130808:IXG131014 JHC130808:JHC131014 JQY130808:JQY131014 KAU130808:KAU131014 KKQ130808:KKQ131014 KUM130808:KUM131014 LEI130808:LEI131014 LOE130808:LOE131014 LYA130808:LYA131014 MHW130808:MHW131014 MRS130808:MRS131014 NBO130808:NBO131014 NLK130808:NLK131014 NVG130808:NVG131014 OFC130808:OFC131014 OOY130808:OOY131014 OYU130808:OYU131014 PIQ130808:PIQ131014 PSM130808:PSM131014 QCI130808:QCI131014 QME130808:QME131014 QWA130808:QWA131014 RFW130808:RFW131014 RPS130808:RPS131014 RZO130808:RZO131014 SJK130808:SJK131014 STG130808:STG131014 TDC130808:TDC131014 TMY130808:TMY131014 TWU130808:TWU131014 UGQ130808:UGQ131014 UQM130808:UQM131014 VAI130808:VAI131014 VKE130808:VKE131014 VUA130808:VUA131014 WDW130808:WDW131014 WNS130808:WNS131014 WXO130808:WXO131014 BG196344:BG196550 LC196344:LC196550 UY196344:UY196550 AEU196344:AEU196550 AOQ196344:AOQ196550 AYM196344:AYM196550 BII196344:BII196550 BSE196344:BSE196550 CCA196344:CCA196550 CLW196344:CLW196550 CVS196344:CVS196550 DFO196344:DFO196550 DPK196344:DPK196550 DZG196344:DZG196550 EJC196344:EJC196550 ESY196344:ESY196550 FCU196344:FCU196550 FMQ196344:FMQ196550 FWM196344:FWM196550 GGI196344:GGI196550 GQE196344:GQE196550 HAA196344:HAA196550 HJW196344:HJW196550 HTS196344:HTS196550 IDO196344:IDO196550 INK196344:INK196550 IXG196344:IXG196550 JHC196344:JHC196550 JQY196344:JQY196550 KAU196344:KAU196550 KKQ196344:KKQ196550 KUM196344:KUM196550 LEI196344:LEI196550 LOE196344:LOE196550 LYA196344:LYA196550 MHW196344:MHW196550 MRS196344:MRS196550 NBO196344:NBO196550 NLK196344:NLK196550 NVG196344:NVG196550 OFC196344:OFC196550 OOY196344:OOY196550 OYU196344:OYU196550 PIQ196344:PIQ196550 PSM196344:PSM196550 QCI196344:QCI196550 QME196344:QME196550 QWA196344:QWA196550 RFW196344:RFW196550 RPS196344:RPS196550 RZO196344:RZO196550 SJK196344:SJK196550 STG196344:STG196550 TDC196344:TDC196550 TMY196344:TMY196550 TWU196344:TWU196550 UGQ196344:UGQ196550 UQM196344:UQM196550 VAI196344:VAI196550 VKE196344:VKE196550 VUA196344:VUA196550 WDW196344:WDW196550 WNS196344:WNS196550 WXO196344:WXO196550 BG261880:BG262086 LC261880:LC262086 UY261880:UY262086 AEU261880:AEU262086 AOQ261880:AOQ262086 AYM261880:AYM262086 BII261880:BII262086 BSE261880:BSE262086 CCA261880:CCA262086 CLW261880:CLW262086 CVS261880:CVS262086 DFO261880:DFO262086 DPK261880:DPK262086 DZG261880:DZG262086 EJC261880:EJC262086 ESY261880:ESY262086 FCU261880:FCU262086 FMQ261880:FMQ262086 FWM261880:FWM262086 GGI261880:GGI262086 GQE261880:GQE262086 HAA261880:HAA262086 HJW261880:HJW262086 HTS261880:HTS262086 IDO261880:IDO262086 INK261880:INK262086 IXG261880:IXG262086 JHC261880:JHC262086 JQY261880:JQY262086 KAU261880:KAU262086 KKQ261880:KKQ262086 KUM261880:KUM262086 LEI261880:LEI262086 LOE261880:LOE262086 LYA261880:LYA262086 MHW261880:MHW262086 MRS261880:MRS262086 NBO261880:NBO262086 NLK261880:NLK262086 NVG261880:NVG262086 OFC261880:OFC262086 OOY261880:OOY262086 OYU261880:OYU262086 PIQ261880:PIQ262086 PSM261880:PSM262086 QCI261880:QCI262086 QME261880:QME262086 QWA261880:QWA262086 RFW261880:RFW262086 RPS261880:RPS262086 RZO261880:RZO262086 SJK261880:SJK262086 STG261880:STG262086 TDC261880:TDC262086 TMY261880:TMY262086 TWU261880:TWU262086 UGQ261880:UGQ262086 UQM261880:UQM262086 VAI261880:VAI262086 VKE261880:VKE262086 VUA261880:VUA262086 WDW261880:WDW262086 WNS261880:WNS262086 WXO261880:WXO262086 BG327416:BG327622 LC327416:LC327622 UY327416:UY327622 AEU327416:AEU327622 AOQ327416:AOQ327622 AYM327416:AYM327622 BII327416:BII327622 BSE327416:BSE327622 CCA327416:CCA327622 CLW327416:CLW327622 CVS327416:CVS327622 DFO327416:DFO327622 DPK327416:DPK327622 DZG327416:DZG327622 EJC327416:EJC327622 ESY327416:ESY327622 FCU327416:FCU327622 FMQ327416:FMQ327622 FWM327416:FWM327622 GGI327416:GGI327622 GQE327416:GQE327622 HAA327416:HAA327622 HJW327416:HJW327622 HTS327416:HTS327622 IDO327416:IDO327622 INK327416:INK327622 IXG327416:IXG327622 JHC327416:JHC327622 JQY327416:JQY327622 KAU327416:KAU327622 KKQ327416:KKQ327622 KUM327416:KUM327622 LEI327416:LEI327622 LOE327416:LOE327622 LYA327416:LYA327622 MHW327416:MHW327622 MRS327416:MRS327622 NBO327416:NBO327622 NLK327416:NLK327622 NVG327416:NVG327622 OFC327416:OFC327622 OOY327416:OOY327622 OYU327416:OYU327622 PIQ327416:PIQ327622 PSM327416:PSM327622 QCI327416:QCI327622 QME327416:QME327622 QWA327416:QWA327622 RFW327416:RFW327622 RPS327416:RPS327622 RZO327416:RZO327622 SJK327416:SJK327622 STG327416:STG327622 TDC327416:TDC327622 TMY327416:TMY327622 TWU327416:TWU327622 UGQ327416:UGQ327622 UQM327416:UQM327622 VAI327416:VAI327622 VKE327416:VKE327622 VUA327416:VUA327622 WDW327416:WDW327622 WNS327416:WNS327622 WXO327416:WXO327622 BG392952:BG393158 LC392952:LC393158 UY392952:UY393158 AEU392952:AEU393158 AOQ392952:AOQ393158 AYM392952:AYM393158 BII392952:BII393158 BSE392952:BSE393158 CCA392952:CCA393158 CLW392952:CLW393158 CVS392952:CVS393158 DFO392952:DFO393158 DPK392952:DPK393158 DZG392952:DZG393158 EJC392952:EJC393158 ESY392952:ESY393158 FCU392952:FCU393158 FMQ392952:FMQ393158 FWM392952:FWM393158 GGI392952:GGI393158 GQE392952:GQE393158 HAA392952:HAA393158 HJW392952:HJW393158 HTS392952:HTS393158 IDO392952:IDO393158 INK392952:INK393158 IXG392952:IXG393158 JHC392952:JHC393158 JQY392952:JQY393158 KAU392952:KAU393158 KKQ392952:KKQ393158 KUM392952:KUM393158 LEI392952:LEI393158 LOE392952:LOE393158 LYA392952:LYA393158 MHW392952:MHW393158 MRS392952:MRS393158 NBO392952:NBO393158 NLK392952:NLK393158 NVG392952:NVG393158 OFC392952:OFC393158 OOY392952:OOY393158 OYU392952:OYU393158 PIQ392952:PIQ393158 PSM392952:PSM393158 QCI392952:QCI393158 QME392952:QME393158 QWA392952:QWA393158 RFW392952:RFW393158 RPS392952:RPS393158 RZO392952:RZO393158 SJK392952:SJK393158 STG392952:STG393158 TDC392952:TDC393158 TMY392952:TMY393158 TWU392952:TWU393158 UGQ392952:UGQ393158 UQM392952:UQM393158 VAI392952:VAI393158 VKE392952:VKE393158 VUA392952:VUA393158 WDW392952:WDW393158 WNS392952:WNS393158 WXO392952:WXO393158 BG458488:BG458694 LC458488:LC458694 UY458488:UY458694 AEU458488:AEU458694 AOQ458488:AOQ458694 AYM458488:AYM458694 BII458488:BII458694 BSE458488:BSE458694 CCA458488:CCA458694 CLW458488:CLW458694 CVS458488:CVS458694 DFO458488:DFO458694 DPK458488:DPK458694 DZG458488:DZG458694 EJC458488:EJC458694 ESY458488:ESY458694 FCU458488:FCU458694 FMQ458488:FMQ458694 FWM458488:FWM458694 GGI458488:GGI458694 GQE458488:GQE458694 HAA458488:HAA458694 HJW458488:HJW458694 HTS458488:HTS458694 IDO458488:IDO458694 INK458488:INK458694 IXG458488:IXG458694 JHC458488:JHC458694 JQY458488:JQY458694 KAU458488:KAU458694 KKQ458488:KKQ458694 KUM458488:KUM458694 LEI458488:LEI458694 LOE458488:LOE458694 LYA458488:LYA458694 MHW458488:MHW458694 MRS458488:MRS458694 NBO458488:NBO458694 NLK458488:NLK458694 NVG458488:NVG458694 OFC458488:OFC458694 OOY458488:OOY458694 OYU458488:OYU458694 PIQ458488:PIQ458694 PSM458488:PSM458694 QCI458488:QCI458694 QME458488:QME458694 QWA458488:QWA458694 RFW458488:RFW458694 RPS458488:RPS458694 RZO458488:RZO458694 SJK458488:SJK458694 STG458488:STG458694 TDC458488:TDC458694 TMY458488:TMY458694 TWU458488:TWU458694 UGQ458488:UGQ458694 UQM458488:UQM458694 VAI458488:VAI458694 VKE458488:VKE458694 VUA458488:VUA458694 WDW458488:WDW458694 WNS458488:WNS458694 WXO458488:WXO458694 BG524024:BG524230 LC524024:LC524230 UY524024:UY524230 AEU524024:AEU524230 AOQ524024:AOQ524230 AYM524024:AYM524230 BII524024:BII524230 BSE524024:BSE524230 CCA524024:CCA524230 CLW524024:CLW524230 CVS524024:CVS524230 DFO524024:DFO524230 DPK524024:DPK524230 DZG524024:DZG524230 EJC524024:EJC524230 ESY524024:ESY524230 FCU524024:FCU524230 FMQ524024:FMQ524230 FWM524024:FWM524230 GGI524024:GGI524230 GQE524024:GQE524230 HAA524024:HAA524230 HJW524024:HJW524230 HTS524024:HTS524230 IDO524024:IDO524230 INK524024:INK524230 IXG524024:IXG524230 JHC524024:JHC524230 JQY524024:JQY524230 KAU524024:KAU524230 KKQ524024:KKQ524230 KUM524024:KUM524230 LEI524024:LEI524230 LOE524024:LOE524230 LYA524024:LYA524230 MHW524024:MHW524230 MRS524024:MRS524230 NBO524024:NBO524230 NLK524024:NLK524230 NVG524024:NVG524230 OFC524024:OFC524230 OOY524024:OOY524230 OYU524024:OYU524230 PIQ524024:PIQ524230 PSM524024:PSM524230 QCI524024:QCI524230 QME524024:QME524230 QWA524024:QWA524230 RFW524024:RFW524230 RPS524024:RPS524230 RZO524024:RZO524230 SJK524024:SJK524230 STG524024:STG524230 TDC524024:TDC524230 TMY524024:TMY524230 TWU524024:TWU524230 UGQ524024:UGQ524230 UQM524024:UQM524230 VAI524024:VAI524230 VKE524024:VKE524230 VUA524024:VUA524230 WDW524024:WDW524230 WNS524024:WNS524230 WXO524024:WXO524230 BG589560:BG589766 LC589560:LC589766 UY589560:UY589766 AEU589560:AEU589766 AOQ589560:AOQ589766 AYM589560:AYM589766 BII589560:BII589766 BSE589560:BSE589766 CCA589560:CCA589766 CLW589560:CLW589766 CVS589560:CVS589766 DFO589560:DFO589766 DPK589560:DPK589766 DZG589560:DZG589766 EJC589560:EJC589766 ESY589560:ESY589766 FCU589560:FCU589766 FMQ589560:FMQ589766 FWM589560:FWM589766 GGI589560:GGI589766 GQE589560:GQE589766 HAA589560:HAA589766 HJW589560:HJW589766 HTS589560:HTS589766 IDO589560:IDO589766 INK589560:INK589766 IXG589560:IXG589766 JHC589560:JHC589766 JQY589560:JQY589766 KAU589560:KAU589766 KKQ589560:KKQ589766 KUM589560:KUM589766 LEI589560:LEI589766 LOE589560:LOE589766 LYA589560:LYA589766 MHW589560:MHW589766 MRS589560:MRS589766 NBO589560:NBO589766 NLK589560:NLK589766 NVG589560:NVG589766 OFC589560:OFC589766 OOY589560:OOY589766 OYU589560:OYU589766 PIQ589560:PIQ589766 PSM589560:PSM589766 QCI589560:QCI589766 QME589560:QME589766 QWA589560:QWA589766 RFW589560:RFW589766 RPS589560:RPS589766 RZO589560:RZO589766 SJK589560:SJK589766 STG589560:STG589766 TDC589560:TDC589766 TMY589560:TMY589766 TWU589560:TWU589766 UGQ589560:UGQ589766 UQM589560:UQM589766 VAI589560:VAI589766 VKE589560:VKE589766 VUA589560:VUA589766 WDW589560:WDW589766 WNS589560:WNS589766 WXO589560:WXO589766 BG655096:BG655302 LC655096:LC655302 UY655096:UY655302 AEU655096:AEU655302 AOQ655096:AOQ655302 AYM655096:AYM655302 BII655096:BII655302 BSE655096:BSE655302 CCA655096:CCA655302 CLW655096:CLW655302 CVS655096:CVS655302 DFO655096:DFO655302 DPK655096:DPK655302 DZG655096:DZG655302 EJC655096:EJC655302 ESY655096:ESY655302 FCU655096:FCU655302 FMQ655096:FMQ655302 FWM655096:FWM655302 GGI655096:GGI655302 GQE655096:GQE655302 HAA655096:HAA655302 HJW655096:HJW655302 HTS655096:HTS655302 IDO655096:IDO655302 INK655096:INK655302 IXG655096:IXG655302 JHC655096:JHC655302 JQY655096:JQY655302 KAU655096:KAU655302 KKQ655096:KKQ655302 KUM655096:KUM655302 LEI655096:LEI655302 LOE655096:LOE655302 LYA655096:LYA655302 MHW655096:MHW655302 MRS655096:MRS655302 NBO655096:NBO655302 NLK655096:NLK655302 NVG655096:NVG655302 OFC655096:OFC655302 OOY655096:OOY655302 OYU655096:OYU655302 PIQ655096:PIQ655302 PSM655096:PSM655302 QCI655096:QCI655302 QME655096:QME655302 QWA655096:QWA655302 RFW655096:RFW655302 RPS655096:RPS655302 RZO655096:RZO655302 SJK655096:SJK655302 STG655096:STG655302 TDC655096:TDC655302 TMY655096:TMY655302 TWU655096:TWU655302 UGQ655096:UGQ655302 UQM655096:UQM655302 VAI655096:VAI655302 VKE655096:VKE655302 VUA655096:VUA655302 WDW655096:WDW655302 WNS655096:WNS655302 WXO655096:WXO655302 BG720632:BG720838 LC720632:LC720838 UY720632:UY720838 AEU720632:AEU720838 AOQ720632:AOQ720838 AYM720632:AYM720838 BII720632:BII720838 BSE720632:BSE720838 CCA720632:CCA720838 CLW720632:CLW720838 CVS720632:CVS720838 DFO720632:DFO720838 DPK720632:DPK720838 DZG720632:DZG720838 EJC720632:EJC720838 ESY720632:ESY720838 FCU720632:FCU720838 FMQ720632:FMQ720838 FWM720632:FWM720838 GGI720632:GGI720838 GQE720632:GQE720838 HAA720632:HAA720838 HJW720632:HJW720838 HTS720632:HTS720838 IDO720632:IDO720838 INK720632:INK720838 IXG720632:IXG720838 JHC720632:JHC720838 JQY720632:JQY720838 KAU720632:KAU720838 KKQ720632:KKQ720838 KUM720632:KUM720838 LEI720632:LEI720838 LOE720632:LOE720838 LYA720632:LYA720838 MHW720632:MHW720838 MRS720632:MRS720838 NBO720632:NBO720838 NLK720632:NLK720838 NVG720632:NVG720838 OFC720632:OFC720838 OOY720632:OOY720838 OYU720632:OYU720838 PIQ720632:PIQ720838 PSM720632:PSM720838 QCI720632:QCI720838 QME720632:QME720838 QWA720632:QWA720838 RFW720632:RFW720838 RPS720632:RPS720838 RZO720632:RZO720838 SJK720632:SJK720838 STG720632:STG720838 TDC720632:TDC720838 TMY720632:TMY720838 TWU720632:TWU720838 UGQ720632:UGQ720838 UQM720632:UQM720838 VAI720632:VAI720838 VKE720632:VKE720838 VUA720632:VUA720838 WDW720632:WDW720838 WNS720632:WNS720838 WXO720632:WXO720838 BG786168:BG786374 LC786168:LC786374 UY786168:UY786374 AEU786168:AEU786374 AOQ786168:AOQ786374 AYM786168:AYM786374 BII786168:BII786374 BSE786168:BSE786374 CCA786168:CCA786374 CLW786168:CLW786374 CVS786168:CVS786374 DFO786168:DFO786374 DPK786168:DPK786374 DZG786168:DZG786374 EJC786168:EJC786374 ESY786168:ESY786374 FCU786168:FCU786374 FMQ786168:FMQ786374 FWM786168:FWM786374 GGI786168:GGI786374 GQE786168:GQE786374 HAA786168:HAA786374 HJW786168:HJW786374 HTS786168:HTS786374 IDO786168:IDO786374 INK786168:INK786374 IXG786168:IXG786374 JHC786168:JHC786374 JQY786168:JQY786374 KAU786168:KAU786374 KKQ786168:KKQ786374 KUM786168:KUM786374 LEI786168:LEI786374 LOE786168:LOE786374 LYA786168:LYA786374 MHW786168:MHW786374 MRS786168:MRS786374 NBO786168:NBO786374 NLK786168:NLK786374 NVG786168:NVG786374 OFC786168:OFC786374 OOY786168:OOY786374 OYU786168:OYU786374 PIQ786168:PIQ786374 PSM786168:PSM786374 QCI786168:QCI786374 QME786168:QME786374 QWA786168:QWA786374 RFW786168:RFW786374 RPS786168:RPS786374 RZO786168:RZO786374 SJK786168:SJK786374 STG786168:STG786374 TDC786168:TDC786374 TMY786168:TMY786374 TWU786168:TWU786374 UGQ786168:UGQ786374 UQM786168:UQM786374 VAI786168:VAI786374 VKE786168:VKE786374 VUA786168:VUA786374 WDW786168:WDW786374 WNS786168:WNS786374 WXO786168:WXO786374 BG851704:BG851910 LC851704:LC851910 UY851704:UY851910 AEU851704:AEU851910 AOQ851704:AOQ851910 AYM851704:AYM851910 BII851704:BII851910 BSE851704:BSE851910 CCA851704:CCA851910 CLW851704:CLW851910 CVS851704:CVS851910 DFO851704:DFO851910 DPK851704:DPK851910 DZG851704:DZG851910 EJC851704:EJC851910 ESY851704:ESY851910 FCU851704:FCU851910 FMQ851704:FMQ851910 FWM851704:FWM851910 GGI851704:GGI851910 GQE851704:GQE851910 HAA851704:HAA851910 HJW851704:HJW851910 HTS851704:HTS851910 IDO851704:IDO851910 INK851704:INK851910 IXG851704:IXG851910 JHC851704:JHC851910 JQY851704:JQY851910 KAU851704:KAU851910 KKQ851704:KKQ851910 KUM851704:KUM851910 LEI851704:LEI851910 LOE851704:LOE851910 LYA851704:LYA851910 MHW851704:MHW851910 MRS851704:MRS851910 NBO851704:NBO851910 NLK851704:NLK851910 NVG851704:NVG851910 OFC851704:OFC851910 OOY851704:OOY851910 OYU851704:OYU851910 PIQ851704:PIQ851910 PSM851704:PSM851910 QCI851704:QCI851910 QME851704:QME851910 QWA851704:QWA851910 RFW851704:RFW851910 RPS851704:RPS851910 RZO851704:RZO851910 SJK851704:SJK851910 STG851704:STG851910 TDC851704:TDC851910 TMY851704:TMY851910 TWU851704:TWU851910 UGQ851704:UGQ851910 UQM851704:UQM851910 VAI851704:VAI851910 VKE851704:VKE851910 VUA851704:VUA851910 WDW851704:WDW851910 WNS851704:WNS851910 WXO851704:WXO851910 BG917240:BG917446 LC917240:LC917446 UY917240:UY917446 AEU917240:AEU917446 AOQ917240:AOQ917446 AYM917240:AYM917446 BII917240:BII917446 BSE917240:BSE917446 CCA917240:CCA917446 CLW917240:CLW917446 CVS917240:CVS917446 DFO917240:DFO917446 DPK917240:DPK917446 DZG917240:DZG917446 EJC917240:EJC917446 ESY917240:ESY917446 FCU917240:FCU917446 FMQ917240:FMQ917446 FWM917240:FWM917446 GGI917240:GGI917446 GQE917240:GQE917446 HAA917240:HAA917446 HJW917240:HJW917446 HTS917240:HTS917446 IDO917240:IDO917446 INK917240:INK917446 IXG917240:IXG917446 JHC917240:JHC917446 JQY917240:JQY917446 KAU917240:KAU917446 KKQ917240:KKQ917446 KUM917240:KUM917446 LEI917240:LEI917446 LOE917240:LOE917446 LYA917240:LYA917446 MHW917240:MHW917446 MRS917240:MRS917446 NBO917240:NBO917446 NLK917240:NLK917446 NVG917240:NVG917446 OFC917240:OFC917446 OOY917240:OOY917446 OYU917240:OYU917446 PIQ917240:PIQ917446 PSM917240:PSM917446 QCI917240:QCI917446 QME917240:QME917446 QWA917240:QWA917446 RFW917240:RFW917446 RPS917240:RPS917446 RZO917240:RZO917446 SJK917240:SJK917446 STG917240:STG917446 TDC917240:TDC917446 TMY917240:TMY917446 TWU917240:TWU917446 UGQ917240:UGQ917446 UQM917240:UQM917446 VAI917240:VAI917446 VKE917240:VKE917446 VUA917240:VUA917446 WDW917240:WDW917446 WNS917240:WNS917446 WXO917240:WXO917446 BG982776:BG982982 LC982776:LC982982 UY982776:UY982982 AEU982776:AEU982982 AOQ982776:AOQ982982 AYM982776:AYM982982 BII982776:BII982982 BSE982776:BSE982982 CCA982776:CCA982982 CLW982776:CLW982982 CVS982776:CVS982982 DFO982776:DFO982982 DPK982776:DPK982982 DZG982776:DZG982982 EJC982776:EJC982982 ESY982776:ESY982982 FCU982776:FCU982982 FMQ982776:FMQ982982 FWM982776:FWM982982 GGI982776:GGI982982 GQE982776:GQE982982 HAA982776:HAA982982 HJW982776:HJW982982 HTS982776:HTS982982 IDO982776:IDO982982 INK982776:INK982982 IXG982776:IXG982982 JHC982776:JHC982982 JQY982776:JQY982982 KAU982776:KAU982982 KKQ982776:KKQ982982 KUM982776:KUM982982 LEI982776:LEI982982 LOE982776:LOE982982 LYA982776:LYA982982 MHW982776:MHW982982 MRS982776:MRS982982 NBO982776:NBO982982 NLK982776:NLK982982 NVG982776:NVG982982 OFC982776:OFC982982 OOY982776:OOY982982 OYU982776:OYU982982 PIQ982776:PIQ982982 PSM982776:PSM982982 QCI982776:QCI982982 QME982776:QME982982 QWA982776:QWA982982 RFW982776:RFW982982 RPS982776:RPS982982 RZO982776:RZO982982 SJK982776:SJK982982 STG982776:STG982982 TDC982776:TDC982982 TMY982776:TMY982982 TWU982776:TWU982982 UGQ982776:UGQ982982 UQM982776:UQM982982 VAI982776:VAI982982 VKE982776:VKE982982 VUA982776:VUA982982 WDW982776:WDW982982 WNS982776:WNS982982 WXO982776:WXO982982 WXO5:WXO11 LC5:LC11 UY5:UY11 AEU5:AEU11 AOQ5:AOQ11 AYM5:AYM11 BII5:BII11 BSE5:BSE11 CCA5:CCA11 CLW5:CLW11 CVS5:CVS11 DFO5:DFO11 DPK5:DPK11 DZG5:DZG11 EJC5:EJC11 ESY5:ESY11 FCU5:FCU11 FMQ5:FMQ11 FWM5:FWM11 GGI5:GGI11 GQE5:GQE11 HAA5:HAA11 HJW5:HJW11 HTS5:HTS11 IDO5:IDO11 INK5:INK11 IXG5:IXG11 JHC5:JHC11 JQY5:JQY11 KAU5:KAU11 KKQ5:KKQ11 KUM5:KUM11 LEI5:LEI11 LOE5:LOE11 LYA5:LYA11 MHW5:MHW11 MRS5:MRS11 NBO5:NBO11 NLK5:NLK11 NVG5:NVG11 OFC5:OFC11 OOY5:OOY11 OYU5:OYU11 PIQ5:PIQ11 PSM5:PSM11 QCI5:QCI11 QME5:QME11 QWA5:QWA11 RFW5:RFW11 RPS5:RPS11 RZO5:RZO11 SJK5:SJK11 STG5:STG11 TDC5:TDC11 TMY5:TMY11 TWU5:TWU11 UGQ5:UGQ11 UQM5:UQM11 VAI5:VAI11 VKE5:VKE11 VUA5:VUA11 WDW5:WDW11 WNS5:WNS11">
      <formula1>0</formula1>
      <formula2>1000000000</formula2>
    </dataValidation>
    <dataValidation type="whole" allowBlank="1" showInputMessage="1" showErrorMessage="1" sqref="BN65272:BN65478 LG65272:LG65478 VC65272:VC65478 AEY65272:AEY65478 AOU65272:AOU65478 AYQ65272:AYQ65478 BIM65272:BIM65478 BSI65272:BSI65478 CCE65272:CCE65478 CMA65272:CMA65478 CVW65272:CVW65478 DFS65272:DFS65478 DPO65272:DPO65478 DZK65272:DZK65478 EJG65272:EJG65478 ETC65272:ETC65478 FCY65272:FCY65478 FMU65272:FMU65478 FWQ65272:FWQ65478 GGM65272:GGM65478 GQI65272:GQI65478 HAE65272:HAE65478 HKA65272:HKA65478 HTW65272:HTW65478 IDS65272:IDS65478 INO65272:INO65478 IXK65272:IXK65478 JHG65272:JHG65478 JRC65272:JRC65478 KAY65272:KAY65478 KKU65272:KKU65478 KUQ65272:KUQ65478 LEM65272:LEM65478 LOI65272:LOI65478 LYE65272:LYE65478 MIA65272:MIA65478 MRW65272:MRW65478 NBS65272:NBS65478 NLO65272:NLO65478 NVK65272:NVK65478 OFG65272:OFG65478 OPC65272:OPC65478 OYY65272:OYY65478 PIU65272:PIU65478 PSQ65272:PSQ65478 QCM65272:QCM65478 QMI65272:QMI65478 QWE65272:QWE65478 RGA65272:RGA65478 RPW65272:RPW65478 RZS65272:RZS65478 SJO65272:SJO65478 STK65272:STK65478 TDG65272:TDG65478 TNC65272:TNC65478 TWY65272:TWY65478 UGU65272:UGU65478 UQQ65272:UQQ65478 VAM65272:VAM65478 VKI65272:VKI65478 VUE65272:VUE65478 WEA65272:WEA65478 WNW65272:WNW65478 WXS65272:WXS65478 BN130808:BN131014 LG130808:LG131014 VC130808:VC131014 AEY130808:AEY131014 AOU130808:AOU131014 AYQ130808:AYQ131014 BIM130808:BIM131014 BSI130808:BSI131014 CCE130808:CCE131014 CMA130808:CMA131014 CVW130808:CVW131014 DFS130808:DFS131014 DPO130808:DPO131014 DZK130808:DZK131014 EJG130808:EJG131014 ETC130808:ETC131014 FCY130808:FCY131014 FMU130808:FMU131014 FWQ130808:FWQ131014 GGM130808:GGM131014 GQI130808:GQI131014 HAE130808:HAE131014 HKA130808:HKA131014 HTW130808:HTW131014 IDS130808:IDS131014 INO130808:INO131014 IXK130808:IXK131014 JHG130808:JHG131014 JRC130808:JRC131014 KAY130808:KAY131014 KKU130808:KKU131014 KUQ130808:KUQ131014 LEM130808:LEM131014 LOI130808:LOI131014 LYE130808:LYE131014 MIA130808:MIA131014 MRW130808:MRW131014 NBS130808:NBS131014 NLO130808:NLO131014 NVK130808:NVK131014 OFG130808:OFG131014 OPC130808:OPC131014 OYY130808:OYY131014 PIU130808:PIU131014 PSQ130808:PSQ131014 QCM130808:QCM131014 QMI130808:QMI131014 QWE130808:QWE131014 RGA130808:RGA131014 RPW130808:RPW131014 RZS130808:RZS131014 SJO130808:SJO131014 STK130808:STK131014 TDG130808:TDG131014 TNC130808:TNC131014 TWY130808:TWY131014 UGU130808:UGU131014 UQQ130808:UQQ131014 VAM130808:VAM131014 VKI130808:VKI131014 VUE130808:VUE131014 WEA130808:WEA131014 WNW130808:WNW131014 WXS130808:WXS131014 BN196344:BN196550 LG196344:LG196550 VC196344:VC196550 AEY196344:AEY196550 AOU196344:AOU196550 AYQ196344:AYQ196550 BIM196344:BIM196550 BSI196344:BSI196550 CCE196344:CCE196550 CMA196344:CMA196550 CVW196344:CVW196550 DFS196344:DFS196550 DPO196344:DPO196550 DZK196344:DZK196550 EJG196344:EJG196550 ETC196344:ETC196550 FCY196344:FCY196550 FMU196344:FMU196550 FWQ196344:FWQ196550 GGM196344:GGM196550 GQI196344:GQI196550 HAE196344:HAE196550 HKA196344:HKA196550 HTW196344:HTW196550 IDS196344:IDS196550 INO196344:INO196550 IXK196344:IXK196550 JHG196344:JHG196550 JRC196344:JRC196550 KAY196344:KAY196550 KKU196344:KKU196550 KUQ196344:KUQ196550 LEM196344:LEM196550 LOI196344:LOI196550 LYE196344:LYE196550 MIA196344:MIA196550 MRW196344:MRW196550 NBS196344:NBS196550 NLO196344:NLO196550 NVK196344:NVK196550 OFG196344:OFG196550 OPC196344:OPC196550 OYY196344:OYY196550 PIU196344:PIU196550 PSQ196344:PSQ196550 QCM196344:QCM196550 QMI196344:QMI196550 QWE196344:QWE196550 RGA196344:RGA196550 RPW196344:RPW196550 RZS196344:RZS196550 SJO196344:SJO196550 STK196344:STK196550 TDG196344:TDG196550 TNC196344:TNC196550 TWY196344:TWY196550 UGU196344:UGU196550 UQQ196344:UQQ196550 VAM196344:VAM196550 VKI196344:VKI196550 VUE196344:VUE196550 WEA196344:WEA196550 WNW196344:WNW196550 WXS196344:WXS196550 BN261880:BN262086 LG261880:LG262086 VC261880:VC262086 AEY261880:AEY262086 AOU261880:AOU262086 AYQ261880:AYQ262086 BIM261880:BIM262086 BSI261880:BSI262086 CCE261880:CCE262086 CMA261880:CMA262086 CVW261880:CVW262086 DFS261880:DFS262086 DPO261880:DPO262086 DZK261880:DZK262086 EJG261880:EJG262086 ETC261880:ETC262086 FCY261880:FCY262086 FMU261880:FMU262086 FWQ261880:FWQ262086 GGM261880:GGM262086 GQI261880:GQI262086 HAE261880:HAE262086 HKA261880:HKA262086 HTW261880:HTW262086 IDS261880:IDS262086 INO261880:INO262086 IXK261880:IXK262086 JHG261880:JHG262086 JRC261880:JRC262086 KAY261880:KAY262086 KKU261880:KKU262086 KUQ261880:KUQ262086 LEM261880:LEM262086 LOI261880:LOI262086 LYE261880:LYE262086 MIA261880:MIA262086 MRW261880:MRW262086 NBS261880:NBS262086 NLO261880:NLO262086 NVK261880:NVK262086 OFG261880:OFG262086 OPC261880:OPC262086 OYY261880:OYY262086 PIU261880:PIU262086 PSQ261880:PSQ262086 QCM261880:QCM262086 QMI261880:QMI262086 QWE261880:QWE262086 RGA261880:RGA262086 RPW261880:RPW262086 RZS261880:RZS262086 SJO261880:SJO262086 STK261880:STK262086 TDG261880:TDG262086 TNC261880:TNC262086 TWY261880:TWY262086 UGU261880:UGU262086 UQQ261880:UQQ262086 VAM261880:VAM262086 VKI261880:VKI262086 VUE261880:VUE262086 WEA261880:WEA262086 WNW261880:WNW262086 WXS261880:WXS262086 BN327416:BN327622 LG327416:LG327622 VC327416:VC327622 AEY327416:AEY327622 AOU327416:AOU327622 AYQ327416:AYQ327622 BIM327416:BIM327622 BSI327416:BSI327622 CCE327416:CCE327622 CMA327416:CMA327622 CVW327416:CVW327622 DFS327416:DFS327622 DPO327416:DPO327622 DZK327416:DZK327622 EJG327416:EJG327622 ETC327416:ETC327622 FCY327416:FCY327622 FMU327416:FMU327622 FWQ327416:FWQ327622 GGM327416:GGM327622 GQI327416:GQI327622 HAE327416:HAE327622 HKA327416:HKA327622 HTW327416:HTW327622 IDS327416:IDS327622 INO327416:INO327622 IXK327416:IXK327622 JHG327416:JHG327622 JRC327416:JRC327622 KAY327416:KAY327622 KKU327416:KKU327622 KUQ327416:KUQ327622 LEM327416:LEM327622 LOI327416:LOI327622 LYE327416:LYE327622 MIA327416:MIA327622 MRW327416:MRW327622 NBS327416:NBS327622 NLO327416:NLO327622 NVK327416:NVK327622 OFG327416:OFG327622 OPC327416:OPC327622 OYY327416:OYY327622 PIU327416:PIU327622 PSQ327416:PSQ327622 QCM327416:QCM327622 QMI327416:QMI327622 QWE327416:QWE327622 RGA327416:RGA327622 RPW327416:RPW327622 RZS327416:RZS327622 SJO327416:SJO327622 STK327416:STK327622 TDG327416:TDG327622 TNC327416:TNC327622 TWY327416:TWY327622 UGU327416:UGU327622 UQQ327416:UQQ327622 VAM327416:VAM327622 VKI327416:VKI327622 VUE327416:VUE327622 WEA327416:WEA327622 WNW327416:WNW327622 WXS327416:WXS327622 BN392952:BN393158 LG392952:LG393158 VC392952:VC393158 AEY392952:AEY393158 AOU392952:AOU393158 AYQ392952:AYQ393158 BIM392952:BIM393158 BSI392952:BSI393158 CCE392952:CCE393158 CMA392952:CMA393158 CVW392952:CVW393158 DFS392952:DFS393158 DPO392952:DPO393158 DZK392952:DZK393158 EJG392952:EJG393158 ETC392952:ETC393158 FCY392952:FCY393158 FMU392952:FMU393158 FWQ392952:FWQ393158 GGM392952:GGM393158 GQI392952:GQI393158 HAE392952:HAE393158 HKA392952:HKA393158 HTW392952:HTW393158 IDS392952:IDS393158 INO392952:INO393158 IXK392952:IXK393158 JHG392952:JHG393158 JRC392952:JRC393158 KAY392952:KAY393158 KKU392952:KKU393158 KUQ392952:KUQ393158 LEM392952:LEM393158 LOI392952:LOI393158 LYE392952:LYE393158 MIA392952:MIA393158 MRW392952:MRW393158 NBS392952:NBS393158 NLO392952:NLO393158 NVK392952:NVK393158 OFG392952:OFG393158 OPC392952:OPC393158 OYY392952:OYY393158 PIU392952:PIU393158 PSQ392952:PSQ393158 QCM392952:QCM393158 QMI392952:QMI393158 QWE392952:QWE393158 RGA392952:RGA393158 RPW392952:RPW393158 RZS392952:RZS393158 SJO392952:SJO393158 STK392952:STK393158 TDG392952:TDG393158 TNC392952:TNC393158 TWY392952:TWY393158 UGU392952:UGU393158 UQQ392952:UQQ393158 VAM392952:VAM393158 VKI392952:VKI393158 VUE392952:VUE393158 WEA392952:WEA393158 WNW392952:WNW393158 WXS392952:WXS393158 BN458488:BN458694 LG458488:LG458694 VC458488:VC458694 AEY458488:AEY458694 AOU458488:AOU458694 AYQ458488:AYQ458694 BIM458488:BIM458694 BSI458488:BSI458694 CCE458488:CCE458694 CMA458488:CMA458694 CVW458488:CVW458694 DFS458488:DFS458694 DPO458488:DPO458694 DZK458488:DZK458694 EJG458488:EJG458694 ETC458488:ETC458694 FCY458488:FCY458694 FMU458488:FMU458694 FWQ458488:FWQ458694 GGM458488:GGM458694 GQI458488:GQI458694 HAE458488:HAE458694 HKA458488:HKA458694 HTW458488:HTW458694 IDS458488:IDS458694 INO458488:INO458694 IXK458488:IXK458694 JHG458488:JHG458694 JRC458488:JRC458694 KAY458488:KAY458694 KKU458488:KKU458694 KUQ458488:KUQ458694 LEM458488:LEM458694 LOI458488:LOI458694 LYE458488:LYE458694 MIA458488:MIA458694 MRW458488:MRW458694 NBS458488:NBS458694 NLO458488:NLO458694 NVK458488:NVK458694 OFG458488:OFG458694 OPC458488:OPC458694 OYY458488:OYY458694 PIU458488:PIU458694 PSQ458488:PSQ458694 QCM458488:QCM458694 QMI458488:QMI458694 QWE458488:QWE458694 RGA458488:RGA458694 RPW458488:RPW458694 RZS458488:RZS458694 SJO458488:SJO458694 STK458488:STK458694 TDG458488:TDG458694 TNC458488:TNC458694 TWY458488:TWY458694 UGU458488:UGU458694 UQQ458488:UQQ458694 VAM458488:VAM458694 VKI458488:VKI458694 VUE458488:VUE458694 WEA458488:WEA458694 WNW458488:WNW458694 WXS458488:WXS458694 BN524024:BN524230 LG524024:LG524230 VC524024:VC524230 AEY524024:AEY524230 AOU524024:AOU524230 AYQ524024:AYQ524230 BIM524024:BIM524230 BSI524024:BSI524230 CCE524024:CCE524230 CMA524024:CMA524230 CVW524024:CVW524230 DFS524024:DFS524230 DPO524024:DPO524230 DZK524024:DZK524230 EJG524024:EJG524230 ETC524024:ETC524230 FCY524024:FCY524230 FMU524024:FMU524230 FWQ524024:FWQ524230 GGM524024:GGM524230 GQI524024:GQI524230 HAE524024:HAE524230 HKA524024:HKA524230 HTW524024:HTW524230 IDS524024:IDS524230 INO524024:INO524230 IXK524024:IXK524230 JHG524024:JHG524230 JRC524024:JRC524230 KAY524024:KAY524230 KKU524024:KKU524230 KUQ524024:KUQ524230 LEM524024:LEM524230 LOI524024:LOI524230 LYE524024:LYE524230 MIA524024:MIA524230 MRW524024:MRW524230 NBS524024:NBS524230 NLO524024:NLO524230 NVK524024:NVK524230 OFG524024:OFG524230 OPC524024:OPC524230 OYY524024:OYY524230 PIU524024:PIU524230 PSQ524024:PSQ524230 QCM524024:QCM524230 QMI524024:QMI524230 QWE524024:QWE524230 RGA524024:RGA524230 RPW524024:RPW524230 RZS524024:RZS524230 SJO524024:SJO524230 STK524024:STK524230 TDG524024:TDG524230 TNC524024:TNC524230 TWY524024:TWY524230 UGU524024:UGU524230 UQQ524024:UQQ524230 VAM524024:VAM524230 VKI524024:VKI524230 VUE524024:VUE524230 WEA524024:WEA524230 WNW524024:WNW524230 WXS524024:WXS524230 BN589560:BN589766 LG589560:LG589766 VC589560:VC589766 AEY589560:AEY589766 AOU589560:AOU589766 AYQ589560:AYQ589766 BIM589560:BIM589766 BSI589560:BSI589766 CCE589560:CCE589766 CMA589560:CMA589766 CVW589560:CVW589766 DFS589560:DFS589766 DPO589560:DPO589766 DZK589560:DZK589766 EJG589560:EJG589766 ETC589560:ETC589766 FCY589560:FCY589766 FMU589560:FMU589766 FWQ589560:FWQ589766 GGM589560:GGM589766 GQI589560:GQI589766 HAE589560:HAE589766 HKA589560:HKA589766 HTW589560:HTW589766 IDS589560:IDS589766 INO589560:INO589766 IXK589560:IXK589766 JHG589560:JHG589766 JRC589560:JRC589766 KAY589560:KAY589766 KKU589560:KKU589766 KUQ589560:KUQ589766 LEM589560:LEM589766 LOI589560:LOI589766 LYE589560:LYE589766 MIA589560:MIA589766 MRW589560:MRW589766 NBS589560:NBS589766 NLO589560:NLO589766 NVK589560:NVK589766 OFG589560:OFG589766 OPC589560:OPC589766 OYY589560:OYY589766 PIU589560:PIU589766 PSQ589560:PSQ589766 QCM589560:QCM589766 QMI589560:QMI589766 QWE589560:QWE589766 RGA589560:RGA589766 RPW589560:RPW589766 RZS589560:RZS589766 SJO589560:SJO589766 STK589560:STK589766 TDG589560:TDG589766 TNC589560:TNC589766 TWY589560:TWY589766 UGU589560:UGU589766 UQQ589560:UQQ589766 VAM589560:VAM589766 VKI589560:VKI589766 VUE589560:VUE589766 WEA589560:WEA589766 WNW589560:WNW589766 WXS589560:WXS589766 BN655096:BN655302 LG655096:LG655302 VC655096:VC655302 AEY655096:AEY655302 AOU655096:AOU655302 AYQ655096:AYQ655302 BIM655096:BIM655302 BSI655096:BSI655302 CCE655096:CCE655302 CMA655096:CMA655302 CVW655096:CVW655302 DFS655096:DFS655302 DPO655096:DPO655302 DZK655096:DZK655302 EJG655096:EJG655302 ETC655096:ETC655302 FCY655096:FCY655302 FMU655096:FMU655302 FWQ655096:FWQ655302 GGM655096:GGM655302 GQI655096:GQI655302 HAE655096:HAE655302 HKA655096:HKA655302 HTW655096:HTW655302 IDS655096:IDS655302 INO655096:INO655302 IXK655096:IXK655302 JHG655096:JHG655302 JRC655096:JRC655302 KAY655096:KAY655302 KKU655096:KKU655302 KUQ655096:KUQ655302 LEM655096:LEM655302 LOI655096:LOI655302 LYE655096:LYE655302 MIA655096:MIA655302 MRW655096:MRW655302 NBS655096:NBS655302 NLO655096:NLO655302 NVK655096:NVK655302 OFG655096:OFG655302 OPC655096:OPC655302 OYY655096:OYY655302 PIU655096:PIU655302 PSQ655096:PSQ655302 QCM655096:QCM655302 QMI655096:QMI655302 QWE655096:QWE655302 RGA655096:RGA655302 RPW655096:RPW655302 RZS655096:RZS655302 SJO655096:SJO655302 STK655096:STK655302 TDG655096:TDG655302 TNC655096:TNC655302 TWY655096:TWY655302 UGU655096:UGU655302 UQQ655096:UQQ655302 VAM655096:VAM655302 VKI655096:VKI655302 VUE655096:VUE655302 WEA655096:WEA655302 WNW655096:WNW655302 WXS655096:WXS655302 BN720632:BN720838 LG720632:LG720838 VC720632:VC720838 AEY720632:AEY720838 AOU720632:AOU720838 AYQ720632:AYQ720838 BIM720632:BIM720838 BSI720632:BSI720838 CCE720632:CCE720838 CMA720632:CMA720838 CVW720632:CVW720838 DFS720632:DFS720838 DPO720632:DPO720838 DZK720632:DZK720838 EJG720632:EJG720838 ETC720632:ETC720838 FCY720632:FCY720838 FMU720632:FMU720838 FWQ720632:FWQ720838 GGM720632:GGM720838 GQI720632:GQI720838 HAE720632:HAE720838 HKA720632:HKA720838 HTW720632:HTW720838 IDS720632:IDS720838 INO720632:INO720838 IXK720632:IXK720838 JHG720632:JHG720838 JRC720632:JRC720838 KAY720632:KAY720838 KKU720632:KKU720838 KUQ720632:KUQ720838 LEM720632:LEM720838 LOI720632:LOI720838 LYE720632:LYE720838 MIA720632:MIA720838 MRW720632:MRW720838 NBS720632:NBS720838 NLO720632:NLO720838 NVK720632:NVK720838 OFG720632:OFG720838 OPC720632:OPC720838 OYY720632:OYY720838 PIU720632:PIU720838 PSQ720632:PSQ720838 QCM720632:QCM720838 QMI720632:QMI720838 QWE720632:QWE720838 RGA720632:RGA720838 RPW720632:RPW720838 RZS720632:RZS720838 SJO720632:SJO720838 STK720632:STK720838 TDG720632:TDG720838 TNC720632:TNC720838 TWY720632:TWY720838 UGU720632:UGU720838 UQQ720632:UQQ720838 VAM720632:VAM720838 VKI720632:VKI720838 VUE720632:VUE720838 WEA720632:WEA720838 WNW720632:WNW720838 WXS720632:WXS720838 BN786168:BN786374 LG786168:LG786374 VC786168:VC786374 AEY786168:AEY786374 AOU786168:AOU786374 AYQ786168:AYQ786374 BIM786168:BIM786374 BSI786168:BSI786374 CCE786168:CCE786374 CMA786168:CMA786374 CVW786168:CVW786374 DFS786168:DFS786374 DPO786168:DPO786374 DZK786168:DZK786374 EJG786168:EJG786374 ETC786168:ETC786374 FCY786168:FCY786374 FMU786168:FMU786374 FWQ786168:FWQ786374 GGM786168:GGM786374 GQI786168:GQI786374 HAE786168:HAE786374 HKA786168:HKA786374 HTW786168:HTW786374 IDS786168:IDS786374 INO786168:INO786374 IXK786168:IXK786374 JHG786168:JHG786374 JRC786168:JRC786374 KAY786168:KAY786374 KKU786168:KKU786374 KUQ786168:KUQ786374 LEM786168:LEM786374 LOI786168:LOI786374 LYE786168:LYE786374 MIA786168:MIA786374 MRW786168:MRW786374 NBS786168:NBS786374 NLO786168:NLO786374 NVK786168:NVK786374 OFG786168:OFG786374 OPC786168:OPC786374 OYY786168:OYY786374 PIU786168:PIU786374 PSQ786168:PSQ786374 QCM786168:QCM786374 QMI786168:QMI786374 QWE786168:QWE786374 RGA786168:RGA786374 RPW786168:RPW786374 RZS786168:RZS786374 SJO786168:SJO786374 STK786168:STK786374 TDG786168:TDG786374 TNC786168:TNC786374 TWY786168:TWY786374 UGU786168:UGU786374 UQQ786168:UQQ786374 VAM786168:VAM786374 VKI786168:VKI786374 VUE786168:VUE786374 WEA786168:WEA786374 WNW786168:WNW786374 WXS786168:WXS786374 BN851704:BN851910 LG851704:LG851910 VC851704:VC851910 AEY851704:AEY851910 AOU851704:AOU851910 AYQ851704:AYQ851910 BIM851704:BIM851910 BSI851704:BSI851910 CCE851704:CCE851910 CMA851704:CMA851910 CVW851704:CVW851910 DFS851704:DFS851910 DPO851704:DPO851910 DZK851704:DZK851910 EJG851704:EJG851910 ETC851704:ETC851910 FCY851704:FCY851910 FMU851704:FMU851910 FWQ851704:FWQ851910 GGM851704:GGM851910 GQI851704:GQI851910 HAE851704:HAE851910 HKA851704:HKA851910 HTW851704:HTW851910 IDS851704:IDS851910 INO851704:INO851910 IXK851704:IXK851910 JHG851704:JHG851910 JRC851704:JRC851910 KAY851704:KAY851910 KKU851704:KKU851910 KUQ851704:KUQ851910 LEM851704:LEM851910 LOI851704:LOI851910 LYE851704:LYE851910 MIA851704:MIA851910 MRW851704:MRW851910 NBS851704:NBS851910 NLO851704:NLO851910 NVK851704:NVK851910 OFG851704:OFG851910 OPC851704:OPC851910 OYY851704:OYY851910 PIU851704:PIU851910 PSQ851704:PSQ851910 QCM851704:QCM851910 QMI851704:QMI851910 QWE851704:QWE851910 RGA851704:RGA851910 RPW851704:RPW851910 RZS851704:RZS851910 SJO851704:SJO851910 STK851704:STK851910 TDG851704:TDG851910 TNC851704:TNC851910 TWY851704:TWY851910 UGU851704:UGU851910 UQQ851704:UQQ851910 VAM851704:VAM851910 VKI851704:VKI851910 VUE851704:VUE851910 WEA851704:WEA851910 WNW851704:WNW851910 WXS851704:WXS851910 BN917240:BN917446 LG917240:LG917446 VC917240:VC917446 AEY917240:AEY917446 AOU917240:AOU917446 AYQ917240:AYQ917446 BIM917240:BIM917446 BSI917240:BSI917446 CCE917240:CCE917446 CMA917240:CMA917446 CVW917240:CVW917446 DFS917240:DFS917446 DPO917240:DPO917446 DZK917240:DZK917446 EJG917240:EJG917446 ETC917240:ETC917446 FCY917240:FCY917446 FMU917240:FMU917446 FWQ917240:FWQ917446 GGM917240:GGM917446 GQI917240:GQI917446 HAE917240:HAE917446 HKA917240:HKA917446 HTW917240:HTW917446 IDS917240:IDS917446 INO917240:INO917446 IXK917240:IXK917446 JHG917240:JHG917446 JRC917240:JRC917446 KAY917240:KAY917446 KKU917240:KKU917446 KUQ917240:KUQ917446 LEM917240:LEM917446 LOI917240:LOI917446 LYE917240:LYE917446 MIA917240:MIA917446 MRW917240:MRW917446 NBS917240:NBS917446 NLO917240:NLO917446 NVK917240:NVK917446 OFG917240:OFG917446 OPC917240:OPC917446 OYY917240:OYY917446 PIU917240:PIU917446 PSQ917240:PSQ917446 QCM917240:QCM917446 QMI917240:QMI917446 QWE917240:QWE917446 RGA917240:RGA917446 RPW917240:RPW917446 RZS917240:RZS917446 SJO917240:SJO917446 STK917240:STK917446 TDG917240:TDG917446 TNC917240:TNC917446 TWY917240:TWY917446 UGU917240:UGU917446 UQQ917240:UQQ917446 VAM917240:VAM917446 VKI917240:VKI917446 VUE917240:VUE917446 WEA917240:WEA917446 WNW917240:WNW917446 WXS917240:WXS917446 BN982776:BN982982 LG982776:LG982982 VC982776:VC982982 AEY982776:AEY982982 AOU982776:AOU982982 AYQ982776:AYQ982982 BIM982776:BIM982982 BSI982776:BSI982982 CCE982776:CCE982982 CMA982776:CMA982982 CVW982776:CVW982982 DFS982776:DFS982982 DPO982776:DPO982982 DZK982776:DZK982982 EJG982776:EJG982982 ETC982776:ETC982982 FCY982776:FCY982982 FMU982776:FMU982982 FWQ982776:FWQ982982 GGM982776:GGM982982 GQI982776:GQI982982 HAE982776:HAE982982 HKA982776:HKA982982 HTW982776:HTW982982 IDS982776:IDS982982 INO982776:INO982982 IXK982776:IXK982982 JHG982776:JHG982982 JRC982776:JRC982982 KAY982776:KAY982982 KKU982776:KKU982982 KUQ982776:KUQ982982 LEM982776:LEM982982 LOI982776:LOI982982 LYE982776:LYE982982 MIA982776:MIA982982 MRW982776:MRW982982 NBS982776:NBS982982 NLO982776:NLO982982 NVK982776:NVK982982 OFG982776:OFG982982 OPC982776:OPC982982 OYY982776:OYY982982 PIU982776:PIU982982 PSQ982776:PSQ982982 QCM982776:QCM982982 QMI982776:QMI982982 QWE982776:QWE982982 RGA982776:RGA982982 RPW982776:RPW982982 RZS982776:RZS982982 SJO982776:SJO982982 STK982776:STK982982 TDG982776:TDG982982 TNC982776:TNC982982 TWY982776:TWY982982 UGU982776:UGU982982 UQQ982776:UQQ982982 VAM982776:VAM982982 VKI982776:VKI982982 VUE982776:VUE982982 WEA982776:WEA982982 WNW982776:WNW982982 WXS982776:WXS982982 WXS5:WXS11 LG5:LG11 VC5:VC11 AEY5:AEY11 AOU5:AOU11 AYQ5:AYQ11 BIM5:BIM11 BSI5:BSI11 CCE5:CCE11 CMA5:CMA11 CVW5:CVW11 DFS5:DFS11 DPO5:DPO11 DZK5:DZK11 EJG5:EJG11 ETC5:ETC11 FCY5:FCY11 FMU5:FMU11 FWQ5:FWQ11 GGM5:GGM11 GQI5:GQI11 HAE5:HAE11 HKA5:HKA11 HTW5:HTW11 IDS5:IDS11 INO5:INO11 IXK5:IXK11 JHG5:JHG11 JRC5:JRC11 KAY5:KAY11 KKU5:KKU11 KUQ5:KUQ11 LEM5:LEM11 LOI5:LOI11 LYE5:LYE11 MIA5:MIA11 MRW5:MRW11 NBS5:NBS11 NLO5:NLO11 NVK5:NVK11 OFG5:OFG11 OPC5:OPC11 OYY5:OYY11 PIU5:PIU11 PSQ5:PSQ11 QCM5:QCM11 QMI5:QMI11 QWE5:QWE11 RGA5:RGA11 RPW5:RPW11 RZS5:RZS11 SJO5:SJO11 STK5:STK11 TDG5:TDG11 TNC5:TNC11 TWY5:TWY11 UGU5:UGU11 UQQ5:UQQ11 VAM5:VAM11 VKI5:VKI11 VUE5:VUE11 WEA5:WEA11 WNW5:WNW11">
      <formula1>0</formula1>
      <formula2>100000000</formula2>
    </dataValidation>
    <dataValidation type="whole" allowBlank="1" showInputMessage="1" showErrorMessage="1" sqref="BS65272:BU65478 LO65272:LO65478 VK65272:VK65478 AFG65272:AFG65478 APC65272:APC65478 AYY65272:AYY65478 BIU65272:BIU65478 BSQ65272:BSQ65478 CCM65272:CCM65478 CMI65272:CMI65478 CWE65272:CWE65478 DGA65272:DGA65478 DPW65272:DPW65478 DZS65272:DZS65478 EJO65272:EJO65478 ETK65272:ETK65478 FDG65272:FDG65478 FNC65272:FNC65478 FWY65272:FWY65478 GGU65272:GGU65478 GQQ65272:GQQ65478 HAM65272:HAM65478 HKI65272:HKI65478 HUE65272:HUE65478 IEA65272:IEA65478 INW65272:INW65478 IXS65272:IXS65478 JHO65272:JHO65478 JRK65272:JRK65478 KBG65272:KBG65478 KLC65272:KLC65478 KUY65272:KUY65478 LEU65272:LEU65478 LOQ65272:LOQ65478 LYM65272:LYM65478 MII65272:MII65478 MSE65272:MSE65478 NCA65272:NCA65478 NLW65272:NLW65478 NVS65272:NVS65478 OFO65272:OFO65478 OPK65272:OPK65478 OZG65272:OZG65478 PJC65272:PJC65478 PSY65272:PSY65478 QCU65272:QCU65478 QMQ65272:QMQ65478 QWM65272:QWM65478 RGI65272:RGI65478 RQE65272:RQE65478 SAA65272:SAA65478 SJW65272:SJW65478 STS65272:STS65478 TDO65272:TDO65478 TNK65272:TNK65478 TXG65272:TXG65478 UHC65272:UHC65478 UQY65272:UQY65478 VAU65272:VAU65478 VKQ65272:VKQ65478 VUM65272:VUM65478 WEI65272:WEI65478 WOE65272:WOE65478 WYA65272:WYA65478 BS130808:BU131014 LO130808:LO131014 VK130808:VK131014 AFG130808:AFG131014 APC130808:APC131014 AYY130808:AYY131014 BIU130808:BIU131014 BSQ130808:BSQ131014 CCM130808:CCM131014 CMI130808:CMI131014 CWE130808:CWE131014 DGA130808:DGA131014 DPW130808:DPW131014 DZS130808:DZS131014 EJO130808:EJO131014 ETK130808:ETK131014 FDG130808:FDG131014 FNC130808:FNC131014 FWY130808:FWY131014 GGU130808:GGU131014 GQQ130808:GQQ131014 HAM130808:HAM131014 HKI130808:HKI131014 HUE130808:HUE131014 IEA130808:IEA131014 INW130808:INW131014 IXS130808:IXS131014 JHO130808:JHO131014 JRK130808:JRK131014 KBG130808:KBG131014 KLC130808:KLC131014 KUY130808:KUY131014 LEU130808:LEU131014 LOQ130808:LOQ131014 LYM130808:LYM131014 MII130808:MII131014 MSE130808:MSE131014 NCA130808:NCA131014 NLW130808:NLW131014 NVS130808:NVS131014 OFO130808:OFO131014 OPK130808:OPK131014 OZG130808:OZG131014 PJC130808:PJC131014 PSY130808:PSY131014 QCU130808:QCU131014 QMQ130808:QMQ131014 QWM130808:QWM131014 RGI130808:RGI131014 RQE130808:RQE131014 SAA130808:SAA131014 SJW130808:SJW131014 STS130808:STS131014 TDO130808:TDO131014 TNK130808:TNK131014 TXG130808:TXG131014 UHC130808:UHC131014 UQY130808:UQY131014 VAU130808:VAU131014 VKQ130808:VKQ131014 VUM130808:VUM131014 WEI130808:WEI131014 WOE130808:WOE131014 WYA130808:WYA131014 BS196344:BU196550 LO196344:LO196550 VK196344:VK196550 AFG196344:AFG196550 APC196344:APC196550 AYY196344:AYY196550 BIU196344:BIU196550 BSQ196344:BSQ196550 CCM196344:CCM196550 CMI196344:CMI196550 CWE196344:CWE196550 DGA196344:DGA196550 DPW196344:DPW196550 DZS196344:DZS196550 EJO196344:EJO196550 ETK196344:ETK196550 FDG196344:FDG196550 FNC196344:FNC196550 FWY196344:FWY196550 GGU196344:GGU196550 GQQ196344:GQQ196550 HAM196344:HAM196550 HKI196344:HKI196550 HUE196344:HUE196550 IEA196344:IEA196550 INW196344:INW196550 IXS196344:IXS196550 JHO196344:JHO196550 JRK196344:JRK196550 KBG196344:KBG196550 KLC196344:KLC196550 KUY196344:KUY196550 LEU196344:LEU196550 LOQ196344:LOQ196550 LYM196344:LYM196550 MII196344:MII196550 MSE196344:MSE196550 NCA196344:NCA196550 NLW196344:NLW196550 NVS196344:NVS196550 OFO196344:OFO196550 OPK196344:OPK196550 OZG196344:OZG196550 PJC196344:PJC196550 PSY196344:PSY196550 QCU196344:QCU196550 QMQ196344:QMQ196550 QWM196344:QWM196550 RGI196344:RGI196550 RQE196344:RQE196550 SAA196344:SAA196550 SJW196344:SJW196550 STS196344:STS196550 TDO196344:TDO196550 TNK196344:TNK196550 TXG196344:TXG196550 UHC196344:UHC196550 UQY196344:UQY196550 VAU196344:VAU196550 VKQ196344:VKQ196550 VUM196344:VUM196550 WEI196344:WEI196550 WOE196344:WOE196550 WYA196344:WYA196550 BS261880:BU262086 LO261880:LO262086 VK261880:VK262086 AFG261880:AFG262086 APC261880:APC262086 AYY261880:AYY262086 BIU261880:BIU262086 BSQ261880:BSQ262086 CCM261880:CCM262086 CMI261880:CMI262086 CWE261880:CWE262086 DGA261880:DGA262086 DPW261880:DPW262086 DZS261880:DZS262086 EJO261880:EJO262086 ETK261880:ETK262086 FDG261880:FDG262086 FNC261880:FNC262086 FWY261880:FWY262086 GGU261880:GGU262086 GQQ261880:GQQ262086 HAM261880:HAM262086 HKI261880:HKI262086 HUE261880:HUE262086 IEA261880:IEA262086 INW261880:INW262086 IXS261880:IXS262086 JHO261880:JHO262086 JRK261880:JRK262086 KBG261880:KBG262086 KLC261880:KLC262086 KUY261880:KUY262086 LEU261880:LEU262086 LOQ261880:LOQ262086 LYM261880:LYM262086 MII261880:MII262086 MSE261880:MSE262086 NCA261880:NCA262086 NLW261880:NLW262086 NVS261880:NVS262086 OFO261880:OFO262086 OPK261880:OPK262086 OZG261880:OZG262086 PJC261880:PJC262086 PSY261880:PSY262086 QCU261880:QCU262086 QMQ261880:QMQ262086 QWM261880:QWM262086 RGI261880:RGI262086 RQE261880:RQE262086 SAA261880:SAA262086 SJW261880:SJW262086 STS261880:STS262086 TDO261880:TDO262086 TNK261880:TNK262086 TXG261880:TXG262086 UHC261880:UHC262086 UQY261880:UQY262086 VAU261880:VAU262086 VKQ261880:VKQ262086 VUM261880:VUM262086 WEI261880:WEI262086 WOE261880:WOE262086 WYA261880:WYA262086 BS327416:BU327622 LO327416:LO327622 VK327416:VK327622 AFG327416:AFG327622 APC327416:APC327622 AYY327416:AYY327622 BIU327416:BIU327622 BSQ327416:BSQ327622 CCM327416:CCM327622 CMI327416:CMI327622 CWE327416:CWE327622 DGA327416:DGA327622 DPW327416:DPW327622 DZS327416:DZS327622 EJO327416:EJO327622 ETK327416:ETK327622 FDG327416:FDG327622 FNC327416:FNC327622 FWY327416:FWY327622 GGU327416:GGU327622 GQQ327416:GQQ327622 HAM327416:HAM327622 HKI327416:HKI327622 HUE327416:HUE327622 IEA327416:IEA327622 INW327416:INW327622 IXS327416:IXS327622 JHO327416:JHO327622 JRK327416:JRK327622 KBG327416:KBG327622 KLC327416:KLC327622 KUY327416:KUY327622 LEU327416:LEU327622 LOQ327416:LOQ327622 LYM327416:LYM327622 MII327416:MII327622 MSE327416:MSE327622 NCA327416:NCA327622 NLW327416:NLW327622 NVS327416:NVS327622 OFO327416:OFO327622 OPK327416:OPK327622 OZG327416:OZG327622 PJC327416:PJC327622 PSY327416:PSY327622 QCU327416:QCU327622 QMQ327416:QMQ327622 QWM327416:QWM327622 RGI327416:RGI327622 RQE327416:RQE327622 SAA327416:SAA327622 SJW327416:SJW327622 STS327416:STS327622 TDO327416:TDO327622 TNK327416:TNK327622 TXG327416:TXG327622 UHC327416:UHC327622 UQY327416:UQY327622 VAU327416:VAU327622 VKQ327416:VKQ327622 VUM327416:VUM327622 WEI327416:WEI327622 WOE327416:WOE327622 WYA327416:WYA327622 BS392952:BU393158 LO392952:LO393158 VK392952:VK393158 AFG392952:AFG393158 APC392952:APC393158 AYY392952:AYY393158 BIU392952:BIU393158 BSQ392952:BSQ393158 CCM392952:CCM393158 CMI392952:CMI393158 CWE392952:CWE393158 DGA392952:DGA393158 DPW392952:DPW393158 DZS392952:DZS393158 EJO392952:EJO393158 ETK392952:ETK393158 FDG392952:FDG393158 FNC392952:FNC393158 FWY392952:FWY393158 GGU392952:GGU393158 GQQ392952:GQQ393158 HAM392952:HAM393158 HKI392952:HKI393158 HUE392952:HUE393158 IEA392952:IEA393158 INW392952:INW393158 IXS392952:IXS393158 JHO392952:JHO393158 JRK392952:JRK393158 KBG392952:KBG393158 KLC392952:KLC393158 KUY392952:KUY393158 LEU392952:LEU393158 LOQ392952:LOQ393158 LYM392952:LYM393158 MII392952:MII393158 MSE392952:MSE393158 NCA392952:NCA393158 NLW392952:NLW393158 NVS392952:NVS393158 OFO392952:OFO393158 OPK392952:OPK393158 OZG392952:OZG393158 PJC392952:PJC393158 PSY392952:PSY393158 QCU392952:QCU393158 QMQ392952:QMQ393158 QWM392952:QWM393158 RGI392952:RGI393158 RQE392952:RQE393158 SAA392952:SAA393158 SJW392952:SJW393158 STS392952:STS393158 TDO392952:TDO393158 TNK392952:TNK393158 TXG392952:TXG393158 UHC392952:UHC393158 UQY392952:UQY393158 VAU392952:VAU393158 VKQ392952:VKQ393158 VUM392952:VUM393158 WEI392952:WEI393158 WOE392952:WOE393158 WYA392952:WYA393158 BS458488:BU458694 LO458488:LO458694 VK458488:VK458694 AFG458488:AFG458694 APC458488:APC458694 AYY458488:AYY458694 BIU458488:BIU458694 BSQ458488:BSQ458694 CCM458488:CCM458694 CMI458488:CMI458694 CWE458488:CWE458694 DGA458488:DGA458694 DPW458488:DPW458694 DZS458488:DZS458694 EJO458488:EJO458694 ETK458488:ETK458694 FDG458488:FDG458694 FNC458488:FNC458694 FWY458488:FWY458694 GGU458488:GGU458694 GQQ458488:GQQ458694 HAM458488:HAM458694 HKI458488:HKI458694 HUE458488:HUE458694 IEA458488:IEA458694 INW458488:INW458694 IXS458488:IXS458694 JHO458488:JHO458694 JRK458488:JRK458694 KBG458488:KBG458694 KLC458488:KLC458694 KUY458488:KUY458694 LEU458488:LEU458694 LOQ458488:LOQ458694 LYM458488:LYM458694 MII458488:MII458694 MSE458488:MSE458694 NCA458488:NCA458694 NLW458488:NLW458694 NVS458488:NVS458694 OFO458488:OFO458694 OPK458488:OPK458694 OZG458488:OZG458694 PJC458488:PJC458694 PSY458488:PSY458694 QCU458488:QCU458694 QMQ458488:QMQ458694 QWM458488:QWM458694 RGI458488:RGI458694 RQE458488:RQE458694 SAA458488:SAA458694 SJW458488:SJW458694 STS458488:STS458694 TDO458488:TDO458694 TNK458488:TNK458694 TXG458488:TXG458694 UHC458488:UHC458694 UQY458488:UQY458694 VAU458488:VAU458694 VKQ458488:VKQ458694 VUM458488:VUM458694 WEI458488:WEI458694 WOE458488:WOE458694 WYA458488:WYA458694 BS524024:BU524230 LO524024:LO524230 VK524024:VK524230 AFG524024:AFG524230 APC524024:APC524230 AYY524024:AYY524230 BIU524024:BIU524230 BSQ524024:BSQ524230 CCM524024:CCM524230 CMI524024:CMI524230 CWE524024:CWE524230 DGA524024:DGA524230 DPW524024:DPW524230 DZS524024:DZS524230 EJO524024:EJO524230 ETK524024:ETK524230 FDG524024:FDG524230 FNC524024:FNC524230 FWY524024:FWY524230 GGU524024:GGU524230 GQQ524024:GQQ524230 HAM524024:HAM524230 HKI524024:HKI524230 HUE524024:HUE524230 IEA524024:IEA524230 INW524024:INW524230 IXS524024:IXS524230 JHO524024:JHO524230 JRK524024:JRK524230 KBG524024:KBG524230 KLC524024:KLC524230 KUY524024:KUY524230 LEU524024:LEU524230 LOQ524024:LOQ524230 LYM524024:LYM524230 MII524024:MII524230 MSE524024:MSE524230 NCA524024:NCA524230 NLW524024:NLW524230 NVS524024:NVS524230 OFO524024:OFO524230 OPK524024:OPK524230 OZG524024:OZG524230 PJC524024:PJC524230 PSY524024:PSY524230 QCU524024:QCU524230 QMQ524024:QMQ524230 QWM524024:QWM524230 RGI524024:RGI524230 RQE524024:RQE524230 SAA524024:SAA524230 SJW524024:SJW524230 STS524024:STS524230 TDO524024:TDO524230 TNK524024:TNK524230 TXG524024:TXG524230 UHC524024:UHC524230 UQY524024:UQY524230 VAU524024:VAU524230 VKQ524024:VKQ524230 VUM524024:VUM524230 WEI524024:WEI524230 WOE524024:WOE524230 WYA524024:WYA524230 BS589560:BU589766 LO589560:LO589766 VK589560:VK589766 AFG589560:AFG589766 APC589560:APC589766 AYY589560:AYY589766 BIU589560:BIU589766 BSQ589560:BSQ589766 CCM589560:CCM589766 CMI589560:CMI589766 CWE589560:CWE589766 DGA589560:DGA589766 DPW589560:DPW589766 DZS589560:DZS589766 EJO589560:EJO589766 ETK589560:ETK589766 FDG589560:FDG589766 FNC589560:FNC589766 FWY589560:FWY589766 GGU589560:GGU589766 GQQ589560:GQQ589766 HAM589560:HAM589766 HKI589560:HKI589766 HUE589560:HUE589766 IEA589560:IEA589766 INW589560:INW589766 IXS589560:IXS589766 JHO589560:JHO589766 JRK589560:JRK589766 KBG589560:KBG589766 KLC589560:KLC589766 KUY589560:KUY589766 LEU589560:LEU589766 LOQ589560:LOQ589766 LYM589560:LYM589766 MII589560:MII589766 MSE589560:MSE589766 NCA589560:NCA589766 NLW589560:NLW589766 NVS589560:NVS589766 OFO589560:OFO589766 OPK589560:OPK589766 OZG589560:OZG589766 PJC589560:PJC589766 PSY589560:PSY589766 QCU589560:QCU589766 QMQ589560:QMQ589766 QWM589560:QWM589766 RGI589560:RGI589766 RQE589560:RQE589766 SAA589560:SAA589766 SJW589560:SJW589766 STS589560:STS589766 TDO589560:TDO589766 TNK589560:TNK589766 TXG589560:TXG589766 UHC589560:UHC589766 UQY589560:UQY589766 VAU589560:VAU589766 VKQ589560:VKQ589766 VUM589560:VUM589766 WEI589560:WEI589766 WOE589560:WOE589766 WYA589560:WYA589766 BS655096:BU655302 LO655096:LO655302 VK655096:VK655302 AFG655096:AFG655302 APC655096:APC655302 AYY655096:AYY655302 BIU655096:BIU655302 BSQ655096:BSQ655302 CCM655096:CCM655302 CMI655096:CMI655302 CWE655096:CWE655302 DGA655096:DGA655302 DPW655096:DPW655302 DZS655096:DZS655302 EJO655096:EJO655302 ETK655096:ETK655302 FDG655096:FDG655302 FNC655096:FNC655302 FWY655096:FWY655302 GGU655096:GGU655302 GQQ655096:GQQ655302 HAM655096:HAM655302 HKI655096:HKI655302 HUE655096:HUE655302 IEA655096:IEA655302 INW655096:INW655302 IXS655096:IXS655302 JHO655096:JHO655302 JRK655096:JRK655302 KBG655096:KBG655302 KLC655096:KLC655302 KUY655096:KUY655302 LEU655096:LEU655302 LOQ655096:LOQ655302 LYM655096:LYM655302 MII655096:MII655302 MSE655096:MSE655302 NCA655096:NCA655302 NLW655096:NLW655302 NVS655096:NVS655302 OFO655096:OFO655302 OPK655096:OPK655302 OZG655096:OZG655302 PJC655096:PJC655302 PSY655096:PSY655302 QCU655096:QCU655302 QMQ655096:QMQ655302 QWM655096:QWM655302 RGI655096:RGI655302 RQE655096:RQE655302 SAA655096:SAA655302 SJW655096:SJW655302 STS655096:STS655302 TDO655096:TDO655302 TNK655096:TNK655302 TXG655096:TXG655302 UHC655096:UHC655302 UQY655096:UQY655302 VAU655096:VAU655302 VKQ655096:VKQ655302 VUM655096:VUM655302 WEI655096:WEI655302 WOE655096:WOE655302 WYA655096:WYA655302 BS720632:BU720838 LO720632:LO720838 VK720632:VK720838 AFG720632:AFG720838 APC720632:APC720838 AYY720632:AYY720838 BIU720632:BIU720838 BSQ720632:BSQ720838 CCM720632:CCM720838 CMI720632:CMI720838 CWE720632:CWE720838 DGA720632:DGA720838 DPW720632:DPW720838 DZS720632:DZS720838 EJO720632:EJO720838 ETK720632:ETK720838 FDG720632:FDG720838 FNC720632:FNC720838 FWY720632:FWY720838 GGU720632:GGU720838 GQQ720632:GQQ720838 HAM720632:HAM720838 HKI720632:HKI720838 HUE720632:HUE720838 IEA720632:IEA720838 INW720632:INW720838 IXS720632:IXS720838 JHO720632:JHO720838 JRK720632:JRK720838 KBG720632:KBG720838 KLC720632:KLC720838 KUY720632:KUY720838 LEU720632:LEU720838 LOQ720632:LOQ720838 LYM720632:LYM720838 MII720632:MII720838 MSE720632:MSE720838 NCA720632:NCA720838 NLW720632:NLW720838 NVS720632:NVS720838 OFO720632:OFO720838 OPK720632:OPK720838 OZG720632:OZG720838 PJC720632:PJC720838 PSY720632:PSY720838 QCU720632:QCU720838 QMQ720632:QMQ720838 QWM720632:QWM720838 RGI720632:RGI720838 RQE720632:RQE720838 SAA720632:SAA720838 SJW720632:SJW720838 STS720632:STS720838 TDO720632:TDO720838 TNK720632:TNK720838 TXG720632:TXG720838 UHC720632:UHC720838 UQY720632:UQY720838 VAU720632:VAU720838 VKQ720632:VKQ720838 VUM720632:VUM720838 WEI720632:WEI720838 WOE720632:WOE720838 WYA720632:WYA720838 BS786168:BU786374 LO786168:LO786374 VK786168:VK786374 AFG786168:AFG786374 APC786168:APC786374 AYY786168:AYY786374 BIU786168:BIU786374 BSQ786168:BSQ786374 CCM786168:CCM786374 CMI786168:CMI786374 CWE786168:CWE786374 DGA786168:DGA786374 DPW786168:DPW786374 DZS786168:DZS786374 EJO786168:EJO786374 ETK786168:ETK786374 FDG786168:FDG786374 FNC786168:FNC786374 FWY786168:FWY786374 GGU786168:GGU786374 GQQ786168:GQQ786374 HAM786168:HAM786374 HKI786168:HKI786374 HUE786168:HUE786374 IEA786168:IEA786374 INW786168:INW786374 IXS786168:IXS786374 JHO786168:JHO786374 JRK786168:JRK786374 KBG786168:KBG786374 KLC786168:KLC786374 KUY786168:KUY786374 LEU786168:LEU786374 LOQ786168:LOQ786374 LYM786168:LYM786374 MII786168:MII786374 MSE786168:MSE786374 NCA786168:NCA786374 NLW786168:NLW786374 NVS786168:NVS786374 OFO786168:OFO786374 OPK786168:OPK786374 OZG786168:OZG786374 PJC786168:PJC786374 PSY786168:PSY786374 QCU786168:QCU786374 QMQ786168:QMQ786374 QWM786168:QWM786374 RGI786168:RGI786374 RQE786168:RQE786374 SAA786168:SAA786374 SJW786168:SJW786374 STS786168:STS786374 TDO786168:TDO786374 TNK786168:TNK786374 TXG786168:TXG786374 UHC786168:UHC786374 UQY786168:UQY786374 VAU786168:VAU786374 VKQ786168:VKQ786374 VUM786168:VUM786374 WEI786168:WEI786374 WOE786168:WOE786374 WYA786168:WYA786374 BS851704:BU851910 LO851704:LO851910 VK851704:VK851910 AFG851704:AFG851910 APC851704:APC851910 AYY851704:AYY851910 BIU851704:BIU851910 BSQ851704:BSQ851910 CCM851704:CCM851910 CMI851704:CMI851910 CWE851704:CWE851910 DGA851704:DGA851910 DPW851704:DPW851910 DZS851704:DZS851910 EJO851704:EJO851910 ETK851704:ETK851910 FDG851704:FDG851910 FNC851704:FNC851910 FWY851704:FWY851910 GGU851704:GGU851910 GQQ851704:GQQ851910 HAM851704:HAM851910 HKI851704:HKI851910 HUE851704:HUE851910 IEA851704:IEA851910 INW851704:INW851910 IXS851704:IXS851910 JHO851704:JHO851910 JRK851704:JRK851910 KBG851704:KBG851910 KLC851704:KLC851910 KUY851704:KUY851910 LEU851704:LEU851910 LOQ851704:LOQ851910 LYM851704:LYM851910 MII851704:MII851910 MSE851704:MSE851910 NCA851704:NCA851910 NLW851704:NLW851910 NVS851704:NVS851910 OFO851704:OFO851910 OPK851704:OPK851910 OZG851704:OZG851910 PJC851704:PJC851910 PSY851704:PSY851910 QCU851704:QCU851910 QMQ851704:QMQ851910 QWM851704:QWM851910 RGI851704:RGI851910 RQE851704:RQE851910 SAA851704:SAA851910 SJW851704:SJW851910 STS851704:STS851910 TDO851704:TDO851910 TNK851704:TNK851910 TXG851704:TXG851910 UHC851704:UHC851910 UQY851704:UQY851910 VAU851704:VAU851910 VKQ851704:VKQ851910 VUM851704:VUM851910 WEI851704:WEI851910 WOE851704:WOE851910 WYA851704:WYA851910 BS917240:BU917446 LO917240:LO917446 VK917240:VK917446 AFG917240:AFG917446 APC917240:APC917446 AYY917240:AYY917446 BIU917240:BIU917446 BSQ917240:BSQ917446 CCM917240:CCM917446 CMI917240:CMI917446 CWE917240:CWE917446 DGA917240:DGA917446 DPW917240:DPW917446 DZS917240:DZS917446 EJO917240:EJO917446 ETK917240:ETK917446 FDG917240:FDG917446 FNC917240:FNC917446 FWY917240:FWY917446 GGU917240:GGU917446 GQQ917240:GQQ917446 HAM917240:HAM917446 HKI917240:HKI917446 HUE917240:HUE917446 IEA917240:IEA917446 INW917240:INW917446 IXS917240:IXS917446 JHO917240:JHO917446 JRK917240:JRK917446 KBG917240:KBG917446 KLC917240:KLC917446 KUY917240:KUY917446 LEU917240:LEU917446 LOQ917240:LOQ917446 LYM917240:LYM917446 MII917240:MII917446 MSE917240:MSE917446 NCA917240:NCA917446 NLW917240:NLW917446 NVS917240:NVS917446 OFO917240:OFO917446 OPK917240:OPK917446 OZG917240:OZG917446 PJC917240:PJC917446 PSY917240:PSY917446 QCU917240:QCU917446 QMQ917240:QMQ917446 QWM917240:QWM917446 RGI917240:RGI917446 RQE917240:RQE917446 SAA917240:SAA917446 SJW917240:SJW917446 STS917240:STS917446 TDO917240:TDO917446 TNK917240:TNK917446 TXG917240:TXG917446 UHC917240:UHC917446 UQY917240:UQY917446 VAU917240:VAU917446 VKQ917240:VKQ917446 VUM917240:VUM917446 WEI917240:WEI917446 WOE917240:WOE917446 WYA917240:WYA917446 BS982776:BU982982 LO982776:LO982982 VK982776:VK982982 AFG982776:AFG982982 APC982776:APC982982 AYY982776:AYY982982 BIU982776:BIU982982 BSQ982776:BSQ982982 CCM982776:CCM982982 CMI982776:CMI982982 CWE982776:CWE982982 DGA982776:DGA982982 DPW982776:DPW982982 DZS982776:DZS982982 EJO982776:EJO982982 ETK982776:ETK982982 FDG982776:FDG982982 FNC982776:FNC982982 FWY982776:FWY982982 GGU982776:GGU982982 GQQ982776:GQQ982982 HAM982776:HAM982982 HKI982776:HKI982982 HUE982776:HUE982982 IEA982776:IEA982982 INW982776:INW982982 IXS982776:IXS982982 JHO982776:JHO982982 JRK982776:JRK982982 KBG982776:KBG982982 KLC982776:KLC982982 KUY982776:KUY982982 LEU982776:LEU982982 LOQ982776:LOQ982982 LYM982776:LYM982982 MII982776:MII982982 MSE982776:MSE982982 NCA982776:NCA982982 NLW982776:NLW982982 NVS982776:NVS982982 OFO982776:OFO982982 OPK982776:OPK982982 OZG982776:OZG982982 PJC982776:PJC982982 PSY982776:PSY982982 QCU982776:QCU982982 QMQ982776:QMQ982982 QWM982776:QWM982982 RGI982776:RGI982982 RQE982776:RQE982982 SAA982776:SAA982982 SJW982776:SJW982982 STS982776:STS982982 TDO982776:TDO982982 TNK982776:TNK982982 TXG982776:TXG982982 UHC982776:UHC982982 UQY982776:UQY982982 VAU982776:VAU982982 VKQ982776:VKQ982982 VUM982776:VUM982982 WEI982776:WEI982982 WOE982776:WOE982982 WYA982776:WYA982982 WOE5:WOE11 WYA5:WYA11 LO5:LO11 VK5:VK11 AFG5:AFG11 APC5:APC11 AYY5:AYY11 BIU5:BIU11 BSQ5:BSQ11 CCM5:CCM11 CMI5:CMI11 CWE5:CWE11 DGA5:DGA11 DPW5:DPW11 DZS5:DZS11 EJO5:EJO11 ETK5:ETK11 FDG5:FDG11 FNC5:FNC11 FWY5:FWY11 GGU5:GGU11 GQQ5:GQQ11 HAM5:HAM11 HKI5:HKI11 HUE5:HUE11 IEA5:IEA11 INW5:INW11 IXS5:IXS11 JHO5:JHO11 JRK5:JRK11 KBG5:KBG11 KLC5:KLC11 KUY5:KUY11 LEU5:LEU11 LOQ5:LOQ11 LYM5:LYM11 MII5:MII11 MSE5:MSE11 NCA5:NCA11 NLW5:NLW11 NVS5:NVS11 OFO5:OFO11 OPK5:OPK11 OZG5:OZG11 PJC5:PJC11 PSY5:PSY11 QCU5:QCU11 QMQ5:QMQ11 QWM5:QWM11 RGI5:RGI11 RQE5:RQE11 SAA5:SAA11 SJW5:SJW11 STS5:STS11 TDO5:TDO11 TNK5:TNK11 TXG5:TXG11 UHC5:UHC11 UQY5:UQY11 VAU5:VAU11 VKQ5:VKQ11 VUM5:VUM11 WEI5:WEI11">
      <formula1>0</formula1>
      <formula2>1000000000000000</formula2>
    </dataValidation>
    <dataValidation type="whole" allowBlank="1" showInputMessage="1" showErrorMessage="1" sqref="BV65272:BV65478 LP65272:LP65478 VL65272:VL65478 AFH65272:AFH65478 APD65272:APD65478 AYZ65272:AYZ65478 BIV65272:BIV65478 BSR65272:BSR65478 CCN65272:CCN65478 CMJ65272:CMJ65478 CWF65272:CWF65478 DGB65272:DGB65478 DPX65272:DPX65478 DZT65272:DZT65478 EJP65272:EJP65478 ETL65272:ETL65478 FDH65272:FDH65478 FND65272:FND65478 FWZ65272:FWZ65478 GGV65272:GGV65478 GQR65272:GQR65478 HAN65272:HAN65478 HKJ65272:HKJ65478 HUF65272:HUF65478 IEB65272:IEB65478 INX65272:INX65478 IXT65272:IXT65478 JHP65272:JHP65478 JRL65272:JRL65478 KBH65272:KBH65478 KLD65272:KLD65478 KUZ65272:KUZ65478 LEV65272:LEV65478 LOR65272:LOR65478 LYN65272:LYN65478 MIJ65272:MIJ65478 MSF65272:MSF65478 NCB65272:NCB65478 NLX65272:NLX65478 NVT65272:NVT65478 OFP65272:OFP65478 OPL65272:OPL65478 OZH65272:OZH65478 PJD65272:PJD65478 PSZ65272:PSZ65478 QCV65272:QCV65478 QMR65272:QMR65478 QWN65272:QWN65478 RGJ65272:RGJ65478 RQF65272:RQF65478 SAB65272:SAB65478 SJX65272:SJX65478 STT65272:STT65478 TDP65272:TDP65478 TNL65272:TNL65478 TXH65272:TXH65478 UHD65272:UHD65478 UQZ65272:UQZ65478 VAV65272:VAV65478 VKR65272:VKR65478 VUN65272:VUN65478 WEJ65272:WEJ65478 WOF65272:WOF65478 WYB65272:WYB65478 BV130808:BV131014 LP130808:LP131014 VL130808:VL131014 AFH130808:AFH131014 APD130808:APD131014 AYZ130808:AYZ131014 BIV130808:BIV131014 BSR130808:BSR131014 CCN130808:CCN131014 CMJ130808:CMJ131014 CWF130808:CWF131014 DGB130808:DGB131014 DPX130808:DPX131014 DZT130808:DZT131014 EJP130808:EJP131014 ETL130808:ETL131014 FDH130808:FDH131014 FND130808:FND131014 FWZ130808:FWZ131014 GGV130808:GGV131014 GQR130808:GQR131014 HAN130808:HAN131014 HKJ130808:HKJ131014 HUF130808:HUF131014 IEB130808:IEB131014 INX130808:INX131014 IXT130808:IXT131014 JHP130808:JHP131014 JRL130808:JRL131014 KBH130808:KBH131014 KLD130808:KLD131014 KUZ130808:KUZ131014 LEV130808:LEV131014 LOR130808:LOR131014 LYN130808:LYN131014 MIJ130808:MIJ131014 MSF130808:MSF131014 NCB130808:NCB131014 NLX130808:NLX131014 NVT130808:NVT131014 OFP130808:OFP131014 OPL130808:OPL131014 OZH130808:OZH131014 PJD130808:PJD131014 PSZ130808:PSZ131014 QCV130808:QCV131014 QMR130808:QMR131014 QWN130808:QWN131014 RGJ130808:RGJ131014 RQF130808:RQF131014 SAB130808:SAB131014 SJX130808:SJX131014 STT130808:STT131014 TDP130808:TDP131014 TNL130808:TNL131014 TXH130808:TXH131014 UHD130808:UHD131014 UQZ130808:UQZ131014 VAV130808:VAV131014 VKR130808:VKR131014 VUN130808:VUN131014 WEJ130808:WEJ131014 WOF130808:WOF131014 WYB130808:WYB131014 BV196344:BV196550 LP196344:LP196550 VL196344:VL196550 AFH196344:AFH196550 APD196344:APD196550 AYZ196344:AYZ196550 BIV196344:BIV196550 BSR196344:BSR196550 CCN196344:CCN196550 CMJ196344:CMJ196550 CWF196344:CWF196550 DGB196344:DGB196550 DPX196344:DPX196550 DZT196344:DZT196550 EJP196344:EJP196550 ETL196344:ETL196550 FDH196344:FDH196550 FND196344:FND196550 FWZ196344:FWZ196550 GGV196344:GGV196550 GQR196344:GQR196550 HAN196344:HAN196550 HKJ196344:HKJ196550 HUF196344:HUF196550 IEB196344:IEB196550 INX196344:INX196550 IXT196344:IXT196550 JHP196344:JHP196550 JRL196344:JRL196550 KBH196344:KBH196550 KLD196344:KLD196550 KUZ196344:KUZ196550 LEV196344:LEV196550 LOR196344:LOR196550 LYN196344:LYN196550 MIJ196344:MIJ196550 MSF196344:MSF196550 NCB196344:NCB196550 NLX196344:NLX196550 NVT196344:NVT196550 OFP196344:OFP196550 OPL196344:OPL196550 OZH196344:OZH196550 PJD196344:PJD196550 PSZ196344:PSZ196550 QCV196344:QCV196550 QMR196344:QMR196550 QWN196344:QWN196550 RGJ196344:RGJ196550 RQF196344:RQF196550 SAB196344:SAB196550 SJX196344:SJX196550 STT196344:STT196550 TDP196344:TDP196550 TNL196344:TNL196550 TXH196344:TXH196550 UHD196344:UHD196550 UQZ196344:UQZ196550 VAV196344:VAV196550 VKR196344:VKR196550 VUN196344:VUN196550 WEJ196344:WEJ196550 WOF196344:WOF196550 WYB196344:WYB196550 BV261880:BV262086 LP261880:LP262086 VL261880:VL262086 AFH261880:AFH262086 APD261880:APD262086 AYZ261880:AYZ262086 BIV261880:BIV262086 BSR261880:BSR262086 CCN261880:CCN262086 CMJ261880:CMJ262086 CWF261880:CWF262086 DGB261880:DGB262086 DPX261880:DPX262086 DZT261880:DZT262086 EJP261880:EJP262086 ETL261880:ETL262086 FDH261880:FDH262086 FND261880:FND262086 FWZ261880:FWZ262086 GGV261880:GGV262086 GQR261880:GQR262086 HAN261880:HAN262086 HKJ261880:HKJ262086 HUF261880:HUF262086 IEB261880:IEB262086 INX261880:INX262086 IXT261880:IXT262086 JHP261880:JHP262086 JRL261880:JRL262086 KBH261880:KBH262086 KLD261880:KLD262086 KUZ261880:KUZ262086 LEV261880:LEV262086 LOR261880:LOR262086 LYN261880:LYN262086 MIJ261880:MIJ262086 MSF261880:MSF262086 NCB261880:NCB262086 NLX261880:NLX262086 NVT261880:NVT262086 OFP261880:OFP262086 OPL261880:OPL262086 OZH261880:OZH262086 PJD261880:PJD262086 PSZ261880:PSZ262086 QCV261880:QCV262086 QMR261880:QMR262086 QWN261880:QWN262086 RGJ261880:RGJ262086 RQF261880:RQF262086 SAB261880:SAB262086 SJX261880:SJX262086 STT261880:STT262086 TDP261880:TDP262086 TNL261880:TNL262086 TXH261880:TXH262086 UHD261880:UHD262086 UQZ261880:UQZ262086 VAV261880:VAV262086 VKR261880:VKR262086 VUN261880:VUN262086 WEJ261880:WEJ262086 WOF261880:WOF262086 WYB261880:WYB262086 BV327416:BV327622 LP327416:LP327622 VL327416:VL327622 AFH327416:AFH327622 APD327416:APD327622 AYZ327416:AYZ327622 BIV327416:BIV327622 BSR327416:BSR327622 CCN327416:CCN327622 CMJ327416:CMJ327622 CWF327416:CWF327622 DGB327416:DGB327622 DPX327416:DPX327622 DZT327416:DZT327622 EJP327416:EJP327622 ETL327416:ETL327622 FDH327416:FDH327622 FND327416:FND327622 FWZ327416:FWZ327622 GGV327416:GGV327622 GQR327416:GQR327622 HAN327416:HAN327622 HKJ327416:HKJ327622 HUF327416:HUF327622 IEB327416:IEB327622 INX327416:INX327622 IXT327416:IXT327622 JHP327416:JHP327622 JRL327416:JRL327622 KBH327416:KBH327622 KLD327416:KLD327622 KUZ327416:KUZ327622 LEV327416:LEV327622 LOR327416:LOR327622 LYN327416:LYN327622 MIJ327416:MIJ327622 MSF327416:MSF327622 NCB327416:NCB327622 NLX327416:NLX327622 NVT327416:NVT327622 OFP327416:OFP327622 OPL327416:OPL327622 OZH327416:OZH327622 PJD327416:PJD327622 PSZ327416:PSZ327622 QCV327416:QCV327622 QMR327416:QMR327622 QWN327416:QWN327622 RGJ327416:RGJ327622 RQF327416:RQF327622 SAB327416:SAB327622 SJX327416:SJX327622 STT327416:STT327622 TDP327416:TDP327622 TNL327416:TNL327622 TXH327416:TXH327622 UHD327416:UHD327622 UQZ327416:UQZ327622 VAV327416:VAV327622 VKR327416:VKR327622 VUN327416:VUN327622 WEJ327416:WEJ327622 WOF327416:WOF327622 WYB327416:WYB327622 BV392952:BV393158 LP392952:LP393158 VL392952:VL393158 AFH392952:AFH393158 APD392952:APD393158 AYZ392952:AYZ393158 BIV392952:BIV393158 BSR392952:BSR393158 CCN392952:CCN393158 CMJ392952:CMJ393158 CWF392952:CWF393158 DGB392952:DGB393158 DPX392952:DPX393158 DZT392952:DZT393158 EJP392952:EJP393158 ETL392952:ETL393158 FDH392952:FDH393158 FND392952:FND393158 FWZ392952:FWZ393158 GGV392952:GGV393158 GQR392952:GQR393158 HAN392952:HAN393158 HKJ392952:HKJ393158 HUF392952:HUF393158 IEB392952:IEB393158 INX392952:INX393158 IXT392952:IXT393158 JHP392952:JHP393158 JRL392952:JRL393158 KBH392952:KBH393158 KLD392952:KLD393158 KUZ392952:KUZ393158 LEV392952:LEV393158 LOR392952:LOR393158 LYN392952:LYN393158 MIJ392952:MIJ393158 MSF392952:MSF393158 NCB392952:NCB393158 NLX392952:NLX393158 NVT392952:NVT393158 OFP392952:OFP393158 OPL392952:OPL393158 OZH392952:OZH393158 PJD392952:PJD393158 PSZ392952:PSZ393158 QCV392952:QCV393158 QMR392952:QMR393158 QWN392952:QWN393158 RGJ392952:RGJ393158 RQF392952:RQF393158 SAB392952:SAB393158 SJX392952:SJX393158 STT392952:STT393158 TDP392952:TDP393158 TNL392952:TNL393158 TXH392952:TXH393158 UHD392952:UHD393158 UQZ392952:UQZ393158 VAV392952:VAV393158 VKR392952:VKR393158 VUN392952:VUN393158 WEJ392952:WEJ393158 WOF392952:WOF393158 WYB392952:WYB393158 BV458488:BV458694 LP458488:LP458694 VL458488:VL458694 AFH458488:AFH458694 APD458488:APD458694 AYZ458488:AYZ458694 BIV458488:BIV458694 BSR458488:BSR458694 CCN458488:CCN458694 CMJ458488:CMJ458694 CWF458488:CWF458694 DGB458488:DGB458694 DPX458488:DPX458694 DZT458488:DZT458694 EJP458488:EJP458694 ETL458488:ETL458694 FDH458488:FDH458694 FND458488:FND458694 FWZ458488:FWZ458694 GGV458488:GGV458694 GQR458488:GQR458694 HAN458488:HAN458694 HKJ458488:HKJ458694 HUF458488:HUF458694 IEB458488:IEB458694 INX458488:INX458694 IXT458488:IXT458694 JHP458488:JHP458694 JRL458488:JRL458694 KBH458488:KBH458694 KLD458488:KLD458694 KUZ458488:KUZ458694 LEV458488:LEV458694 LOR458488:LOR458694 LYN458488:LYN458694 MIJ458488:MIJ458694 MSF458488:MSF458694 NCB458488:NCB458694 NLX458488:NLX458694 NVT458488:NVT458694 OFP458488:OFP458694 OPL458488:OPL458694 OZH458488:OZH458694 PJD458488:PJD458694 PSZ458488:PSZ458694 QCV458488:QCV458694 QMR458488:QMR458694 QWN458488:QWN458694 RGJ458488:RGJ458694 RQF458488:RQF458694 SAB458488:SAB458694 SJX458488:SJX458694 STT458488:STT458694 TDP458488:TDP458694 TNL458488:TNL458694 TXH458488:TXH458694 UHD458488:UHD458694 UQZ458488:UQZ458694 VAV458488:VAV458694 VKR458488:VKR458694 VUN458488:VUN458694 WEJ458488:WEJ458694 WOF458488:WOF458694 WYB458488:WYB458694 BV524024:BV524230 LP524024:LP524230 VL524024:VL524230 AFH524024:AFH524230 APD524024:APD524230 AYZ524024:AYZ524230 BIV524024:BIV524230 BSR524024:BSR524230 CCN524024:CCN524230 CMJ524024:CMJ524230 CWF524024:CWF524230 DGB524024:DGB524230 DPX524024:DPX524230 DZT524024:DZT524230 EJP524024:EJP524230 ETL524024:ETL524230 FDH524024:FDH524230 FND524024:FND524230 FWZ524024:FWZ524230 GGV524024:GGV524230 GQR524024:GQR524230 HAN524024:HAN524230 HKJ524024:HKJ524230 HUF524024:HUF524230 IEB524024:IEB524230 INX524024:INX524230 IXT524024:IXT524230 JHP524024:JHP524230 JRL524024:JRL524230 KBH524024:KBH524230 KLD524024:KLD524230 KUZ524024:KUZ524230 LEV524024:LEV524230 LOR524024:LOR524230 LYN524024:LYN524230 MIJ524024:MIJ524230 MSF524024:MSF524230 NCB524024:NCB524230 NLX524024:NLX524230 NVT524024:NVT524230 OFP524024:OFP524230 OPL524024:OPL524230 OZH524024:OZH524230 PJD524024:PJD524230 PSZ524024:PSZ524230 QCV524024:QCV524230 QMR524024:QMR524230 QWN524024:QWN524230 RGJ524024:RGJ524230 RQF524024:RQF524230 SAB524024:SAB524230 SJX524024:SJX524230 STT524024:STT524230 TDP524024:TDP524230 TNL524024:TNL524230 TXH524024:TXH524230 UHD524024:UHD524230 UQZ524024:UQZ524230 VAV524024:VAV524230 VKR524024:VKR524230 VUN524024:VUN524230 WEJ524024:WEJ524230 WOF524024:WOF524230 WYB524024:WYB524230 BV589560:BV589766 LP589560:LP589766 VL589560:VL589766 AFH589560:AFH589766 APD589560:APD589766 AYZ589560:AYZ589766 BIV589560:BIV589766 BSR589560:BSR589766 CCN589560:CCN589766 CMJ589560:CMJ589766 CWF589560:CWF589766 DGB589560:DGB589766 DPX589560:DPX589766 DZT589560:DZT589766 EJP589560:EJP589766 ETL589560:ETL589766 FDH589560:FDH589766 FND589560:FND589766 FWZ589560:FWZ589766 GGV589560:GGV589766 GQR589560:GQR589766 HAN589560:HAN589766 HKJ589560:HKJ589766 HUF589560:HUF589766 IEB589560:IEB589766 INX589560:INX589766 IXT589560:IXT589766 JHP589560:JHP589766 JRL589560:JRL589766 KBH589560:KBH589766 KLD589560:KLD589766 KUZ589560:KUZ589766 LEV589560:LEV589766 LOR589560:LOR589766 LYN589560:LYN589766 MIJ589560:MIJ589766 MSF589560:MSF589766 NCB589560:NCB589766 NLX589560:NLX589766 NVT589560:NVT589766 OFP589560:OFP589766 OPL589560:OPL589766 OZH589560:OZH589766 PJD589560:PJD589766 PSZ589560:PSZ589766 QCV589560:QCV589766 QMR589560:QMR589766 QWN589560:QWN589766 RGJ589560:RGJ589766 RQF589560:RQF589766 SAB589560:SAB589766 SJX589560:SJX589766 STT589560:STT589766 TDP589560:TDP589766 TNL589560:TNL589766 TXH589560:TXH589766 UHD589560:UHD589766 UQZ589560:UQZ589766 VAV589560:VAV589766 VKR589560:VKR589766 VUN589560:VUN589766 WEJ589560:WEJ589766 WOF589560:WOF589766 WYB589560:WYB589766 BV655096:BV655302 LP655096:LP655302 VL655096:VL655302 AFH655096:AFH655302 APD655096:APD655302 AYZ655096:AYZ655302 BIV655096:BIV655302 BSR655096:BSR655302 CCN655096:CCN655302 CMJ655096:CMJ655302 CWF655096:CWF655302 DGB655096:DGB655302 DPX655096:DPX655302 DZT655096:DZT655302 EJP655096:EJP655302 ETL655096:ETL655302 FDH655096:FDH655302 FND655096:FND655302 FWZ655096:FWZ655302 GGV655096:GGV655302 GQR655096:GQR655302 HAN655096:HAN655302 HKJ655096:HKJ655302 HUF655096:HUF655302 IEB655096:IEB655302 INX655096:INX655302 IXT655096:IXT655302 JHP655096:JHP655302 JRL655096:JRL655302 KBH655096:KBH655302 KLD655096:KLD655302 KUZ655096:KUZ655302 LEV655096:LEV655302 LOR655096:LOR655302 LYN655096:LYN655302 MIJ655096:MIJ655302 MSF655096:MSF655302 NCB655096:NCB655302 NLX655096:NLX655302 NVT655096:NVT655302 OFP655096:OFP655302 OPL655096:OPL655302 OZH655096:OZH655302 PJD655096:PJD655302 PSZ655096:PSZ655302 QCV655096:QCV655302 QMR655096:QMR655302 QWN655096:QWN655302 RGJ655096:RGJ655302 RQF655096:RQF655302 SAB655096:SAB655302 SJX655096:SJX655302 STT655096:STT655302 TDP655096:TDP655302 TNL655096:TNL655302 TXH655096:TXH655302 UHD655096:UHD655302 UQZ655096:UQZ655302 VAV655096:VAV655302 VKR655096:VKR655302 VUN655096:VUN655302 WEJ655096:WEJ655302 WOF655096:WOF655302 WYB655096:WYB655302 BV720632:BV720838 LP720632:LP720838 VL720632:VL720838 AFH720632:AFH720838 APD720632:APD720838 AYZ720632:AYZ720838 BIV720632:BIV720838 BSR720632:BSR720838 CCN720632:CCN720838 CMJ720632:CMJ720838 CWF720632:CWF720838 DGB720632:DGB720838 DPX720632:DPX720838 DZT720632:DZT720838 EJP720632:EJP720838 ETL720632:ETL720838 FDH720632:FDH720838 FND720632:FND720838 FWZ720632:FWZ720838 GGV720632:GGV720838 GQR720632:GQR720838 HAN720632:HAN720838 HKJ720632:HKJ720838 HUF720632:HUF720838 IEB720632:IEB720838 INX720632:INX720838 IXT720632:IXT720838 JHP720632:JHP720838 JRL720632:JRL720838 KBH720632:KBH720838 KLD720632:KLD720838 KUZ720632:KUZ720838 LEV720632:LEV720838 LOR720632:LOR720838 LYN720632:LYN720838 MIJ720632:MIJ720838 MSF720632:MSF720838 NCB720632:NCB720838 NLX720632:NLX720838 NVT720632:NVT720838 OFP720632:OFP720838 OPL720632:OPL720838 OZH720632:OZH720838 PJD720632:PJD720838 PSZ720632:PSZ720838 QCV720632:QCV720838 QMR720632:QMR720838 QWN720632:QWN720838 RGJ720632:RGJ720838 RQF720632:RQF720838 SAB720632:SAB720838 SJX720632:SJX720838 STT720632:STT720838 TDP720632:TDP720838 TNL720632:TNL720838 TXH720632:TXH720838 UHD720632:UHD720838 UQZ720632:UQZ720838 VAV720632:VAV720838 VKR720632:VKR720838 VUN720632:VUN720838 WEJ720632:WEJ720838 WOF720632:WOF720838 WYB720632:WYB720838 BV786168:BV786374 LP786168:LP786374 VL786168:VL786374 AFH786168:AFH786374 APD786168:APD786374 AYZ786168:AYZ786374 BIV786168:BIV786374 BSR786168:BSR786374 CCN786168:CCN786374 CMJ786168:CMJ786374 CWF786168:CWF786374 DGB786168:DGB786374 DPX786168:DPX786374 DZT786168:DZT786374 EJP786168:EJP786374 ETL786168:ETL786374 FDH786168:FDH786374 FND786168:FND786374 FWZ786168:FWZ786374 GGV786168:GGV786374 GQR786168:GQR786374 HAN786168:HAN786374 HKJ786168:HKJ786374 HUF786168:HUF786374 IEB786168:IEB786374 INX786168:INX786374 IXT786168:IXT786374 JHP786168:JHP786374 JRL786168:JRL786374 KBH786168:KBH786374 KLD786168:KLD786374 KUZ786168:KUZ786374 LEV786168:LEV786374 LOR786168:LOR786374 LYN786168:LYN786374 MIJ786168:MIJ786374 MSF786168:MSF786374 NCB786168:NCB786374 NLX786168:NLX786374 NVT786168:NVT786374 OFP786168:OFP786374 OPL786168:OPL786374 OZH786168:OZH786374 PJD786168:PJD786374 PSZ786168:PSZ786374 QCV786168:QCV786374 QMR786168:QMR786374 QWN786168:QWN786374 RGJ786168:RGJ786374 RQF786168:RQF786374 SAB786168:SAB786374 SJX786168:SJX786374 STT786168:STT786374 TDP786168:TDP786374 TNL786168:TNL786374 TXH786168:TXH786374 UHD786168:UHD786374 UQZ786168:UQZ786374 VAV786168:VAV786374 VKR786168:VKR786374 VUN786168:VUN786374 WEJ786168:WEJ786374 WOF786168:WOF786374 WYB786168:WYB786374 BV851704:BV851910 LP851704:LP851910 VL851704:VL851910 AFH851704:AFH851910 APD851704:APD851910 AYZ851704:AYZ851910 BIV851704:BIV851910 BSR851704:BSR851910 CCN851704:CCN851910 CMJ851704:CMJ851910 CWF851704:CWF851910 DGB851704:DGB851910 DPX851704:DPX851910 DZT851704:DZT851910 EJP851704:EJP851910 ETL851704:ETL851910 FDH851704:FDH851910 FND851704:FND851910 FWZ851704:FWZ851910 GGV851704:GGV851910 GQR851704:GQR851910 HAN851704:HAN851910 HKJ851704:HKJ851910 HUF851704:HUF851910 IEB851704:IEB851910 INX851704:INX851910 IXT851704:IXT851910 JHP851704:JHP851910 JRL851704:JRL851910 KBH851704:KBH851910 KLD851704:KLD851910 KUZ851704:KUZ851910 LEV851704:LEV851910 LOR851704:LOR851910 LYN851704:LYN851910 MIJ851704:MIJ851910 MSF851704:MSF851910 NCB851704:NCB851910 NLX851704:NLX851910 NVT851704:NVT851910 OFP851704:OFP851910 OPL851704:OPL851910 OZH851704:OZH851910 PJD851704:PJD851910 PSZ851704:PSZ851910 QCV851704:QCV851910 QMR851704:QMR851910 QWN851704:QWN851910 RGJ851704:RGJ851910 RQF851704:RQF851910 SAB851704:SAB851910 SJX851704:SJX851910 STT851704:STT851910 TDP851704:TDP851910 TNL851704:TNL851910 TXH851704:TXH851910 UHD851704:UHD851910 UQZ851704:UQZ851910 VAV851704:VAV851910 VKR851704:VKR851910 VUN851704:VUN851910 WEJ851704:WEJ851910 WOF851704:WOF851910 WYB851704:WYB851910 BV917240:BV917446 LP917240:LP917446 VL917240:VL917446 AFH917240:AFH917446 APD917240:APD917446 AYZ917240:AYZ917446 BIV917240:BIV917446 BSR917240:BSR917446 CCN917240:CCN917446 CMJ917240:CMJ917446 CWF917240:CWF917446 DGB917240:DGB917446 DPX917240:DPX917446 DZT917240:DZT917446 EJP917240:EJP917446 ETL917240:ETL917446 FDH917240:FDH917446 FND917240:FND917446 FWZ917240:FWZ917446 GGV917240:GGV917446 GQR917240:GQR917446 HAN917240:HAN917446 HKJ917240:HKJ917446 HUF917240:HUF917446 IEB917240:IEB917446 INX917240:INX917446 IXT917240:IXT917446 JHP917240:JHP917446 JRL917240:JRL917446 KBH917240:KBH917446 KLD917240:KLD917446 KUZ917240:KUZ917446 LEV917240:LEV917446 LOR917240:LOR917446 LYN917240:LYN917446 MIJ917240:MIJ917446 MSF917240:MSF917446 NCB917240:NCB917446 NLX917240:NLX917446 NVT917240:NVT917446 OFP917240:OFP917446 OPL917240:OPL917446 OZH917240:OZH917446 PJD917240:PJD917446 PSZ917240:PSZ917446 QCV917240:QCV917446 QMR917240:QMR917446 QWN917240:QWN917446 RGJ917240:RGJ917446 RQF917240:RQF917446 SAB917240:SAB917446 SJX917240:SJX917446 STT917240:STT917446 TDP917240:TDP917446 TNL917240:TNL917446 TXH917240:TXH917446 UHD917240:UHD917446 UQZ917240:UQZ917446 VAV917240:VAV917446 VKR917240:VKR917446 VUN917240:VUN917446 WEJ917240:WEJ917446 WOF917240:WOF917446 WYB917240:WYB917446 BV982776:BV982982 LP982776:LP982982 VL982776:VL982982 AFH982776:AFH982982 APD982776:APD982982 AYZ982776:AYZ982982 BIV982776:BIV982982 BSR982776:BSR982982 CCN982776:CCN982982 CMJ982776:CMJ982982 CWF982776:CWF982982 DGB982776:DGB982982 DPX982776:DPX982982 DZT982776:DZT982982 EJP982776:EJP982982 ETL982776:ETL982982 FDH982776:FDH982982 FND982776:FND982982 FWZ982776:FWZ982982 GGV982776:GGV982982 GQR982776:GQR982982 HAN982776:HAN982982 HKJ982776:HKJ982982 HUF982776:HUF982982 IEB982776:IEB982982 INX982776:INX982982 IXT982776:IXT982982 JHP982776:JHP982982 JRL982776:JRL982982 KBH982776:KBH982982 KLD982776:KLD982982 KUZ982776:KUZ982982 LEV982776:LEV982982 LOR982776:LOR982982 LYN982776:LYN982982 MIJ982776:MIJ982982 MSF982776:MSF982982 NCB982776:NCB982982 NLX982776:NLX982982 NVT982776:NVT982982 OFP982776:OFP982982 OPL982776:OPL982982 OZH982776:OZH982982 PJD982776:PJD982982 PSZ982776:PSZ982982 QCV982776:QCV982982 QMR982776:QMR982982 QWN982776:QWN982982 RGJ982776:RGJ982982 RQF982776:RQF982982 SAB982776:SAB982982 SJX982776:SJX982982 STT982776:STT982982 TDP982776:TDP982982 TNL982776:TNL982982 TXH982776:TXH982982 UHD982776:UHD982982 UQZ982776:UQZ982982 VAV982776:VAV982982 VKR982776:VKR982982 VUN982776:VUN982982 WEJ982776:WEJ982982 WOF982776:WOF982982 WYB982776:WYB982982 WYB5:WYB11 LP5:LP11 VL5:VL11 AFH5:AFH11 APD5:APD11 AYZ5:AYZ11 BIV5:BIV11 BSR5:BSR11 CCN5:CCN11 CMJ5:CMJ11 CWF5:CWF11 DGB5:DGB11 DPX5:DPX11 DZT5:DZT11 EJP5:EJP11 ETL5:ETL11 FDH5:FDH11 FND5:FND11 FWZ5:FWZ11 GGV5:GGV11 GQR5:GQR11 HAN5:HAN11 HKJ5:HKJ11 HUF5:HUF11 IEB5:IEB11 INX5:INX11 IXT5:IXT11 JHP5:JHP11 JRL5:JRL11 KBH5:KBH11 KLD5:KLD11 KUZ5:KUZ11 LEV5:LEV11 LOR5:LOR11 LYN5:LYN11 MIJ5:MIJ11 MSF5:MSF11 NCB5:NCB11 NLX5:NLX11 NVT5:NVT11 OFP5:OFP11 OPL5:OPL11 OZH5:OZH11 PJD5:PJD11 PSZ5:PSZ11 QCV5:QCV11 QMR5:QMR11 QWN5:QWN11 RGJ5:RGJ11 RQF5:RQF11 SAB5:SAB11 SJX5:SJX11 STT5:STT11 TDP5:TDP11 TNL5:TNL11 TXH5:TXH11 UHD5:UHD11 UQZ5:UQZ11 VAV5:VAV11 VKR5:VKR11 VUN5:VUN11 WEJ5:WEJ11 WOF5:WOF11">
      <formula1>1</formula1>
      <formula2>12</formula2>
    </dataValidation>
    <dataValidation type="list" allowBlank="1" showInputMessage="1" showErrorMessage="1" sqref="CG65272:CG65474 WYI982776:WYK982978 LW5:LY11 VS5:VU11 AFO5:AFQ11 APK5:APM11 AZG5:AZI11 BJC5:BJE11 BSY5:BTA11 CCU5:CCW11 CMQ5:CMS11 CWM5:CWO11 DGI5:DGK11 DQE5:DQG11 EAA5:EAC11 EJW5:EJY11 ETS5:ETU11 FDO5:FDQ11 FNK5:FNM11 FXG5:FXI11 GHC5:GHE11 GQY5:GRA11 HAU5:HAW11 HKQ5:HKS11 HUM5:HUO11 IEI5:IEK11 IOE5:IOG11 IYA5:IYC11 JHW5:JHY11 JRS5:JRU11 KBO5:KBQ11 KLK5:KLM11 KVG5:KVI11 LFC5:LFE11 LOY5:LPA11 LYU5:LYW11 MIQ5:MIS11 MSM5:MSO11 NCI5:NCK11 NME5:NMG11 NWA5:NWC11 OFW5:OFY11 OPS5:OPU11 OZO5:OZQ11 PJK5:PJM11 PTG5:PTI11 QDC5:QDE11 QMY5:QNA11 QWU5:QWW11 RGQ5:RGS11 RQM5:RQO11 SAI5:SAK11 SKE5:SKG11 SUA5:SUC11 TDW5:TDY11 TNS5:TNU11 TXO5:TXQ11 UHK5:UHM11 URG5:URI11 VBC5:VBE11 VKY5:VLA11 VUU5:VUW11 WEQ5:WES11 WOM5:WOO11 WYI5:WYK11 LW65272:LY65474 VS65272:VU65474 AFO65272:AFQ65474 APK65272:APM65474 AZG65272:AZI65474 BJC65272:BJE65474 BSY65272:BTA65474 CCU65272:CCW65474 CMQ65272:CMS65474 CWM65272:CWO65474 DGI65272:DGK65474 DQE65272:DQG65474 EAA65272:EAC65474 EJW65272:EJY65474 ETS65272:ETU65474 FDO65272:FDQ65474 FNK65272:FNM65474 FXG65272:FXI65474 GHC65272:GHE65474 GQY65272:GRA65474 HAU65272:HAW65474 HKQ65272:HKS65474 HUM65272:HUO65474 IEI65272:IEK65474 IOE65272:IOG65474 IYA65272:IYC65474 JHW65272:JHY65474 JRS65272:JRU65474 KBO65272:KBQ65474 KLK65272:KLM65474 KVG65272:KVI65474 LFC65272:LFE65474 LOY65272:LPA65474 LYU65272:LYW65474 MIQ65272:MIS65474 MSM65272:MSO65474 NCI65272:NCK65474 NME65272:NMG65474 NWA65272:NWC65474 OFW65272:OFY65474 OPS65272:OPU65474 OZO65272:OZQ65474 PJK65272:PJM65474 PTG65272:PTI65474 QDC65272:QDE65474 QMY65272:QNA65474 QWU65272:QWW65474 RGQ65272:RGS65474 RQM65272:RQO65474 SAI65272:SAK65474 SKE65272:SKG65474 SUA65272:SUC65474 TDW65272:TDY65474 TNS65272:TNU65474 TXO65272:TXQ65474 UHK65272:UHM65474 URG65272:URI65474 VBC65272:VBE65474 VKY65272:VLA65474 VUU65272:VUW65474 WEQ65272:WES65474 WOM65272:WOO65474 WYI65272:WYK65474 CG130808:CG131010 LW130808:LY131010 VS130808:VU131010 AFO130808:AFQ131010 APK130808:APM131010 AZG130808:AZI131010 BJC130808:BJE131010 BSY130808:BTA131010 CCU130808:CCW131010 CMQ130808:CMS131010 CWM130808:CWO131010 DGI130808:DGK131010 DQE130808:DQG131010 EAA130808:EAC131010 EJW130808:EJY131010 ETS130808:ETU131010 FDO130808:FDQ131010 FNK130808:FNM131010 FXG130808:FXI131010 GHC130808:GHE131010 GQY130808:GRA131010 HAU130808:HAW131010 HKQ130808:HKS131010 HUM130808:HUO131010 IEI130808:IEK131010 IOE130808:IOG131010 IYA130808:IYC131010 JHW130808:JHY131010 JRS130808:JRU131010 KBO130808:KBQ131010 KLK130808:KLM131010 KVG130808:KVI131010 LFC130808:LFE131010 LOY130808:LPA131010 LYU130808:LYW131010 MIQ130808:MIS131010 MSM130808:MSO131010 NCI130808:NCK131010 NME130808:NMG131010 NWA130808:NWC131010 OFW130808:OFY131010 OPS130808:OPU131010 OZO130808:OZQ131010 PJK130808:PJM131010 PTG130808:PTI131010 QDC130808:QDE131010 QMY130808:QNA131010 QWU130808:QWW131010 RGQ130808:RGS131010 RQM130808:RQO131010 SAI130808:SAK131010 SKE130808:SKG131010 SUA130808:SUC131010 TDW130808:TDY131010 TNS130808:TNU131010 TXO130808:TXQ131010 UHK130808:UHM131010 URG130808:URI131010 VBC130808:VBE131010 VKY130808:VLA131010 VUU130808:VUW131010 WEQ130808:WES131010 WOM130808:WOO131010 WYI130808:WYK131010 CG196344:CG196546 LW196344:LY196546 VS196344:VU196546 AFO196344:AFQ196546 APK196344:APM196546 AZG196344:AZI196546 BJC196344:BJE196546 BSY196344:BTA196546 CCU196344:CCW196546 CMQ196344:CMS196546 CWM196344:CWO196546 DGI196344:DGK196546 DQE196344:DQG196546 EAA196344:EAC196546 EJW196344:EJY196546 ETS196344:ETU196546 FDO196344:FDQ196546 FNK196344:FNM196546 FXG196344:FXI196546 GHC196344:GHE196546 GQY196344:GRA196546 HAU196344:HAW196546 HKQ196344:HKS196546 HUM196344:HUO196546 IEI196344:IEK196546 IOE196344:IOG196546 IYA196344:IYC196546 JHW196344:JHY196546 JRS196344:JRU196546 KBO196344:KBQ196546 KLK196344:KLM196546 KVG196344:KVI196546 LFC196344:LFE196546 LOY196344:LPA196546 LYU196344:LYW196546 MIQ196344:MIS196546 MSM196344:MSO196546 NCI196344:NCK196546 NME196344:NMG196546 NWA196344:NWC196546 OFW196344:OFY196546 OPS196344:OPU196546 OZO196344:OZQ196546 PJK196344:PJM196546 PTG196344:PTI196546 QDC196344:QDE196546 QMY196344:QNA196546 QWU196344:QWW196546 RGQ196344:RGS196546 RQM196344:RQO196546 SAI196344:SAK196546 SKE196344:SKG196546 SUA196344:SUC196546 TDW196344:TDY196546 TNS196344:TNU196546 TXO196344:TXQ196546 UHK196344:UHM196546 URG196344:URI196546 VBC196344:VBE196546 VKY196344:VLA196546 VUU196344:VUW196546 WEQ196344:WES196546 WOM196344:WOO196546 WYI196344:WYK196546 CG261880:CG262082 LW261880:LY262082 VS261880:VU262082 AFO261880:AFQ262082 APK261880:APM262082 AZG261880:AZI262082 BJC261880:BJE262082 BSY261880:BTA262082 CCU261880:CCW262082 CMQ261880:CMS262082 CWM261880:CWO262082 DGI261880:DGK262082 DQE261880:DQG262082 EAA261880:EAC262082 EJW261880:EJY262082 ETS261880:ETU262082 FDO261880:FDQ262082 FNK261880:FNM262082 FXG261880:FXI262082 GHC261880:GHE262082 GQY261880:GRA262082 HAU261880:HAW262082 HKQ261880:HKS262082 HUM261880:HUO262082 IEI261880:IEK262082 IOE261880:IOG262082 IYA261880:IYC262082 JHW261880:JHY262082 JRS261880:JRU262082 KBO261880:KBQ262082 KLK261880:KLM262082 KVG261880:KVI262082 LFC261880:LFE262082 LOY261880:LPA262082 LYU261880:LYW262082 MIQ261880:MIS262082 MSM261880:MSO262082 NCI261880:NCK262082 NME261880:NMG262082 NWA261880:NWC262082 OFW261880:OFY262082 OPS261880:OPU262082 OZO261880:OZQ262082 PJK261880:PJM262082 PTG261880:PTI262082 QDC261880:QDE262082 QMY261880:QNA262082 QWU261880:QWW262082 RGQ261880:RGS262082 RQM261880:RQO262082 SAI261880:SAK262082 SKE261880:SKG262082 SUA261880:SUC262082 TDW261880:TDY262082 TNS261880:TNU262082 TXO261880:TXQ262082 UHK261880:UHM262082 URG261880:URI262082 VBC261880:VBE262082 VKY261880:VLA262082 VUU261880:VUW262082 WEQ261880:WES262082 WOM261880:WOO262082 WYI261880:WYK262082 CG327416:CG327618 LW327416:LY327618 VS327416:VU327618 AFO327416:AFQ327618 APK327416:APM327618 AZG327416:AZI327618 BJC327416:BJE327618 BSY327416:BTA327618 CCU327416:CCW327618 CMQ327416:CMS327618 CWM327416:CWO327618 DGI327416:DGK327618 DQE327416:DQG327618 EAA327416:EAC327618 EJW327416:EJY327618 ETS327416:ETU327618 FDO327416:FDQ327618 FNK327416:FNM327618 FXG327416:FXI327618 GHC327416:GHE327618 GQY327416:GRA327618 HAU327416:HAW327618 HKQ327416:HKS327618 HUM327416:HUO327618 IEI327416:IEK327618 IOE327416:IOG327618 IYA327416:IYC327618 JHW327416:JHY327618 JRS327416:JRU327618 KBO327416:KBQ327618 KLK327416:KLM327618 KVG327416:KVI327618 LFC327416:LFE327618 LOY327416:LPA327618 LYU327416:LYW327618 MIQ327416:MIS327618 MSM327416:MSO327618 NCI327416:NCK327618 NME327416:NMG327618 NWA327416:NWC327618 OFW327416:OFY327618 OPS327416:OPU327618 OZO327416:OZQ327618 PJK327416:PJM327618 PTG327416:PTI327618 QDC327416:QDE327618 QMY327416:QNA327618 QWU327416:QWW327618 RGQ327416:RGS327618 RQM327416:RQO327618 SAI327416:SAK327618 SKE327416:SKG327618 SUA327416:SUC327618 TDW327416:TDY327618 TNS327416:TNU327618 TXO327416:TXQ327618 UHK327416:UHM327618 URG327416:URI327618 VBC327416:VBE327618 VKY327416:VLA327618 VUU327416:VUW327618 WEQ327416:WES327618 WOM327416:WOO327618 WYI327416:WYK327618 CG392952:CG393154 LW392952:LY393154 VS392952:VU393154 AFO392952:AFQ393154 APK392952:APM393154 AZG392952:AZI393154 BJC392952:BJE393154 BSY392952:BTA393154 CCU392952:CCW393154 CMQ392952:CMS393154 CWM392952:CWO393154 DGI392952:DGK393154 DQE392952:DQG393154 EAA392952:EAC393154 EJW392952:EJY393154 ETS392952:ETU393154 FDO392952:FDQ393154 FNK392952:FNM393154 FXG392952:FXI393154 GHC392952:GHE393154 GQY392952:GRA393154 HAU392952:HAW393154 HKQ392952:HKS393154 HUM392952:HUO393154 IEI392952:IEK393154 IOE392952:IOG393154 IYA392952:IYC393154 JHW392952:JHY393154 JRS392952:JRU393154 KBO392952:KBQ393154 KLK392952:KLM393154 KVG392952:KVI393154 LFC392952:LFE393154 LOY392952:LPA393154 LYU392952:LYW393154 MIQ392952:MIS393154 MSM392952:MSO393154 NCI392952:NCK393154 NME392952:NMG393154 NWA392952:NWC393154 OFW392952:OFY393154 OPS392952:OPU393154 OZO392952:OZQ393154 PJK392952:PJM393154 PTG392952:PTI393154 QDC392952:QDE393154 QMY392952:QNA393154 QWU392952:QWW393154 RGQ392952:RGS393154 RQM392952:RQO393154 SAI392952:SAK393154 SKE392952:SKG393154 SUA392952:SUC393154 TDW392952:TDY393154 TNS392952:TNU393154 TXO392952:TXQ393154 UHK392952:UHM393154 URG392952:URI393154 VBC392952:VBE393154 VKY392952:VLA393154 VUU392952:VUW393154 WEQ392952:WES393154 WOM392952:WOO393154 WYI392952:WYK393154 CG458488:CG458690 LW458488:LY458690 VS458488:VU458690 AFO458488:AFQ458690 APK458488:APM458690 AZG458488:AZI458690 BJC458488:BJE458690 BSY458488:BTA458690 CCU458488:CCW458690 CMQ458488:CMS458690 CWM458488:CWO458690 DGI458488:DGK458690 DQE458488:DQG458690 EAA458488:EAC458690 EJW458488:EJY458690 ETS458488:ETU458690 FDO458488:FDQ458690 FNK458488:FNM458690 FXG458488:FXI458690 GHC458488:GHE458690 GQY458488:GRA458690 HAU458488:HAW458690 HKQ458488:HKS458690 HUM458488:HUO458690 IEI458488:IEK458690 IOE458488:IOG458690 IYA458488:IYC458690 JHW458488:JHY458690 JRS458488:JRU458690 KBO458488:KBQ458690 KLK458488:KLM458690 KVG458488:KVI458690 LFC458488:LFE458690 LOY458488:LPA458690 LYU458488:LYW458690 MIQ458488:MIS458690 MSM458488:MSO458690 NCI458488:NCK458690 NME458488:NMG458690 NWA458488:NWC458690 OFW458488:OFY458690 OPS458488:OPU458690 OZO458488:OZQ458690 PJK458488:PJM458690 PTG458488:PTI458690 QDC458488:QDE458690 QMY458488:QNA458690 QWU458488:QWW458690 RGQ458488:RGS458690 RQM458488:RQO458690 SAI458488:SAK458690 SKE458488:SKG458690 SUA458488:SUC458690 TDW458488:TDY458690 TNS458488:TNU458690 TXO458488:TXQ458690 UHK458488:UHM458690 URG458488:URI458690 VBC458488:VBE458690 VKY458488:VLA458690 VUU458488:VUW458690 WEQ458488:WES458690 WOM458488:WOO458690 WYI458488:WYK458690 CG524024:CG524226 LW524024:LY524226 VS524024:VU524226 AFO524024:AFQ524226 APK524024:APM524226 AZG524024:AZI524226 BJC524024:BJE524226 BSY524024:BTA524226 CCU524024:CCW524226 CMQ524024:CMS524226 CWM524024:CWO524226 DGI524024:DGK524226 DQE524024:DQG524226 EAA524024:EAC524226 EJW524024:EJY524226 ETS524024:ETU524226 FDO524024:FDQ524226 FNK524024:FNM524226 FXG524024:FXI524226 GHC524024:GHE524226 GQY524024:GRA524226 HAU524024:HAW524226 HKQ524024:HKS524226 HUM524024:HUO524226 IEI524024:IEK524226 IOE524024:IOG524226 IYA524024:IYC524226 JHW524024:JHY524226 JRS524024:JRU524226 KBO524024:KBQ524226 KLK524024:KLM524226 KVG524024:KVI524226 LFC524024:LFE524226 LOY524024:LPA524226 LYU524024:LYW524226 MIQ524024:MIS524226 MSM524024:MSO524226 NCI524024:NCK524226 NME524024:NMG524226 NWA524024:NWC524226 OFW524024:OFY524226 OPS524024:OPU524226 OZO524024:OZQ524226 PJK524024:PJM524226 PTG524024:PTI524226 QDC524024:QDE524226 QMY524024:QNA524226 QWU524024:QWW524226 RGQ524024:RGS524226 RQM524024:RQO524226 SAI524024:SAK524226 SKE524024:SKG524226 SUA524024:SUC524226 TDW524024:TDY524226 TNS524024:TNU524226 TXO524024:TXQ524226 UHK524024:UHM524226 URG524024:URI524226 VBC524024:VBE524226 VKY524024:VLA524226 VUU524024:VUW524226 WEQ524024:WES524226 WOM524024:WOO524226 WYI524024:WYK524226 CG589560:CG589762 LW589560:LY589762 VS589560:VU589762 AFO589560:AFQ589762 APK589560:APM589762 AZG589560:AZI589762 BJC589560:BJE589762 BSY589560:BTA589762 CCU589560:CCW589762 CMQ589560:CMS589762 CWM589560:CWO589762 DGI589560:DGK589762 DQE589560:DQG589762 EAA589560:EAC589762 EJW589560:EJY589762 ETS589560:ETU589762 FDO589560:FDQ589762 FNK589560:FNM589762 FXG589560:FXI589762 GHC589560:GHE589762 GQY589560:GRA589762 HAU589560:HAW589762 HKQ589560:HKS589762 HUM589560:HUO589762 IEI589560:IEK589762 IOE589560:IOG589762 IYA589560:IYC589762 JHW589560:JHY589762 JRS589560:JRU589762 KBO589560:KBQ589762 KLK589560:KLM589762 KVG589560:KVI589762 LFC589560:LFE589762 LOY589560:LPA589762 LYU589560:LYW589762 MIQ589560:MIS589762 MSM589560:MSO589762 NCI589560:NCK589762 NME589560:NMG589762 NWA589560:NWC589762 OFW589560:OFY589762 OPS589560:OPU589762 OZO589560:OZQ589762 PJK589560:PJM589762 PTG589560:PTI589762 QDC589560:QDE589762 QMY589560:QNA589762 QWU589560:QWW589762 RGQ589560:RGS589762 RQM589560:RQO589762 SAI589560:SAK589762 SKE589560:SKG589762 SUA589560:SUC589762 TDW589560:TDY589762 TNS589560:TNU589762 TXO589560:TXQ589762 UHK589560:UHM589762 URG589560:URI589762 VBC589560:VBE589762 VKY589560:VLA589762 VUU589560:VUW589762 WEQ589560:WES589762 WOM589560:WOO589762 WYI589560:WYK589762 CG655096:CG655298 LW655096:LY655298 VS655096:VU655298 AFO655096:AFQ655298 APK655096:APM655298 AZG655096:AZI655298 BJC655096:BJE655298 BSY655096:BTA655298 CCU655096:CCW655298 CMQ655096:CMS655298 CWM655096:CWO655298 DGI655096:DGK655298 DQE655096:DQG655298 EAA655096:EAC655298 EJW655096:EJY655298 ETS655096:ETU655298 FDO655096:FDQ655298 FNK655096:FNM655298 FXG655096:FXI655298 GHC655096:GHE655298 GQY655096:GRA655298 HAU655096:HAW655298 HKQ655096:HKS655298 HUM655096:HUO655298 IEI655096:IEK655298 IOE655096:IOG655298 IYA655096:IYC655298 JHW655096:JHY655298 JRS655096:JRU655298 KBO655096:KBQ655298 KLK655096:KLM655298 KVG655096:KVI655298 LFC655096:LFE655298 LOY655096:LPA655298 LYU655096:LYW655298 MIQ655096:MIS655298 MSM655096:MSO655298 NCI655096:NCK655298 NME655096:NMG655298 NWA655096:NWC655298 OFW655096:OFY655298 OPS655096:OPU655298 OZO655096:OZQ655298 PJK655096:PJM655298 PTG655096:PTI655298 QDC655096:QDE655298 QMY655096:QNA655298 QWU655096:QWW655298 RGQ655096:RGS655298 RQM655096:RQO655298 SAI655096:SAK655298 SKE655096:SKG655298 SUA655096:SUC655298 TDW655096:TDY655298 TNS655096:TNU655298 TXO655096:TXQ655298 UHK655096:UHM655298 URG655096:URI655298 VBC655096:VBE655298 VKY655096:VLA655298 VUU655096:VUW655298 WEQ655096:WES655298 WOM655096:WOO655298 WYI655096:WYK655298 CG720632:CG720834 LW720632:LY720834 VS720632:VU720834 AFO720632:AFQ720834 APK720632:APM720834 AZG720632:AZI720834 BJC720632:BJE720834 BSY720632:BTA720834 CCU720632:CCW720834 CMQ720632:CMS720834 CWM720632:CWO720834 DGI720632:DGK720834 DQE720632:DQG720834 EAA720632:EAC720834 EJW720632:EJY720834 ETS720632:ETU720834 FDO720632:FDQ720834 FNK720632:FNM720834 FXG720632:FXI720834 GHC720632:GHE720834 GQY720632:GRA720834 HAU720632:HAW720834 HKQ720632:HKS720834 HUM720632:HUO720834 IEI720632:IEK720834 IOE720632:IOG720834 IYA720632:IYC720834 JHW720632:JHY720834 JRS720632:JRU720834 KBO720632:KBQ720834 KLK720632:KLM720834 KVG720632:KVI720834 LFC720632:LFE720834 LOY720632:LPA720834 LYU720632:LYW720834 MIQ720632:MIS720834 MSM720632:MSO720834 NCI720632:NCK720834 NME720632:NMG720834 NWA720632:NWC720834 OFW720632:OFY720834 OPS720632:OPU720834 OZO720632:OZQ720834 PJK720632:PJM720834 PTG720632:PTI720834 QDC720632:QDE720834 QMY720632:QNA720834 QWU720632:QWW720834 RGQ720632:RGS720834 RQM720632:RQO720834 SAI720632:SAK720834 SKE720632:SKG720834 SUA720632:SUC720834 TDW720632:TDY720834 TNS720632:TNU720834 TXO720632:TXQ720834 UHK720632:UHM720834 URG720632:URI720834 VBC720632:VBE720834 VKY720632:VLA720834 VUU720632:VUW720834 WEQ720632:WES720834 WOM720632:WOO720834 WYI720632:WYK720834 CG786168:CG786370 LW786168:LY786370 VS786168:VU786370 AFO786168:AFQ786370 APK786168:APM786370 AZG786168:AZI786370 BJC786168:BJE786370 BSY786168:BTA786370 CCU786168:CCW786370 CMQ786168:CMS786370 CWM786168:CWO786370 DGI786168:DGK786370 DQE786168:DQG786370 EAA786168:EAC786370 EJW786168:EJY786370 ETS786168:ETU786370 FDO786168:FDQ786370 FNK786168:FNM786370 FXG786168:FXI786370 GHC786168:GHE786370 GQY786168:GRA786370 HAU786168:HAW786370 HKQ786168:HKS786370 HUM786168:HUO786370 IEI786168:IEK786370 IOE786168:IOG786370 IYA786168:IYC786370 JHW786168:JHY786370 JRS786168:JRU786370 KBO786168:KBQ786370 KLK786168:KLM786370 KVG786168:KVI786370 LFC786168:LFE786370 LOY786168:LPA786370 LYU786168:LYW786370 MIQ786168:MIS786370 MSM786168:MSO786370 NCI786168:NCK786370 NME786168:NMG786370 NWA786168:NWC786370 OFW786168:OFY786370 OPS786168:OPU786370 OZO786168:OZQ786370 PJK786168:PJM786370 PTG786168:PTI786370 QDC786168:QDE786370 QMY786168:QNA786370 QWU786168:QWW786370 RGQ786168:RGS786370 RQM786168:RQO786370 SAI786168:SAK786370 SKE786168:SKG786370 SUA786168:SUC786370 TDW786168:TDY786370 TNS786168:TNU786370 TXO786168:TXQ786370 UHK786168:UHM786370 URG786168:URI786370 VBC786168:VBE786370 VKY786168:VLA786370 VUU786168:VUW786370 WEQ786168:WES786370 WOM786168:WOO786370 WYI786168:WYK786370 CG851704:CG851906 LW851704:LY851906 VS851704:VU851906 AFO851704:AFQ851906 APK851704:APM851906 AZG851704:AZI851906 BJC851704:BJE851906 BSY851704:BTA851906 CCU851704:CCW851906 CMQ851704:CMS851906 CWM851704:CWO851906 DGI851704:DGK851906 DQE851704:DQG851906 EAA851704:EAC851906 EJW851704:EJY851906 ETS851704:ETU851906 FDO851704:FDQ851906 FNK851704:FNM851906 FXG851704:FXI851906 GHC851704:GHE851906 GQY851704:GRA851906 HAU851704:HAW851906 HKQ851704:HKS851906 HUM851704:HUO851906 IEI851704:IEK851906 IOE851704:IOG851906 IYA851704:IYC851906 JHW851704:JHY851906 JRS851704:JRU851906 KBO851704:KBQ851906 KLK851704:KLM851906 KVG851704:KVI851906 LFC851704:LFE851906 LOY851704:LPA851906 LYU851704:LYW851906 MIQ851704:MIS851906 MSM851704:MSO851906 NCI851704:NCK851906 NME851704:NMG851906 NWA851704:NWC851906 OFW851704:OFY851906 OPS851704:OPU851906 OZO851704:OZQ851906 PJK851704:PJM851906 PTG851704:PTI851906 QDC851704:QDE851906 QMY851704:QNA851906 QWU851704:QWW851906 RGQ851704:RGS851906 RQM851704:RQO851906 SAI851704:SAK851906 SKE851704:SKG851906 SUA851704:SUC851906 TDW851704:TDY851906 TNS851704:TNU851906 TXO851704:TXQ851906 UHK851704:UHM851906 URG851704:URI851906 VBC851704:VBE851906 VKY851704:VLA851906 VUU851704:VUW851906 WEQ851704:WES851906 WOM851704:WOO851906 WYI851704:WYK851906 CG917240:CG917442 LW917240:LY917442 VS917240:VU917442 AFO917240:AFQ917442 APK917240:APM917442 AZG917240:AZI917442 BJC917240:BJE917442 BSY917240:BTA917442 CCU917240:CCW917442 CMQ917240:CMS917442 CWM917240:CWO917442 DGI917240:DGK917442 DQE917240:DQG917442 EAA917240:EAC917442 EJW917240:EJY917442 ETS917240:ETU917442 FDO917240:FDQ917442 FNK917240:FNM917442 FXG917240:FXI917442 GHC917240:GHE917442 GQY917240:GRA917442 HAU917240:HAW917442 HKQ917240:HKS917442 HUM917240:HUO917442 IEI917240:IEK917442 IOE917240:IOG917442 IYA917240:IYC917442 JHW917240:JHY917442 JRS917240:JRU917442 KBO917240:KBQ917442 KLK917240:KLM917442 KVG917240:KVI917442 LFC917240:LFE917442 LOY917240:LPA917442 LYU917240:LYW917442 MIQ917240:MIS917442 MSM917240:MSO917442 NCI917240:NCK917442 NME917240:NMG917442 NWA917240:NWC917442 OFW917240:OFY917442 OPS917240:OPU917442 OZO917240:OZQ917442 PJK917240:PJM917442 PTG917240:PTI917442 QDC917240:QDE917442 QMY917240:QNA917442 QWU917240:QWW917442 RGQ917240:RGS917442 RQM917240:RQO917442 SAI917240:SAK917442 SKE917240:SKG917442 SUA917240:SUC917442 TDW917240:TDY917442 TNS917240:TNU917442 TXO917240:TXQ917442 UHK917240:UHM917442 URG917240:URI917442 VBC917240:VBE917442 VKY917240:VLA917442 VUU917240:VUW917442 WEQ917240:WES917442 WOM917240:WOO917442 WYI917240:WYK917442 CG982776:CG982978 LW982776:LY982978 VS982776:VU982978 AFO982776:AFQ982978 APK982776:APM982978 AZG982776:AZI982978 BJC982776:BJE982978 BSY982776:BTA982978 CCU982776:CCW982978 CMQ982776:CMS982978 CWM982776:CWO982978 DGI982776:DGK982978 DQE982776:DQG982978 EAA982776:EAC982978 EJW982776:EJY982978 ETS982776:ETU982978 FDO982776:FDQ982978 FNK982776:FNM982978 FXG982776:FXI982978 GHC982776:GHE982978 GQY982776:GRA982978 HAU982776:HAW982978 HKQ982776:HKS982978 HUM982776:HUO982978 IEI982776:IEK982978 IOE982776:IOG982978 IYA982776:IYC982978 JHW982776:JHY982978 JRS982776:JRU982978 KBO982776:KBQ982978 KLK982776:KLM982978 KVG982776:KVI982978 LFC982776:LFE982978 LOY982776:LPA982978 LYU982776:LYW982978 MIQ982776:MIS982978 MSM982776:MSO982978 NCI982776:NCK982978 NME982776:NMG982978 NWA982776:NWC982978 OFW982776:OFY982978 OPS982776:OPU982978 OZO982776:OZQ982978 PJK982776:PJM982978 PTG982776:PTI982978 QDC982776:QDE982978 QMY982776:QNA982978 QWU982776:QWW982978 RGQ982776:RGS982978 RQM982776:RQO982978 SAI982776:SAK982978 SKE982776:SKG982978 SUA982776:SUC982978 TDW982776:TDY982978 TNS982776:TNU982978 TXO982776:TXQ982978 UHK982776:UHM982978 URG982776:URI982978 VBC982776:VBE982978 VKY982776:VLA982978 VUU982776:VUW982978 WEQ982776:WES982978 WOM982776:WOO982978">
      <formula1>$G$12:$G$12</formula1>
    </dataValidation>
    <dataValidation type="list" allowBlank="1" showInputMessage="1" showErrorMessage="1" sqref="WWP982979:WWP982982 X65475:X65478 KD65475:KD65478 TZ65475:TZ65478 ADV65475:ADV65478 ANR65475:ANR65478 AXN65475:AXN65478 BHJ65475:BHJ65478 BRF65475:BRF65478 CBB65475:CBB65478 CKX65475:CKX65478 CUT65475:CUT65478 DEP65475:DEP65478 DOL65475:DOL65478 DYH65475:DYH65478 EID65475:EID65478 ERZ65475:ERZ65478 FBV65475:FBV65478 FLR65475:FLR65478 FVN65475:FVN65478 GFJ65475:GFJ65478 GPF65475:GPF65478 GZB65475:GZB65478 HIX65475:HIX65478 HST65475:HST65478 ICP65475:ICP65478 IML65475:IML65478 IWH65475:IWH65478 JGD65475:JGD65478 JPZ65475:JPZ65478 JZV65475:JZV65478 KJR65475:KJR65478 KTN65475:KTN65478 LDJ65475:LDJ65478 LNF65475:LNF65478 LXB65475:LXB65478 MGX65475:MGX65478 MQT65475:MQT65478 NAP65475:NAP65478 NKL65475:NKL65478 NUH65475:NUH65478 OED65475:OED65478 ONZ65475:ONZ65478 OXV65475:OXV65478 PHR65475:PHR65478 PRN65475:PRN65478 QBJ65475:QBJ65478 QLF65475:QLF65478 QVB65475:QVB65478 REX65475:REX65478 ROT65475:ROT65478 RYP65475:RYP65478 SIL65475:SIL65478 SSH65475:SSH65478 TCD65475:TCD65478 TLZ65475:TLZ65478 TVV65475:TVV65478 UFR65475:UFR65478 UPN65475:UPN65478 UZJ65475:UZJ65478 VJF65475:VJF65478 VTB65475:VTB65478 WCX65475:WCX65478 WMT65475:WMT65478 WWP65475:WWP65478 X131011:X131014 KD131011:KD131014 TZ131011:TZ131014 ADV131011:ADV131014 ANR131011:ANR131014 AXN131011:AXN131014 BHJ131011:BHJ131014 BRF131011:BRF131014 CBB131011:CBB131014 CKX131011:CKX131014 CUT131011:CUT131014 DEP131011:DEP131014 DOL131011:DOL131014 DYH131011:DYH131014 EID131011:EID131014 ERZ131011:ERZ131014 FBV131011:FBV131014 FLR131011:FLR131014 FVN131011:FVN131014 GFJ131011:GFJ131014 GPF131011:GPF131014 GZB131011:GZB131014 HIX131011:HIX131014 HST131011:HST131014 ICP131011:ICP131014 IML131011:IML131014 IWH131011:IWH131014 JGD131011:JGD131014 JPZ131011:JPZ131014 JZV131011:JZV131014 KJR131011:KJR131014 KTN131011:KTN131014 LDJ131011:LDJ131014 LNF131011:LNF131014 LXB131011:LXB131014 MGX131011:MGX131014 MQT131011:MQT131014 NAP131011:NAP131014 NKL131011:NKL131014 NUH131011:NUH131014 OED131011:OED131014 ONZ131011:ONZ131014 OXV131011:OXV131014 PHR131011:PHR131014 PRN131011:PRN131014 QBJ131011:QBJ131014 QLF131011:QLF131014 QVB131011:QVB131014 REX131011:REX131014 ROT131011:ROT131014 RYP131011:RYP131014 SIL131011:SIL131014 SSH131011:SSH131014 TCD131011:TCD131014 TLZ131011:TLZ131014 TVV131011:TVV131014 UFR131011:UFR131014 UPN131011:UPN131014 UZJ131011:UZJ131014 VJF131011:VJF131014 VTB131011:VTB131014 WCX131011:WCX131014 WMT131011:WMT131014 WWP131011:WWP131014 X196547:X196550 KD196547:KD196550 TZ196547:TZ196550 ADV196547:ADV196550 ANR196547:ANR196550 AXN196547:AXN196550 BHJ196547:BHJ196550 BRF196547:BRF196550 CBB196547:CBB196550 CKX196547:CKX196550 CUT196547:CUT196550 DEP196547:DEP196550 DOL196547:DOL196550 DYH196547:DYH196550 EID196547:EID196550 ERZ196547:ERZ196550 FBV196547:FBV196550 FLR196547:FLR196550 FVN196547:FVN196550 GFJ196547:GFJ196550 GPF196547:GPF196550 GZB196547:GZB196550 HIX196547:HIX196550 HST196547:HST196550 ICP196547:ICP196550 IML196547:IML196550 IWH196547:IWH196550 JGD196547:JGD196550 JPZ196547:JPZ196550 JZV196547:JZV196550 KJR196547:KJR196550 KTN196547:KTN196550 LDJ196547:LDJ196550 LNF196547:LNF196550 LXB196547:LXB196550 MGX196547:MGX196550 MQT196547:MQT196550 NAP196547:NAP196550 NKL196547:NKL196550 NUH196547:NUH196550 OED196547:OED196550 ONZ196547:ONZ196550 OXV196547:OXV196550 PHR196547:PHR196550 PRN196547:PRN196550 QBJ196547:QBJ196550 QLF196547:QLF196550 QVB196547:QVB196550 REX196547:REX196550 ROT196547:ROT196550 RYP196547:RYP196550 SIL196547:SIL196550 SSH196547:SSH196550 TCD196547:TCD196550 TLZ196547:TLZ196550 TVV196547:TVV196550 UFR196547:UFR196550 UPN196547:UPN196550 UZJ196547:UZJ196550 VJF196547:VJF196550 VTB196547:VTB196550 WCX196547:WCX196550 WMT196547:WMT196550 WWP196547:WWP196550 X262083:X262086 KD262083:KD262086 TZ262083:TZ262086 ADV262083:ADV262086 ANR262083:ANR262086 AXN262083:AXN262086 BHJ262083:BHJ262086 BRF262083:BRF262086 CBB262083:CBB262086 CKX262083:CKX262086 CUT262083:CUT262086 DEP262083:DEP262086 DOL262083:DOL262086 DYH262083:DYH262086 EID262083:EID262086 ERZ262083:ERZ262086 FBV262083:FBV262086 FLR262083:FLR262086 FVN262083:FVN262086 GFJ262083:GFJ262086 GPF262083:GPF262086 GZB262083:GZB262086 HIX262083:HIX262086 HST262083:HST262086 ICP262083:ICP262086 IML262083:IML262086 IWH262083:IWH262086 JGD262083:JGD262086 JPZ262083:JPZ262086 JZV262083:JZV262086 KJR262083:KJR262086 KTN262083:KTN262086 LDJ262083:LDJ262086 LNF262083:LNF262086 LXB262083:LXB262086 MGX262083:MGX262086 MQT262083:MQT262086 NAP262083:NAP262086 NKL262083:NKL262086 NUH262083:NUH262086 OED262083:OED262086 ONZ262083:ONZ262086 OXV262083:OXV262086 PHR262083:PHR262086 PRN262083:PRN262086 QBJ262083:QBJ262086 QLF262083:QLF262086 QVB262083:QVB262086 REX262083:REX262086 ROT262083:ROT262086 RYP262083:RYP262086 SIL262083:SIL262086 SSH262083:SSH262086 TCD262083:TCD262086 TLZ262083:TLZ262086 TVV262083:TVV262086 UFR262083:UFR262086 UPN262083:UPN262086 UZJ262083:UZJ262086 VJF262083:VJF262086 VTB262083:VTB262086 WCX262083:WCX262086 WMT262083:WMT262086 WWP262083:WWP262086 X327619:X327622 KD327619:KD327622 TZ327619:TZ327622 ADV327619:ADV327622 ANR327619:ANR327622 AXN327619:AXN327622 BHJ327619:BHJ327622 BRF327619:BRF327622 CBB327619:CBB327622 CKX327619:CKX327622 CUT327619:CUT327622 DEP327619:DEP327622 DOL327619:DOL327622 DYH327619:DYH327622 EID327619:EID327622 ERZ327619:ERZ327622 FBV327619:FBV327622 FLR327619:FLR327622 FVN327619:FVN327622 GFJ327619:GFJ327622 GPF327619:GPF327622 GZB327619:GZB327622 HIX327619:HIX327622 HST327619:HST327622 ICP327619:ICP327622 IML327619:IML327622 IWH327619:IWH327622 JGD327619:JGD327622 JPZ327619:JPZ327622 JZV327619:JZV327622 KJR327619:KJR327622 KTN327619:KTN327622 LDJ327619:LDJ327622 LNF327619:LNF327622 LXB327619:LXB327622 MGX327619:MGX327622 MQT327619:MQT327622 NAP327619:NAP327622 NKL327619:NKL327622 NUH327619:NUH327622 OED327619:OED327622 ONZ327619:ONZ327622 OXV327619:OXV327622 PHR327619:PHR327622 PRN327619:PRN327622 QBJ327619:QBJ327622 QLF327619:QLF327622 QVB327619:QVB327622 REX327619:REX327622 ROT327619:ROT327622 RYP327619:RYP327622 SIL327619:SIL327622 SSH327619:SSH327622 TCD327619:TCD327622 TLZ327619:TLZ327622 TVV327619:TVV327622 UFR327619:UFR327622 UPN327619:UPN327622 UZJ327619:UZJ327622 VJF327619:VJF327622 VTB327619:VTB327622 WCX327619:WCX327622 WMT327619:WMT327622 WWP327619:WWP327622 X393155:X393158 KD393155:KD393158 TZ393155:TZ393158 ADV393155:ADV393158 ANR393155:ANR393158 AXN393155:AXN393158 BHJ393155:BHJ393158 BRF393155:BRF393158 CBB393155:CBB393158 CKX393155:CKX393158 CUT393155:CUT393158 DEP393155:DEP393158 DOL393155:DOL393158 DYH393155:DYH393158 EID393155:EID393158 ERZ393155:ERZ393158 FBV393155:FBV393158 FLR393155:FLR393158 FVN393155:FVN393158 GFJ393155:GFJ393158 GPF393155:GPF393158 GZB393155:GZB393158 HIX393155:HIX393158 HST393155:HST393158 ICP393155:ICP393158 IML393155:IML393158 IWH393155:IWH393158 JGD393155:JGD393158 JPZ393155:JPZ393158 JZV393155:JZV393158 KJR393155:KJR393158 KTN393155:KTN393158 LDJ393155:LDJ393158 LNF393155:LNF393158 LXB393155:LXB393158 MGX393155:MGX393158 MQT393155:MQT393158 NAP393155:NAP393158 NKL393155:NKL393158 NUH393155:NUH393158 OED393155:OED393158 ONZ393155:ONZ393158 OXV393155:OXV393158 PHR393155:PHR393158 PRN393155:PRN393158 QBJ393155:QBJ393158 QLF393155:QLF393158 QVB393155:QVB393158 REX393155:REX393158 ROT393155:ROT393158 RYP393155:RYP393158 SIL393155:SIL393158 SSH393155:SSH393158 TCD393155:TCD393158 TLZ393155:TLZ393158 TVV393155:TVV393158 UFR393155:UFR393158 UPN393155:UPN393158 UZJ393155:UZJ393158 VJF393155:VJF393158 VTB393155:VTB393158 WCX393155:WCX393158 WMT393155:WMT393158 WWP393155:WWP393158 X458691:X458694 KD458691:KD458694 TZ458691:TZ458694 ADV458691:ADV458694 ANR458691:ANR458694 AXN458691:AXN458694 BHJ458691:BHJ458694 BRF458691:BRF458694 CBB458691:CBB458694 CKX458691:CKX458694 CUT458691:CUT458694 DEP458691:DEP458694 DOL458691:DOL458694 DYH458691:DYH458694 EID458691:EID458694 ERZ458691:ERZ458694 FBV458691:FBV458694 FLR458691:FLR458694 FVN458691:FVN458694 GFJ458691:GFJ458694 GPF458691:GPF458694 GZB458691:GZB458694 HIX458691:HIX458694 HST458691:HST458694 ICP458691:ICP458694 IML458691:IML458694 IWH458691:IWH458694 JGD458691:JGD458694 JPZ458691:JPZ458694 JZV458691:JZV458694 KJR458691:KJR458694 KTN458691:KTN458694 LDJ458691:LDJ458694 LNF458691:LNF458694 LXB458691:LXB458694 MGX458691:MGX458694 MQT458691:MQT458694 NAP458691:NAP458694 NKL458691:NKL458694 NUH458691:NUH458694 OED458691:OED458694 ONZ458691:ONZ458694 OXV458691:OXV458694 PHR458691:PHR458694 PRN458691:PRN458694 QBJ458691:QBJ458694 QLF458691:QLF458694 QVB458691:QVB458694 REX458691:REX458694 ROT458691:ROT458694 RYP458691:RYP458694 SIL458691:SIL458694 SSH458691:SSH458694 TCD458691:TCD458694 TLZ458691:TLZ458694 TVV458691:TVV458694 UFR458691:UFR458694 UPN458691:UPN458694 UZJ458691:UZJ458694 VJF458691:VJF458694 VTB458691:VTB458694 WCX458691:WCX458694 WMT458691:WMT458694 WWP458691:WWP458694 X524227:X524230 KD524227:KD524230 TZ524227:TZ524230 ADV524227:ADV524230 ANR524227:ANR524230 AXN524227:AXN524230 BHJ524227:BHJ524230 BRF524227:BRF524230 CBB524227:CBB524230 CKX524227:CKX524230 CUT524227:CUT524230 DEP524227:DEP524230 DOL524227:DOL524230 DYH524227:DYH524230 EID524227:EID524230 ERZ524227:ERZ524230 FBV524227:FBV524230 FLR524227:FLR524230 FVN524227:FVN524230 GFJ524227:GFJ524230 GPF524227:GPF524230 GZB524227:GZB524230 HIX524227:HIX524230 HST524227:HST524230 ICP524227:ICP524230 IML524227:IML524230 IWH524227:IWH524230 JGD524227:JGD524230 JPZ524227:JPZ524230 JZV524227:JZV524230 KJR524227:KJR524230 KTN524227:KTN524230 LDJ524227:LDJ524230 LNF524227:LNF524230 LXB524227:LXB524230 MGX524227:MGX524230 MQT524227:MQT524230 NAP524227:NAP524230 NKL524227:NKL524230 NUH524227:NUH524230 OED524227:OED524230 ONZ524227:ONZ524230 OXV524227:OXV524230 PHR524227:PHR524230 PRN524227:PRN524230 QBJ524227:QBJ524230 QLF524227:QLF524230 QVB524227:QVB524230 REX524227:REX524230 ROT524227:ROT524230 RYP524227:RYP524230 SIL524227:SIL524230 SSH524227:SSH524230 TCD524227:TCD524230 TLZ524227:TLZ524230 TVV524227:TVV524230 UFR524227:UFR524230 UPN524227:UPN524230 UZJ524227:UZJ524230 VJF524227:VJF524230 VTB524227:VTB524230 WCX524227:WCX524230 WMT524227:WMT524230 WWP524227:WWP524230 X589763:X589766 KD589763:KD589766 TZ589763:TZ589766 ADV589763:ADV589766 ANR589763:ANR589766 AXN589763:AXN589766 BHJ589763:BHJ589766 BRF589763:BRF589766 CBB589763:CBB589766 CKX589763:CKX589766 CUT589763:CUT589766 DEP589763:DEP589766 DOL589763:DOL589766 DYH589763:DYH589766 EID589763:EID589766 ERZ589763:ERZ589766 FBV589763:FBV589766 FLR589763:FLR589766 FVN589763:FVN589766 GFJ589763:GFJ589766 GPF589763:GPF589766 GZB589763:GZB589766 HIX589763:HIX589766 HST589763:HST589766 ICP589763:ICP589766 IML589763:IML589766 IWH589763:IWH589766 JGD589763:JGD589766 JPZ589763:JPZ589766 JZV589763:JZV589766 KJR589763:KJR589766 KTN589763:KTN589766 LDJ589763:LDJ589766 LNF589763:LNF589766 LXB589763:LXB589766 MGX589763:MGX589766 MQT589763:MQT589766 NAP589763:NAP589766 NKL589763:NKL589766 NUH589763:NUH589766 OED589763:OED589766 ONZ589763:ONZ589766 OXV589763:OXV589766 PHR589763:PHR589766 PRN589763:PRN589766 QBJ589763:QBJ589766 QLF589763:QLF589766 QVB589763:QVB589766 REX589763:REX589766 ROT589763:ROT589766 RYP589763:RYP589766 SIL589763:SIL589766 SSH589763:SSH589766 TCD589763:TCD589766 TLZ589763:TLZ589766 TVV589763:TVV589766 UFR589763:UFR589766 UPN589763:UPN589766 UZJ589763:UZJ589766 VJF589763:VJF589766 VTB589763:VTB589766 WCX589763:WCX589766 WMT589763:WMT589766 WWP589763:WWP589766 X655299:X655302 KD655299:KD655302 TZ655299:TZ655302 ADV655299:ADV655302 ANR655299:ANR655302 AXN655299:AXN655302 BHJ655299:BHJ655302 BRF655299:BRF655302 CBB655299:CBB655302 CKX655299:CKX655302 CUT655299:CUT655302 DEP655299:DEP655302 DOL655299:DOL655302 DYH655299:DYH655302 EID655299:EID655302 ERZ655299:ERZ655302 FBV655299:FBV655302 FLR655299:FLR655302 FVN655299:FVN655302 GFJ655299:GFJ655302 GPF655299:GPF655302 GZB655299:GZB655302 HIX655299:HIX655302 HST655299:HST655302 ICP655299:ICP655302 IML655299:IML655302 IWH655299:IWH655302 JGD655299:JGD655302 JPZ655299:JPZ655302 JZV655299:JZV655302 KJR655299:KJR655302 KTN655299:KTN655302 LDJ655299:LDJ655302 LNF655299:LNF655302 LXB655299:LXB655302 MGX655299:MGX655302 MQT655299:MQT655302 NAP655299:NAP655302 NKL655299:NKL655302 NUH655299:NUH655302 OED655299:OED655302 ONZ655299:ONZ655302 OXV655299:OXV655302 PHR655299:PHR655302 PRN655299:PRN655302 QBJ655299:QBJ655302 QLF655299:QLF655302 QVB655299:QVB655302 REX655299:REX655302 ROT655299:ROT655302 RYP655299:RYP655302 SIL655299:SIL655302 SSH655299:SSH655302 TCD655299:TCD655302 TLZ655299:TLZ655302 TVV655299:TVV655302 UFR655299:UFR655302 UPN655299:UPN655302 UZJ655299:UZJ655302 VJF655299:VJF655302 VTB655299:VTB655302 WCX655299:WCX655302 WMT655299:WMT655302 WWP655299:WWP655302 X720835:X720838 KD720835:KD720838 TZ720835:TZ720838 ADV720835:ADV720838 ANR720835:ANR720838 AXN720835:AXN720838 BHJ720835:BHJ720838 BRF720835:BRF720838 CBB720835:CBB720838 CKX720835:CKX720838 CUT720835:CUT720838 DEP720835:DEP720838 DOL720835:DOL720838 DYH720835:DYH720838 EID720835:EID720838 ERZ720835:ERZ720838 FBV720835:FBV720838 FLR720835:FLR720838 FVN720835:FVN720838 GFJ720835:GFJ720838 GPF720835:GPF720838 GZB720835:GZB720838 HIX720835:HIX720838 HST720835:HST720838 ICP720835:ICP720838 IML720835:IML720838 IWH720835:IWH720838 JGD720835:JGD720838 JPZ720835:JPZ720838 JZV720835:JZV720838 KJR720835:KJR720838 KTN720835:KTN720838 LDJ720835:LDJ720838 LNF720835:LNF720838 LXB720835:LXB720838 MGX720835:MGX720838 MQT720835:MQT720838 NAP720835:NAP720838 NKL720835:NKL720838 NUH720835:NUH720838 OED720835:OED720838 ONZ720835:ONZ720838 OXV720835:OXV720838 PHR720835:PHR720838 PRN720835:PRN720838 QBJ720835:QBJ720838 QLF720835:QLF720838 QVB720835:QVB720838 REX720835:REX720838 ROT720835:ROT720838 RYP720835:RYP720838 SIL720835:SIL720838 SSH720835:SSH720838 TCD720835:TCD720838 TLZ720835:TLZ720838 TVV720835:TVV720838 UFR720835:UFR720838 UPN720835:UPN720838 UZJ720835:UZJ720838 VJF720835:VJF720838 VTB720835:VTB720838 WCX720835:WCX720838 WMT720835:WMT720838 WWP720835:WWP720838 X786371:X786374 KD786371:KD786374 TZ786371:TZ786374 ADV786371:ADV786374 ANR786371:ANR786374 AXN786371:AXN786374 BHJ786371:BHJ786374 BRF786371:BRF786374 CBB786371:CBB786374 CKX786371:CKX786374 CUT786371:CUT786374 DEP786371:DEP786374 DOL786371:DOL786374 DYH786371:DYH786374 EID786371:EID786374 ERZ786371:ERZ786374 FBV786371:FBV786374 FLR786371:FLR786374 FVN786371:FVN786374 GFJ786371:GFJ786374 GPF786371:GPF786374 GZB786371:GZB786374 HIX786371:HIX786374 HST786371:HST786374 ICP786371:ICP786374 IML786371:IML786374 IWH786371:IWH786374 JGD786371:JGD786374 JPZ786371:JPZ786374 JZV786371:JZV786374 KJR786371:KJR786374 KTN786371:KTN786374 LDJ786371:LDJ786374 LNF786371:LNF786374 LXB786371:LXB786374 MGX786371:MGX786374 MQT786371:MQT786374 NAP786371:NAP786374 NKL786371:NKL786374 NUH786371:NUH786374 OED786371:OED786374 ONZ786371:ONZ786374 OXV786371:OXV786374 PHR786371:PHR786374 PRN786371:PRN786374 QBJ786371:QBJ786374 QLF786371:QLF786374 QVB786371:QVB786374 REX786371:REX786374 ROT786371:ROT786374 RYP786371:RYP786374 SIL786371:SIL786374 SSH786371:SSH786374 TCD786371:TCD786374 TLZ786371:TLZ786374 TVV786371:TVV786374 UFR786371:UFR786374 UPN786371:UPN786374 UZJ786371:UZJ786374 VJF786371:VJF786374 VTB786371:VTB786374 WCX786371:WCX786374 WMT786371:WMT786374 WWP786371:WWP786374 X851907:X851910 KD851907:KD851910 TZ851907:TZ851910 ADV851907:ADV851910 ANR851907:ANR851910 AXN851907:AXN851910 BHJ851907:BHJ851910 BRF851907:BRF851910 CBB851907:CBB851910 CKX851907:CKX851910 CUT851907:CUT851910 DEP851907:DEP851910 DOL851907:DOL851910 DYH851907:DYH851910 EID851907:EID851910 ERZ851907:ERZ851910 FBV851907:FBV851910 FLR851907:FLR851910 FVN851907:FVN851910 GFJ851907:GFJ851910 GPF851907:GPF851910 GZB851907:GZB851910 HIX851907:HIX851910 HST851907:HST851910 ICP851907:ICP851910 IML851907:IML851910 IWH851907:IWH851910 JGD851907:JGD851910 JPZ851907:JPZ851910 JZV851907:JZV851910 KJR851907:KJR851910 KTN851907:KTN851910 LDJ851907:LDJ851910 LNF851907:LNF851910 LXB851907:LXB851910 MGX851907:MGX851910 MQT851907:MQT851910 NAP851907:NAP851910 NKL851907:NKL851910 NUH851907:NUH851910 OED851907:OED851910 ONZ851907:ONZ851910 OXV851907:OXV851910 PHR851907:PHR851910 PRN851907:PRN851910 QBJ851907:QBJ851910 QLF851907:QLF851910 QVB851907:QVB851910 REX851907:REX851910 ROT851907:ROT851910 RYP851907:RYP851910 SIL851907:SIL851910 SSH851907:SSH851910 TCD851907:TCD851910 TLZ851907:TLZ851910 TVV851907:TVV851910 UFR851907:UFR851910 UPN851907:UPN851910 UZJ851907:UZJ851910 VJF851907:VJF851910 VTB851907:VTB851910 WCX851907:WCX851910 WMT851907:WMT851910 WWP851907:WWP851910 X917443:X917446 KD917443:KD917446 TZ917443:TZ917446 ADV917443:ADV917446 ANR917443:ANR917446 AXN917443:AXN917446 BHJ917443:BHJ917446 BRF917443:BRF917446 CBB917443:CBB917446 CKX917443:CKX917446 CUT917443:CUT917446 DEP917443:DEP917446 DOL917443:DOL917446 DYH917443:DYH917446 EID917443:EID917446 ERZ917443:ERZ917446 FBV917443:FBV917446 FLR917443:FLR917446 FVN917443:FVN917446 GFJ917443:GFJ917446 GPF917443:GPF917446 GZB917443:GZB917446 HIX917443:HIX917446 HST917443:HST917446 ICP917443:ICP917446 IML917443:IML917446 IWH917443:IWH917446 JGD917443:JGD917446 JPZ917443:JPZ917446 JZV917443:JZV917446 KJR917443:KJR917446 KTN917443:KTN917446 LDJ917443:LDJ917446 LNF917443:LNF917446 LXB917443:LXB917446 MGX917443:MGX917446 MQT917443:MQT917446 NAP917443:NAP917446 NKL917443:NKL917446 NUH917443:NUH917446 OED917443:OED917446 ONZ917443:ONZ917446 OXV917443:OXV917446 PHR917443:PHR917446 PRN917443:PRN917446 QBJ917443:QBJ917446 QLF917443:QLF917446 QVB917443:QVB917446 REX917443:REX917446 ROT917443:ROT917446 RYP917443:RYP917446 SIL917443:SIL917446 SSH917443:SSH917446 TCD917443:TCD917446 TLZ917443:TLZ917446 TVV917443:TVV917446 UFR917443:UFR917446 UPN917443:UPN917446 UZJ917443:UZJ917446 VJF917443:VJF917446 VTB917443:VTB917446 WCX917443:WCX917446 WMT917443:WMT917446 WWP917443:WWP917446 X982979:X982982 KD982979:KD982982 TZ982979:TZ982982 ADV982979:ADV982982 ANR982979:ANR982982 AXN982979:AXN982982 BHJ982979:BHJ982982 BRF982979:BRF982982 CBB982979:CBB982982 CKX982979:CKX982982 CUT982979:CUT982982 DEP982979:DEP982982 DOL982979:DOL982982 DYH982979:DYH982982 EID982979:EID982982 ERZ982979:ERZ982982 FBV982979:FBV982982 FLR982979:FLR982982 FVN982979:FVN982982 GFJ982979:GFJ982982 GPF982979:GPF982982 GZB982979:GZB982982 HIX982979:HIX982982 HST982979:HST982982 ICP982979:ICP982982 IML982979:IML982982 IWH982979:IWH982982 JGD982979:JGD982982 JPZ982979:JPZ982982 JZV982979:JZV982982 KJR982979:KJR982982 KTN982979:KTN982982 LDJ982979:LDJ982982 LNF982979:LNF982982 LXB982979:LXB982982 MGX982979:MGX982982 MQT982979:MQT982982 NAP982979:NAP982982 NKL982979:NKL982982 NUH982979:NUH982982 OED982979:OED982982 ONZ982979:ONZ982982 OXV982979:OXV982982 PHR982979:PHR982982 PRN982979:PRN982982 QBJ982979:QBJ982982 QLF982979:QLF982982 QVB982979:QVB982982 REX982979:REX982982 ROT982979:ROT982982 RYP982979:RYP982982 SIL982979:SIL982982 SSH982979:SSH982982 TCD982979:TCD982982 TLZ982979:TLZ982982 TVV982979:TVV982982 UFR982979:UFR982982 UPN982979:UPN982982 UZJ982979:UZJ982982 VJF982979:VJF982982 VTB982979:VTB982982 WCX982979:WCX982982 WMT982979:WMT982982">
      <formula1>$B$59:$B$62</formula1>
    </dataValidation>
    <dataValidation type="list" allowBlank="1" showInputMessage="1" showErrorMessage="1" sqref="WXP982979:WXP982982 AV65475:AV65478 KW65475:KW65478 US65475:US65478 AEO65475:AEO65478 AOK65475:AOK65478 AYG65475:AYG65478 BIC65475:BIC65478 BRY65475:BRY65478 CBU65475:CBU65478 CLQ65475:CLQ65478 CVM65475:CVM65478 DFI65475:DFI65478 DPE65475:DPE65478 DZA65475:DZA65478 EIW65475:EIW65478 ESS65475:ESS65478 FCO65475:FCO65478 FMK65475:FMK65478 FWG65475:FWG65478 GGC65475:GGC65478 GPY65475:GPY65478 GZU65475:GZU65478 HJQ65475:HJQ65478 HTM65475:HTM65478 IDI65475:IDI65478 INE65475:INE65478 IXA65475:IXA65478 JGW65475:JGW65478 JQS65475:JQS65478 KAO65475:KAO65478 KKK65475:KKK65478 KUG65475:KUG65478 LEC65475:LEC65478 LNY65475:LNY65478 LXU65475:LXU65478 MHQ65475:MHQ65478 MRM65475:MRM65478 NBI65475:NBI65478 NLE65475:NLE65478 NVA65475:NVA65478 OEW65475:OEW65478 OOS65475:OOS65478 OYO65475:OYO65478 PIK65475:PIK65478 PSG65475:PSG65478 QCC65475:QCC65478 QLY65475:QLY65478 QVU65475:QVU65478 RFQ65475:RFQ65478 RPM65475:RPM65478 RZI65475:RZI65478 SJE65475:SJE65478 STA65475:STA65478 TCW65475:TCW65478 TMS65475:TMS65478 TWO65475:TWO65478 UGK65475:UGK65478 UQG65475:UQG65478 VAC65475:VAC65478 VJY65475:VJY65478 VTU65475:VTU65478 WDQ65475:WDQ65478 WNM65475:WNM65478 WXI65475:WXI65478 AV131011:AV131014 KW131011:KW131014 US131011:US131014 AEO131011:AEO131014 AOK131011:AOK131014 AYG131011:AYG131014 BIC131011:BIC131014 BRY131011:BRY131014 CBU131011:CBU131014 CLQ131011:CLQ131014 CVM131011:CVM131014 DFI131011:DFI131014 DPE131011:DPE131014 DZA131011:DZA131014 EIW131011:EIW131014 ESS131011:ESS131014 FCO131011:FCO131014 FMK131011:FMK131014 FWG131011:FWG131014 GGC131011:GGC131014 GPY131011:GPY131014 GZU131011:GZU131014 HJQ131011:HJQ131014 HTM131011:HTM131014 IDI131011:IDI131014 INE131011:INE131014 IXA131011:IXA131014 JGW131011:JGW131014 JQS131011:JQS131014 KAO131011:KAO131014 KKK131011:KKK131014 KUG131011:KUG131014 LEC131011:LEC131014 LNY131011:LNY131014 LXU131011:LXU131014 MHQ131011:MHQ131014 MRM131011:MRM131014 NBI131011:NBI131014 NLE131011:NLE131014 NVA131011:NVA131014 OEW131011:OEW131014 OOS131011:OOS131014 OYO131011:OYO131014 PIK131011:PIK131014 PSG131011:PSG131014 QCC131011:QCC131014 QLY131011:QLY131014 QVU131011:QVU131014 RFQ131011:RFQ131014 RPM131011:RPM131014 RZI131011:RZI131014 SJE131011:SJE131014 STA131011:STA131014 TCW131011:TCW131014 TMS131011:TMS131014 TWO131011:TWO131014 UGK131011:UGK131014 UQG131011:UQG131014 VAC131011:VAC131014 VJY131011:VJY131014 VTU131011:VTU131014 WDQ131011:WDQ131014 WNM131011:WNM131014 WXI131011:WXI131014 AV196547:AV196550 KW196547:KW196550 US196547:US196550 AEO196547:AEO196550 AOK196547:AOK196550 AYG196547:AYG196550 BIC196547:BIC196550 BRY196547:BRY196550 CBU196547:CBU196550 CLQ196547:CLQ196550 CVM196547:CVM196550 DFI196547:DFI196550 DPE196547:DPE196550 DZA196547:DZA196550 EIW196547:EIW196550 ESS196547:ESS196550 FCO196547:FCO196550 FMK196547:FMK196550 FWG196547:FWG196550 GGC196547:GGC196550 GPY196547:GPY196550 GZU196547:GZU196550 HJQ196547:HJQ196550 HTM196547:HTM196550 IDI196547:IDI196550 INE196547:INE196550 IXA196547:IXA196550 JGW196547:JGW196550 JQS196547:JQS196550 KAO196547:KAO196550 KKK196547:KKK196550 KUG196547:KUG196550 LEC196547:LEC196550 LNY196547:LNY196550 LXU196547:LXU196550 MHQ196547:MHQ196550 MRM196547:MRM196550 NBI196547:NBI196550 NLE196547:NLE196550 NVA196547:NVA196550 OEW196547:OEW196550 OOS196547:OOS196550 OYO196547:OYO196550 PIK196547:PIK196550 PSG196547:PSG196550 QCC196547:QCC196550 QLY196547:QLY196550 QVU196547:QVU196550 RFQ196547:RFQ196550 RPM196547:RPM196550 RZI196547:RZI196550 SJE196547:SJE196550 STA196547:STA196550 TCW196547:TCW196550 TMS196547:TMS196550 TWO196547:TWO196550 UGK196547:UGK196550 UQG196547:UQG196550 VAC196547:VAC196550 VJY196547:VJY196550 VTU196547:VTU196550 WDQ196547:WDQ196550 WNM196547:WNM196550 WXI196547:WXI196550 AV262083:AV262086 KW262083:KW262086 US262083:US262086 AEO262083:AEO262086 AOK262083:AOK262086 AYG262083:AYG262086 BIC262083:BIC262086 BRY262083:BRY262086 CBU262083:CBU262086 CLQ262083:CLQ262086 CVM262083:CVM262086 DFI262083:DFI262086 DPE262083:DPE262086 DZA262083:DZA262086 EIW262083:EIW262086 ESS262083:ESS262086 FCO262083:FCO262086 FMK262083:FMK262086 FWG262083:FWG262086 GGC262083:GGC262086 GPY262083:GPY262086 GZU262083:GZU262086 HJQ262083:HJQ262086 HTM262083:HTM262086 IDI262083:IDI262086 INE262083:INE262086 IXA262083:IXA262086 JGW262083:JGW262086 JQS262083:JQS262086 KAO262083:KAO262086 KKK262083:KKK262086 KUG262083:KUG262086 LEC262083:LEC262086 LNY262083:LNY262086 LXU262083:LXU262086 MHQ262083:MHQ262086 MRM262083:MRM262086 NBI262083:NBI262086 NLE262083:NLE262086 NVA262083:NVA262086 OEW262083:OEW262086 OOS262083:OOS262086 OYO262083:OYO262086 PIK262083:PIK262086 PSG262083:PSG262086 QCC262083:QCC262086 QLY262083:QLY262086 QVU262083:QVU262086 RFQ262083:RFQ262086 RPM262083:RPM262086 RZI262083:RZI262086 SJE262083:SJE262086 STA262083:STA262086 TCW262083:TCW262086 TMS262083:TMS262086 TWO262083:TWO262086 UGK262083:UGK262086 UQG262083:UQG262086 VAC262083:VAC262086 VJY262083:VJY262086 VTU262083:VTU262086 WDQ262083:WDQ262086 WNM262083:WNM262086 WXI262083:WXI262086 AV327619:AV327622 KW327619:KW327622 US327619:US327622 AEO327619:AEO327622 AOK327619:AOK327622 AYG327619:AYG327622 BIC327619:BIC327622 BRY327619:BRY327622 CBU327619:CBU327622 CLQ327619:CLQ327622 CVM327619:CVM327622 DFI327619:DFI327622 DPE327619:DPE327622 DZA327619:DZA327622 EIW327619:EIW327622 ESS327619:ESS327622 FCO327619:FCO327622 FMK327619:FMK327622 FWG327619:FWG327622 GGC327619:GGC327622 GPY327619:GPY327622 GZU327619:GZU327622 HJQ327619:HJQ327622 HTM327619:HTM327622 IDI327619:IDI327622 INE327619:INE327622 IXA327619:IXA327622 JGW327619:JGW327622 JQS327619:JQS327622 KAO327619:KAO327622 KKK327619:KKK327622 KUG327619:KUG327622 LEC327619:LEC327622 LNY327619:LNY327622 LXU327619:LXU327622 MHQ327619:MHQ327622 MRM327619:MRM327622 NBI327619:NBI327622 NLE327619:NLE327622 NVA327619:NVA327622 OEW327619:OEW327622 OOS327619:OOS327622 OYO327619:OYO327622 PIK327619:PIK327622 PSG327619:PSG327622 QCC327619:QCC327622 QLY327619:QLY327622 QVU327619:QVU327622 RFQ327619:RFQ327622 RPM327619:RPM327622 RZI327619:RZI327622 SJE327619:SJE327622 STA327619:STA327622 TCW327619:TCW327622 TMS327619:TMS327622 TWO327619:TWO327622 UGK327619:UGK327622 UQG327619:UQG327622 VAC327619:VAC327622 VJY327619:VJY327622 VTU327619:VTU327622 WDQ327619:WDQ327622 WNM327619:WNM327622 WXI327619:WXI327622 AV393155:AV393158 KW393155:KW393158 US393155:US393158 AEO393155:AEO393158 AOK393155:AOK393158 AYG393155:AYG393158 BIC393155:BIC393158 BRY393155:BRY393158 CBU393155:CBU393158 CLQ393155:CLQ393158 CVM393155:CVM393158 DFI393155:DFI393158 DPE393155:DPE393158 DZA393155:DZA393158 EIW393155:EIW393158 ESS393155:ESS393158 FCO393155:FCO393158 FMK393155:FMK393158 FWG393155:FWG393158 GGC393155:GGC393158 GPY393155:GPY393158 GZU393155:GZU393158 HJQ393155:HJQ393158 HTM393155:HTM393158 IDI393155:IDI393158 INE393155:INE393158 IXA393155:IXA393158 JGW393155:JGW393158 JQS393155:JQS393158 KAO393155:KAO393158 KKK393155:KKK393158 KUG393155:KUG393158 LEC393155:LEC393158 LNY393155:LNY393158 LXU393155:LXU393158 MHQ393155:MHQ393158 MRM393155:MRM393158 NBI393155:NBI393158 NLE393155:NLE393158 NVA393155:NVA393158 OEW393155:OEW393158 OOS393155:OOS393158 OYO393155:OYO393158 PIK393155:PIK393158 PSG393155:PSG393158 QCC393155:QCC393158 QLY393155:QLY393158 QVU393155:QVU393158 RFQ393155:RFQ393158 RPM393155:RPM393158 RZI393155:RZI393158 SJE393155:SJE393158 STA393155:STA393158 TCW393155:TCW393158 TMS393155:TMS393158 TWO393155:TWO393158 UGK393155:UGK393158 UQG393155:UQG393158 VAC393155:VAC393158 VJY393155:VJY393158 VTU393155:VTU393158 WDQ393155:WDQ393158 WNM393155:WNM393158 WXI393155:WXI393158 AV458691:AV458694 KW458691:KW458694 US458691:US458694 AEO458691:AEO458694 AOK458691:AOK458694 AYG458691:AYG458694 BIC458691:BIC458694 BRY458691:BRY458694 CBU458691:CBU458694 CLQ458691:CLQ458694 CVM458691:CVM458694 DFI458691:DFI458694 DPE458691:DPE458694 DZA458691:DZA458694 EIW458691:EIW458694 ESS458691:ESS458694 FCO458691:FCO458694 FMK458691:FMK458694 FWG458691:FWG458694 GGC458691:GGC458694 GPY458691:GPY458694 GZU458691:GZU458694 HJQ458691:HJQ458694 HTM458691:HTM458694 IDI458691:IDI458694 INE458691:INE458694 IXA458691:IXA458694 JGW458691:JGW458694 JQS458691:JQS458694 KAO458691:KAO458694 KKK458691:KKK458694 KUG458691:KUG458694 LEC458691:LEC458694 LNY458691:LNY458694 LXU458691:LXU458694 MHQ458691:MHQ458694 MRM458691:MRM458694 NBI458691:NBI458694 NLE458691:NLE458694 NVA458691:NVA458694 OEW458691:OEW458694 OOS458691:OOS458694 OYO458691:OYO458694 PIK458691:PIK458694 PSG458691:PSG458694 QCC458691:QCC458694 QLY458691:QLY458694 QVU458691:QVU458694 RFQ458691:RFQ458694 RPM458691:RPM458694 RZI458691:RZI458694 SJE458691:SJE458694 STA458691:STA458694 TCW458691:TCW458694 TMS458691:TMS458694 TWO458691:TWO458694 UGK458691:UGK458694 UQG458691:UQG458694 VAC458691:VAC458694 VJY458691:VJY458694 VTU458691:VTU458694 WDQ458691:WDQ458694 WNM458691:WNM458694 WXI458691:WXI458694 AV524227:AV524230 KW524227:KW524230 US524227:US524230 AEO524227:AEO524230 AOK524227:AOK524230 AYG524227:AYG524230 BIC524227:BIC524230 BRY524227:BRY524230 CBU524227:CBU524230 CLQ524227:CLQ524230 CVM524227:CVM524230 DFI524227:DFI524230 DPE524227:DPE524230 DZA524227:DZA524230 EIW524227:EIW524230 ESS524227:ESS524230 FCO524227:FCO524230 FMK524227:FMK524230 FWG524227:FWG524230 GGC524227:GGC524230 GPY524227:GPY524230 GZU524227:GZU524230 HJQ524227:HJQ524230 HTM524227:HTM524230 IDI524227:IDI524230 INE524227:INE524230 IXA524227:IXA524230 JGW524227:JGW524230 JQS524227:JQS524230 KAO524227:KAO524230 KKK524227:KKK524230 KUG524227:KUG524230 LEC524227:LEC524230 LNY524227:LNY524230 LXU524227:LXU524230 MHQ524227:MHQ524230 MRM524227:MRM524230 NBI524227:NBI524230 NLE524227:NLE524230 NVA524227:NVA524230 OEW524227:OEW524230 OOS524227:OOS524230 OYO524227:OYO524230 PIK524227:PIK524230 PSG524227:PSG524230 QCC524227:QCC524230 QLY524227:QLY524230 QVU524227:QVU524230 RFQ524227:RFQ524230 RPM524227:RPM524230 RZI524227:RZI524230 SJE524227:SJE524230 STA524227:STA524230 TCW524227:TCW524230 TMS524227:TMS524230 TWO524227:TWO524230 UGK524227:UGK524230 UQG524227:UQG524230 VAC524227:VAC524230 VJY524227:VJY524230 VTU524227:VTU524230 WDQ524227:WDQ524230 WNM524227:WNM524230 WXI524227:WXI524230 AV589763:AV589766 KW589763:KW589766 US589763:US589766 AEO589763:AEO589766 AOK589763:AOK589766 AYG589763:AYG589766 BIC589763:BIC589766 BRY589763:BRY589766 CBU589763:CBU589766 CLQ589763:CLQ589766 CVM589763:CVM589766 DFI589763:DFI589766 DPE589763:DPE589766 DZA589763:DZA589766 EIW589763:EIW589766 ESS589763:ESS589766 FCO589763:FCO589766 FMK589763:FMK589766 FWG589763:FWG589766 GGC589763:GGC589766 GPY589763:GPY589766 GZU589763:GZU589766 HJQ589763:HJQ589766 HTM589763:HTM589766 IDI589763:IDI589766 INE589763:INE589766 IXA589763:IXA589766 JGW589763:JGW589766 JQS589763:JQS589766 KAO589763:KAO589766 KKK589763:KKK589766 KUG589763:KUG589766 LEC589763:LEC589766 LNY589763:LNY589766 LXU589763:LXU589766 MHQ589763:MHQ589766 MRM589763:MRM589766 NBI589763:NBI589766 NLE589763:NLE589766 NVA589763:NVA589766 OEW589763:OEW589766 OOS589763:OOS589766 OYO589763:OYO589766 PIK589763:PIK589766 PSG589763:PSG589766 QCC589763:QCC589766 QLY589763:QLY589766 QVU589763:QVU589766 RFQ589763:RFQ589766 RPM589763:RPM589766 RZI589763:RZI589766 SJE589763:SJE589766 STA589763:STA589766 TCW589763:TCW589766 TMS589763:TMS589766 TWO589763:TWO589766 UGK589763:UGK589766 UQG589763:UQG589766 VAC589763:VAC589766 VJY589763:VJY589766 VTU589763:VTU589766 WDQ589763:WDQ589766 WNM589763:WNM589766 WXI589763:WXI589766 AV655299:AV655302 KW655299:KW655302 US655299:US655302 AEO655299:AEO655302 AOK655299:AOK655302 AYG655299:AYG655302 BIC655299:BIC655302 BRY655299:BRY655302 CBU655299:CBU655302 CLQ655299:CLQ655302 CVM655299:CVM655302 DFI655299:DFI655302 DPE655299:DPE655302 DZA655299:DZA655302 EIW655299:EIW655302 ESS655299:ESS655302 FCO655299:FCO655302 FMK655299:FMK655302 FWG655299:FWG655302 GGC655299:GGC655302 GPY655299:GPY655302 GZU655299:GZU655302 HJQ655299:HJQ655302 HTM655299:HTM655302 IDI655299:IDI655302 INE655299:INE655302 IXA655299:IXA655302 JGW655299:JGW655302 JQS655299:JQS655302 KAO655299:KAO655302 KKK655299:KKK655302 KUG655299:KUG655302 LEC655299:LEC655302 LNY655299:LNY655302 LXU655299:LXU655302 MHQ655299:MHQ655302 MRM655299:MRM655302 NBI655299:NBI655302 NLE655299:NLE655302 NVA655299:NVA655302 OEW655299:OEW655302 OOS655299:OOS655302 OYO655299:OYO655302 PIK655299:PIK655302 PSG655299:PSG655302 QCC655299:QCC655302 QLY655299:QLY655302 QVU655299:QVU655302 RFQ655299:RFQ655302 RPM655299:RPM655302 RZI655299:RZI655302 SJE655299:SJE655302 STA655299:STA655302 TCW655299:TCW655302 TMS655299:TMS655302 TWO655299:TWO655302 UGK655299:UGK655302 UQG655299:UQG655302 VAC655299:VAC655302 VJY655299:VJY655302 VTU655299:VTU655302 WDQ655299:WDQ655302 WNM655299:WNM655302 WXI655299:WXI655302 AV720835:AV720838 KW720835:KW720838 US720835:US720838 AEO720835:AEO720838 AOK720835:AOK720838 AYG720835:AYG720838 BIC720835:BIC720838 BRY720835:BRY720838 CBU720835:CBU720838 CLQ720835:CLQ720838 CVM720835:CVM720838 DFI720835:DFI720838 DPE720835:DPE720838 DZA720835:DZA720838 EIW720835:EIW720838 ESS720835:ESS720838 FCO720835:FCO720838 FMK720835:FMK720838 FWG720835:FWG720838 GGC720835:GGC720838 GPY720835:GPY720838 GZU720835:GZU720838 HJQ720835:HJQ720838 HTM720835:HTM720838 IDI720835:IDI720838 INE720835:INE720838 IXA720835:IXA720838 JGW720835:JGW720838 JQS720835:JQS720838 KAO720835:KAO720838 KKK720835:KKK720838 KUG720835:KUG720838 LEC720835:LEC720838 LNY720835:LNY720838 LXU720835:LXU720838 MHQ720835:MHQ720838 MRM720835:MRM720838 NBI720835:NBI720838 NLE720835:NLE720838 NVA720835:NVA720838 OEW720835:OEW720838 OOS720835:OOS720838 OYO720835:OYO720838 PIK720835:PIK720838 PSG720835:PSG720838 QCC720835:QCC720838 QLY720835:QLY720838 QVU720835:QVU720838 RFQ720835:RFQ720838 RPM720835:RPM720838 RZI720835:RZI720838 SJE720835:SJE720838 STA720835:STA720838 TCW720835:TCW720838 TMS720835:TMS720838 TWO720835:TWO720838 UGK720835:UGK720838 UQG720835:UQG720838 VAC720835:VAC720838 VJY720835:VJY720838 VTU720835:VTU720838 WDQ720835:WDQ720838 WNM720835:WNM720838 WXI720835:WXI720838 AV786371:AV786374 KW786371:KW786374 US786371:US786374 AEO786371:AEO786374 AOK786371:AOK786374 AYG786371:AYG786374 BIC786371:BIC786374 BRY786371:BRY786374 CBU786371:CBU786374 CLQ786371:CLQ786374 CVM786371:CVM786374 DFI786371:DFI786374 DPE786371:DPE786374 DZA786371:DZA786374 EIW786371:EIW786374 ESS786371:ESS786374 FCO786371:FCO786374 FMK786371:FMK786374 FWG786371:FWG786374 GGC786371:GGC786374 GPY786371:GPY786374 GZU786371:GZU786374 HJQ786371:HJQ786374 HTM786371:HTM786374 IDI786371:IDI786374 INE786371:INE786374 IXA786371:IXA786374 JGW786371:JGW786374 JQS786371:JQS786374 KAO786371:KAO786374 KKK786371:KKK786374 KUG786371:KUG786374 LEC786371:LEC786374 LNY786371:LNY786374 LXU786371:LXU786374 MHQ786371:MHQ786374 MRM786371:MRM786374 NBI786371:NBI786374 NLE786371:NLE786374 NVA786371:NVA786374 OEW786371:OEW786374 OOS786371:OOS786374 OYO786371:OYO786374 PIK786371:PIK786374 PSG786371:PSG786374 QCC786371:QCC786374 QLY786371:QLY786374 QVU786371:QVU786374 RFQ786371:RFQ786374 RPM786371:RPM786374 RZI786371:RZI786374 SJE786371:SJE786374 STA786371:STA786374 TCW786371:TCW786374 TMS786371:TMS786374 TWO786371:TWO786374 UGK786371:UGK786374 UQG786371:UQG786374 VAC786371:VAC786374 VJY786371:VJY786374 VTU786371:VTU786374 WDQ786371:WDQ786374 WNM786371:WNM786374 WXI786371:WXI786374 AV851907:AV851910 KW851907:KW851910 US851907:US851910 AEO851907:AEO851910 AOK851907:AOK851910 AYG851907:AYG851910 BIC851907:BIC851910 BRY851907:BRY851910 CBU851907:CBU851910 CLQ851907:CLQ851910 CVM851907:CVM851910 DFI851907:DFI851910 DPE851907:DPE851910 DZA851907:DZA851910 EIW851907:EIW851910 ESS851907:ESS851910 FCO851907:FCO851910 FMK851907:FMK851910 FWG851907:FWG851910 GGC851907:GGC851910 GPY851907:GPY851910 GZU851907:GZU851910 HJQ851907:HJQ851910 HTM851907:HTM851910 IDI851907:IDI851910 INE851907:INE851910 IXA851907:IXA851910 JGW851907:JGW851910 JQS851907:JQS851910 KAO851907:KAO851910 KKK851907:KKK851910 KUG851907:KUG851910 LEC851907:LEC851910 LNY851907:LNY851910 LXU851907:LXU851910 MHQ851907:MHQ851910 MRM851907:MRM851910 NBI851907:NBI851910 NLE851907:NLE851910 NVA851907:NVA851910 OEW851907:OEW851910 OOS851907:OOS851910 OYO851907:OYO851910 PIK851907:PIK851910 PSG851907:PSG851910 QCC851907:QCC851910 QLY851907:QLY851910 QVU851907:QVU851910 RFQ851907:RFQ851910 RPM851907:RPM851910 RZI851907:RZI851910 SJE851907:SJE851910 STA851907:STA851910 TCW851907:TCW851910 TMS851907:TMS851910 TWO851907:TWO851910 UGK851907:UGK851910 UQG851907:UQG851910 VAC851907:VAC851910 VJY851907:VJY851910 VTU851907:VTU851910 WDQ851907:WDQ851910 WNM851907:WNM851910 WXI851907:WXI851910 AV917443:AV917446 KW917443:KW917446 US917443:US917446 AEO917443:AEO917446 AOK917443:AOK917446 AYG917443:AYG917446 BIC917443:BIC917446 BRY917443:BRY917446 CBU917443:CBU917446 CLQ917443:CLQ917446 CVM917443:CVM917446 DFI917443:DFI917446 DPE917443:DPE917446 DZA917443:DZA917446 EIW917443:EIW917446 ESS917443:ESS917446 FCO917443:FCO917446 FMK917443:FMK917446 FWG917443:FWG917446 GGC917443:GGC917446 GPY917443:GPY917446 GZU917443:GZU917446 HJQ917443:HJQ917446 HTM917443:HTM917446 IDI917443:IDI917446 INE917443:INE917446 IXA917443:IXA917446 JGW917443:JGW917446 JQS917443:JQS917446 KAO917443:KAO917446 KKK917443:KKK917446 KUG917443:KUG917446 LEC917443:LEC917446 LNY917443:LNY917446 LXU917443:LXU917446 MHQ917443:MHQ917446 MRM917443:MRM917446 NBI917443:NBI917446 NLE917443:NLE917446 NVA917443:NVA917446 OEW917443:OEW917446 OOS917443:OOS917446 OYO917443:OYO917446 PIK917443:PIK917446 PSG917443:PSG917446 QCC917443:QCC917446 QLY917443:QLY917446 QVU917443:QVU917446 RFQ917443:RFQ917446 RPM917443:RPM917446 RZI917443:RZI917446 SJE917443:SJE917446 STA917443:STA917446 TCW917443:TCW917446 TMS917443:TMS917446 TWO917443:TWO917446 UGK917443:UGK917446 UQG917443:UQG917446 VAC917443:VAC917446 VJY917443:VJY917446 VTU917443:VTU917446 WDQ917443:WDQ917446 WNM917443:WNM917446 WXI917443:WXI917446 AV982979:AV982982 KW982979:KW982982 US982979:US982982 AEO982979:AEO982982 AOK982979:AOK982982 AYG982979:AYG982982 BIC982979:BIC982982 BRY982979:BRY982982 CBU982979:CBU982982 CLQ982979:CLQ982982 CVM982979:CVM982982 DFI982979:DFI982982 DPE982979:DPE982982 DZA982979:DZA982982 EIW982979:EIW982982 ESS982979:ESS982982 FCO982979:FCO982982 FMK982979:FMK982982 FWG982979:FWG982982 GGC982979:GGC982982 GPY982979:GPY982982 GZU982979:GZU982982 HJQ982979:HJQ982982 HTM982979:HTM982982 IDI982979:IDI982982 INE982979:INE982982 IXA982979:IXA982982 JGW982979:JGW982982 JQS982979:JQS982982 KAO982979:KAO982982 KKK982979:KKK982982 KUG982979:KUG982982 LEC982979:LEC982982 LNY982979:LNY982982 LXU982979:LXU982982 MHQ982979:MHQ982982 MRM982979:MRM982982 NBI982979:NBI982982 NLE982979:NLE982982 NVA982979:NVA982982 OEW982979:OEW982982 OOS982979:OOS982982 OYO982979:OYO982982 PIK982979:PIK982982 PSG982979:PSG982982 QCC982979:QCC982982 QLY982979:QLY982982 QVU982979:QVU982982 RFQ982979:RFQ982982 RPM982979:RPM982982 RZI982979:RZI982982 SJE982979:SJE982982 STA982979:STA982982 TCW982979:TCW982982 TMS982979:TMS982982 TWO982979:TWO982982 UGK982979:UGK982982 UQG982979:UQG982982 VAC982979:VAC982982 VJY982979:VJY982982 VTU982979:VTU982982 WDQ982979:WDQ982982 WNM982979:WNM982982 WXI982979:WXI982982 BH65475:BH65478 LD65475:LD65478 UZ65475:UZ65478 AEV65475:AEV65478 AOR65475:AOR65478 AYN65475:AYN65478 BIJ65475:BIJ65478 BSF65475:BSF65478 CCB65475:CCB65478 CLX65475:CLX65478 CVT65475:CVT65478 DFP65475:DFP65478 DPL65475:DPL65478 DZH65475:DZH65478 EJD65475:EJD65478 ESZ65475:ESZ65478 FCV65475:FCV65478 FMR65475:FMR65478 FWN65475:FWN65478 GGJ65475:GGJ65478 GQF65475:GQF65478 HAB65475:HAB65478 HJX65475:HJX65478 HTT65475:HTT65478 IDP65475:IDP65478 INL65475:INL65478 IXH65475:IXH65478 JHD65475:JHD65478 JQZ65475:JQZ65478 KAV65475:KAV65478 KKR65475:KKR65478 KUN65475:KUN65478 LEJ65475:LEJ65478 LOF65475:LOF65478 LYB65475:LYB65478 MHX65475:MHX65478 MRT65475:MRT65478 NBP65475:NBP65478 NLL65475:NLL65478 NVH65475:NVH65478 OFD65475:OFD65478 OOZ65475:OOZ65478 OYV65475:OYV65478 PIR65475:PIR65478 PSN65475:PSN65478 QCJ65475:QCJ65478 QMF65475:QMF65478 QWB65475:QWB65478 RFX65475:RFX65478 RPT65475:RPT65478 RZP65475:RZP65478 SJL65475:SJL65478 STH65475:STH65478 TDD65475:TDD65478 TMZ65475:TMZ65478 TWV65475:TWV65478 UGR65475:UGR65478 UQN65475:UQN65478 VAJ65475:VAJ65478 VKF65475:VKF65478 VUB65475:VUB65478 WDX65475:WDX65478 WNT65475:WNT65478 WXP65475:WXP65478 BH131011:BH131014 LD131011:LD131014 UZ131011:UZ131014 AEV131011:AEV131014 AOR131011:AOR131014 AYN131011:AYN131014 BIJ131011:BIJ131014 BSF131011:BSF131014 CCB131011:CCB131014 CLX131011:CLX131014 CVT131011:CVT131014 DFP131011:DFP131014 DPL131011:DPL131014 DZH131011:DZH131014 EJD131011:EJD131014 ESZ131011:ESZ131014 FCV131011:FCV131014 FMR131011:FMR131014 FWN131011:FWN131014 GGJ131011:GGJ131014 GQF131011:GQF131014 HAB131011:HAB131014 HJX131011:HJX131014 HTT131011:HTT131014 IDP131011:IDP131014 INL131011:INL131014 IXH131011:IXH131014 JHD131011:JHD131014 JQZ131011:JQZ131014 KAV131011:KAV131014 KKR131011:KKR131014 KUN131011:KUN131014 LEJ131011:LEJ131014 LOF131011:LOF131014 LYB131011:LYB131014 MHX131011:MHX131014 MRT131011:MRT131014 NBP131011:NBP131014 NLL131011:NLL131014 NVH131011:NVH131014 OFD131011:OFD131014 OOZ131011:OOZ131014 OYV131011:OYV131014 PIR131011:PIR131014 PSN131011:PSN131014 QCJ131011:QCJ131014 QMF131011:QMF131014 QWB131011:QWB131014 RFX131011:RFX131014 RPT131011:RPT131014 RZP131011:RZP131014 SJL131011:SJL131014 STH131011:STH131014 TDD131011:TDD131014 TMZ131011:TMZ131014 TWV131011:TWV131014 UGR131011:UGR131014 UQN131011:UQN131014 VAJ131011:VAJ131014 VKF131011:VKF131014 VUB131011:VUB131014 WDX131011:WDX131014 WNT131011:WNT131014 WXP131011:WXP131014 BH196547:BH196550 LD196547:LD196550 UZ196547:UZ196550 AEV196547:AEV196550 AOR196547:AOR196550 AYN196547:AYN196550 BIJ196547:BIJ196550 BSF196547:BSF196550 CCB196547:CCB196550 CLX196547:CLX196550 CVT196547:CVT196550 DFP196547:DFP196550 DPL196547:DPL196550 DZH196547:DZH196550 EJD196547:EJD196550 ESZ196547:ESZ196550 FCV196547:FCV196550 FMR196547:FMR196550 FWN196547:FWN196550 GGJ196547:GGJ196550 GQF196547:GQF196550 HAB196547:HAB196550 HJX196547:HJX196550 HTT196547:HTT196550 IDP196547:IDP196550 INL196547:INL196550 IXH196547:IXH196550 JHD196547:JHD196550 JQZ196547:JQZ196550 KAV196547:KAV196550 KKR196547:KKR196550 KUN196547:KUN196550 LEJ196547:LEJ196550 LOF196547:LOF196550 LYB196547:LYB196550 MHX196547:MHX196550 MRT196547:MRT196550 NBP196547:NBP196550 NLL196547:NLL196550 NVH196547:NVH196550 OFD196547:OFD196550 OOZ196547:OOZ196550 OYV196547:OYV196550 PIR196547:PIR196550 PSN196547:PSN196550 QCJ196547:QCJ196550 QMF196547:QMF196550 QWB196547:QWB196550 RFX196547:RFX196550 RPT196547:RPT196550 RZP196547:RZP196550 SJL196547:SJL196550 STH196547:STH196550 TDD196547:TDD196550 TMZ196547:TMZ196550 TWV196547:TWV196550 UGR196547:UGR196550 UQN196547:UQN196550 VAJ196547:VAJ196550 VKF196547:VKF196550 VUB196547:VUB196550 WDX196547:WDX196550 WNT196547:WNT196550 WXP196547:WXP196550 BH262083:BH262086 LD262083:LD262086 UZ262083:UZ262086 AEV262083:AEV262086 AOR262083:AOR262086 AYN262083:AYN262086 BIJ262083:BIJ262086 BSF262083:BSF262086 CCB262083:CCB262086 CLX262083:CLX262086 CVT262083:CVT262086 DFP262083:DFP262086 DPL262083:DPL262086 DZH262083:DZH262086 EJD262083:EJD262086 ESZ262083:ESZ262086 FCV262083:FCV262086 FMR262083:FMR262086 FWN262083:FWN262086 GGJ262083:GGJ262086 GQF262083:GQF262086 HAB262083:HAB262086 HJX262083:HJX262086 HTT262083:HTT262086 IDP262083:IDP262086 INL262083:INL262086 IXH262083:IXH262086 JHD262083:JHD262086 JQZ262083:JQZ262086 KAV262083:KAV262086 KKR262083:KKR262086 KUN262083:KUN262086 LEJ262083:LEJ262086 LOF262083:LOF262086 LYB262083:LYB262086 MHX262083:MHX262086 MRT262083:MRT262086 NBP262083:NBP262086 NLL262083:NLL262086 NVH262083:NVH262086 OFD262083:OFD262086 OOZ262083:OOZ262086 OYV262083:OYV262086 PIR262083:PIR262086 PSN262083:PSN262086 QCJ262083:QCJ262086 QMF262083:QMF262086 QWB262083:QWB262086 RFX262083:RFX262086 RPT262083:RPT262086 RZP262083:RZP262086 SJL262083:SJL262086 STH262083:STH262086 TDD262083:TDD262086 TMZ262083:TMZ262086 TWV262083:TWV262086 UGR262083:UGR262086 UQN262083:UQN262086 VAJ262083:VAJ262086 VKF262083:VKF262086 VUB262083:VUB262086 WDX262083:WDX262086 WNT262083:WNT262086 WXP262083:WXP262086 BH327619:BH327622 LD327619:LD327622 UZ327619:UZ327622 AEV327619:AEV327622 AOR327619:AOR327622 AYN327619:AYN327622 BIJ327619:BIJ327622 BSF327619:BSF327622 CCB327619:CCB327622 CLX327619:CLX327622 CVT327619:CVT327622 DFP327619:DFP327622 DPL327619:DPL327622 DZH327619:DZH327622 EJD327619:EJD327622 ESZ327619:ESZ327622 FCV327619:FCV327622 FMR327619:FMR327622 FWN327619:FWN327622 GGJ327619:GGJ327622 GQF327619:GQF327622 HAB327619:HAB327622 HJX327619:HJX327622 HTT327619:HTT327622 IDP327619:IDP327622 INL327619:INL327622 IXH327619:IXH327622 JHD327619:JHD327622 JQZ327619:JQZ327622 KAV327619:KAV327622 KKR327619:KKR327622 KUN327619:KUN327622 LEJ327619:LEJ327622 LOF327619:LOF327622 LYB327619:LYB327622 MHX327619:MHX327622 MRT327619:MRT327622 NBP327619:NBP327622 NLL327619:NLL327622 NVH327619:NVH327622 OFD327619:OFD327622 OOZ327619:OOZ327622 OYV327619:OYV327622 PIR327619:PIR327622 PSN327619:PSN327622 QCJ327619:QCJ327622 QMF327619:QMF327622 QWB327619:QWB327622 RFX327619:RFX327622 RPT327619:RPT327622 RZP327619:RZP327622 SJL327619:SJL327622 STH327619:STH327622 TDD327619:TDD327622 TMZ327619:TMZ327622 TWV327619:TWV327622 UGR327619:UGR327622 UQN327619:UQN327622 VAJ327619:VAJ327622 VKF327619:VKF327622 VUB327619:VUB327622 WDX327619:WDX327622 WNT327619:WNT327622 WXP327619:WXP327622 BH393155:BH393158 LD393155:LD393158 UZ393155:UZ393158 AEV393155:AEV393158 AOR393155:AOR393158 AYN393155:AYN393158 BIJ393155:BIJ393158 BSF393155:BSF393158 CCB393155:CCB393158 CLX393155:CLX393158 CVT393155:CVT393158 DFP393155:DFP393158 DPL393155:DPL393158 DZH393155:DZH393158 EJD393155:EJD393158 ESZ393155:ESZ393158 FCV393155:FCV393158 FMR393155:FMR393158 FWN393155:FWN393158 GGJ393155:GGJ393158 GQF393155:GQF393158 HAB393155:HAB393158 HJX393155:HJX393158 HTT393155:HTT393158 IDP393155:IDP393158 INL393155:INL393158 IXH393155:IXH393158 JHD393155:JHD393158 JQZ393155:JQZ393158 KAV393155:KAV393158 KKR393155:KKR393158 KUN393155:KUN393158 LEJ393155:LEJ393158 LOF393155:LOF393158 LYB393155:LYB393158 MHX393155:MHX393158 MRT393155:MRT393158 NBP393155:NBP393158 NLL393155:NLL393158 NVH393155:NVH393158 OFD393155:OFD393158 OOZ393155:OOZ393158 OYV393155:OYV393158 PIR393155:PIR393158 PSN393155:PSN393158 QCJ393155:QCJ393158 QMF393155:QMF393158 QWB393155:QWB393158 RFX393155:RFX393158 RPT393155:RPT393158 RZP393155:RZP393158 SJL393155:SJL393158 STH393155:STH393158 TDD393155:TDD393158 TMZ393155:TMZ393158 TWV393155:TWV393158 UGR393155:UGR393158 UQN393155:UQN393158 VAJ393155:VAJ393158 VKF393155:VKF393158 VUB393155:VUB393158 WDX393155:WDX393158 WNT393155:WNT393158 WXP393155:WXP393158 BH458691:BH458694 LD458691:LD458694 UZ458691:UZ458694 AEV458691:AEV458694 AOR458691:AOR458694 AYN458691:AYN458694 BIJ458691:BIJ458694 BSF458691:BSF458694 CCB458691:CCB458694 CLX458691:CLX458694 CVT458691:CVT458694 DFP458691:DFP458694 DPL458691:DPL458694 DZH458691:DZH458694 EJD458691:EJD458694 ESZ458691:ESZ458694 FCV458691:FCV458694 FMR458691:FMR458694 FWN458691:FWN458694 GGJ458691:GGJ458694 GQF458691:GQF458694 HAB458691:HAB458694 HJX458691:HJX458694 HTT458691:HTT458694 IDP458691:IDP458694 INL458691:INL458694 IXH458691:IXH458694 JHD458691:JHD458694 JQZ458691:JQZ458694 KAV458691:KAV458694 KKR458691:KKR458694 KUN458691:KUN458694 LEJ458691:LEJ458694 LOF458691:LOF458694 LYB458691:LYB458694 MHX458691:MHX458694 MRT458691:MRT458694 NBP458691:NBP458694 NLL458691:NLL458694 NVH458691:NVH458694 OFD458691:OFD458694 OOZ458691:OOZ458694 OYV458691:OYV458694 PIR458691:PIR458694 PSN458691:PSN458694 QCJ458691:QCJ458694 QMF458691:QMF458694 QWB458691:QWB458694 RFX458691:RFX458694 RPT458691:RPT458694 RZP458691:RZP458694 SJL458691:SJL458694 STH458691:STH458694 TDD458691:TDD458694 TMZ458691:TMZ458694 TWV458691:TWV458694 UGR458691:UGR458694 UQN458691:UQN458694 VAJ458691:VAJ458694 VKF458691:VKF458694 VUB458691:VUB458694 WDX458691:WDX458694 WNT458691:WNT458694 WXP458691:WXP458694 BH524227:BH524230 LD524227:LD524230 UZ524227:UZ524230 AEV524227:AEV524230 AOR524227:AOR524230 AYN524227:AYN524230 BIJ524227:BIJ524230 BSF524227:BSF524230 CCB524227:CCB524230 CLX524227:CLX524230 CVT524227:CVT524230 DFP524227:DFP524230 DPL524227:DPL524230 DZH524227:DZH524230 EJD524227:EJD524230 ESZ524227:ESZ524230 FCV524227:FCV524230 FMR524227:FMR524230 FWN524227:FWN524230 GGJ524227:GGJ524230 GQF524227:GQF524230 HAB524227:HAB524230 HJX524227:HJX524230 HTT524227:HTT524230 IDP524227:IDP524230 INL524227:INL524230 IXH524227:IXH524230 JHD524227:JHD524230 JQZ524227:JQZ524230 KAV524227:KAV524230 KKR524227:KKR524230 KUN524227:KUN524230 LEJ524227:LEJ524230 LOF524227:LOF524230 LYB524227:LYB524230 MHX524227:MHX524230 MRT524227:MRT524230 NBP524227:NBP524230 NLL524227:NLL524230 NVH524227:NVH524230 OFD524227:OFD524230 OOZ524227:OOZ524230 OYV524227:OYV524230 PIR524227:PIR524230 PSN524227:PSN524230 QCJ524227:QCJ524230 QMF524227:QMF524230 QWB524227:QWB524230 RFX524227:RFX524230 RPT524227:RPT524230 RZP524227:RZP524230 SJL524227:SJL524230 STH524227:STH524230 TDD524227:TDD524230 TMZ524227:TMZ524230 TWV524227:TWV524230 UGR524227:UGR524230 UQN524227:UQN524230 VAJ524227:VAJ524230 VKF524227:VKF524230 VUB524227:VUB524230 WDX524227:WDX524230 WNT524227:WNT524230 WXP524227:WXP524230 BH589763:BH589766 LD589763:LD589766 UZ589763:UZ589766 AEV589763:AEV589766 AOR589763:AOR589766 AYN589763:AYN589766 BIJ589763:BIJ589766 BSF589763:BSF589766 CCB589763:CCB589766 CLX589763:CLX589766 CVT589763:CVT589766 DFP589763:DFP589766 DPL589763:DPL589766 DZH589763:DZH589766 EJD589763:EJD589766 ESZ589763:ESZ589766 FCV589763:FCV589766 FMR589763:FMR589766 FWN589763:FWN589766 GGJ589763:GGJ589766 GQF589763:GQF589766 HAB589763:HAB589766 HJX589763:HJX589766 HTT589763:HTT589766 IDP589763:IDP589766 INL589763:INL589766 IXH589763:IXH589766 JHD589763:JHD589766 JQZ589763:JQZ589766 KAV589763:KAV589766 KKR589763:KKR589766 KUN589763:KUN589766 LEJ589763:LEJ589766 LOF589763:LOF589766 LYB589763:LYB589766 MHX589763:MHX589766 MRT589763:MRT589766 NBP589763:NBP589766 NLL589763:NLL589766 NVH589763:NVH589766 OFD589763:OFD589766 OOZ589763:OOZ589766 OYV589763:OYV589766 PIR589763:PIR589766 PSN589763:PSN589766 QCJ589763:QCJ589766 QMF589763:QMF589766 QWB589763:QWB589766 RFX589763:RFX589766 RPT589763:RPT589766 RZP589763:RZP589766 SJL589763:SJL589766 STH589763:STH589766 TDD589763:TDD589766 TMZ589763:TMZ589766 TWV589763:TWV589766 UGR589763:UGR589766 UQN589763:UQN589766 VAJ589763:VAJ589766 VKF589763:VKF589766 VUB589763:VUB589766 WDX589763:WDX589766 WNT589763:WNT589766 WXP589763:WXP589766 BH655299:BH655302 LD655299:LD655302 UZ655299:UZ655302 AEV655299:AEV655302 AOR655299:AOR655302 AYN655299:AYN655302 BIJ655299:BIJ655302 BSF655299:BSF655302 CCB655299:CCB655302 CLX655299:CLX655302 CVT655299:CVT655302 DFP655299:DFP655302 DPL655299:DPL655302 DZH655299:DZH655302 EJD655299:EJD655302 ESZ655299:ESZ655302 FCV655299:FCV655302 FMR655299:FMR655302 FWN655299:FWN655302 GGJ655299:GGJ655302 GQF655299:GQF655302 HAB655299:HAB655302 HJX655299:HJX655302 HTT655299:HTT655302 IDP655299:IDP655302 INL655299:INL655302 IXH655299:IXH655302 JHD655299:JHD655302 JQZ655299:JQZ655302 KAV655299:KAV655302 KKR655299:KKR655302 KUN655299:KUN655302 LEJ655299:LEJ655302 LOF655299:LOF655302 LYB655299:LYB655302 MHX655299:MHX655302 MRT655299:MRT655302 NBP655299:NBP655302 NLL655299:NLL655302 NVH655299:NVH655302 OFD655299:OFD655302 OOZ655299:OOZ655302 OYV655299:OYV655302 PIR655299:PIR655302 PSN655299:PSN655302 QCJ655299:QCJ655302 QMF655299:QMF655302 QWB655299:QWB655302 RFX655299:RFX655302 RPT655299:RPT655302 RZP655299:RZP655302 SJL655299:SJL655302 STH655299:STH655302 TDD655299:TDD655302 TMZ655299:TMZ655302 TWV655299:TWV655302 UGR655299:UGR655302 UQN655299:UQN655302 VAJ655299:VAJ655302 VKF655299:VKF655302 VUB655299:VUB655302 WDX655299:WDX655302 WNT655299:WNT655302 WXP655299:WXP655302 BH720835:BH720838 LD720835:LD720838 UZ720835:UZ720838 AEV720835:AEV720838 AOR720835:AOR720838 AYN720835:AYN720838 BIJ720835:BIJ720838 BSF720835:BSF720838 CCB720835:CCB720838 CLX720835:CLX720838 CVT720835:CVT720838 DFP720835:DFP720838 DPL720835:DPL720838 DZH720835:DZH720838 EJD720835:EJD720838 ESZ720835:ESZ720838 FCV720835:FCV720838 FMR720835:FMR720838 FWN720835:FWN720838 GGJ720835:GGJ720838 GQF720835:GQF720838 HAB720835:HAB720838 HJX720835:HJX720838 HTT720835:HTT720838 IDP720835:IDP720838 INL720835:INL720838 IXH720835:IXH720838 JHD720835:JHD720838 JQZ720835:JQZ720838 KAV720835:KAV720838 KKR720835:KKR720838 KUN720835:KUN720838 LEJ720835:LEJ720838 LOF720835:LOF720838 LYB720835:LYB720838 MHX720835:MHX720838 MRT720835:MRT720838 NBP720835:NBP720838 NLL720835:NLL720838 NVH720835:NVH720838 OFD720835:OFD720838 OOZ720835:OOZ720838 OYV720835:OYV720838 PIR720835:PIR720838 PSN720835:PSN720838 QCJ720835:QCJ720838 QMF720835:QMF720838 QWB720835:QWB720838 RFX720835:RFX720838 RPT720835:RPT720838 RZP720835:RZP720838 SJL720835:SJL720838 STH720835:STH720838 TDD720835:TDD720838 TMZ720835:TMZ720838 TWV720835:TWV720838 UGR720835:UGR720838 UQN720835:UQN720838 VAJ720835:VAJ720838 VKF720835:VKF720838 VUB720835:VUB720838 WDX720835:WDX720838 WNT720835:WNT720838 WXP720835:WXP720838 BH786371:BH786374 LD786371:LD786374 UZ786371:UZ786374 AEV786371:AEV786374 AOR786371:AOR786374 AYN786371:AYN786374 BIJ786371:BIJ786374 BSF786371:BSF786374 CCB786371:CCB786374 CLX786371:CLX786374 CVT786371:CVT786374 DFP786371:DFP786374 DPL786371:DPL786374 DZH786371:DZH786374 EJD786371:EJD786374 ESZ786371:ESZ786374 FCV786371:FCV786374 FMR786371:FMR786374 FWN786371:FWN786374 GGJ786371:GGJ786374 GQF786371:GQF786374 HAB786371:HAB786374 HJX786371:HJX786374 HTT786371:HTT786374 IDP786371:IDP786374 INL786371:INL786374 IXH786371:IXH786374 JHD786371:JHD786374 JQZ786371:JQZ786374 KAV786371:KAV786374 KKR786371:KKR786374 KUN786371:KUN786374 LEJ786371:LEJ786374 LOF786371:LOF786374 LYB786371:LYB786374 MHX786371:MHX786374 MRT786371:MRT786374 NBP786371:NBP786374 NLL786371:NLL786374 NVH786371:NVH786374 OFD786371:OFD786374 OOZ786371:OOZ786374 OYV786371:OYV786374 PIR786371:PIR786374 PSN786371:PSN786374 QCJ786371:QCJ786374 QMF786371:QMF786374 QWB786371:QWB786374 RFX786371:RFX786374 RPT786371:RPT786374 RZP786371:RZP786374 SJL786371:SJL786374 STH786371:STH786374 TDD786371:TDD786374 TMZ786371:TMZ786374 TWV786371:TWV786374 UGR786371:UGR786374 UQN786371:UQN786374 VAJ786371:VAJ786374 VKF786371:VKF786374 VUB786371:VUB786374 WDX786371:WDX786374 WNT786371:WNT786374 WXP786371:WXP786374 BH851907:BH851910 LD851907:LD851910 UZ851907:UZ851910 AEV851907:AEV851910 AOR851907:AOR851910 AYN851907:AYN851910 BIJ851907:BIJ851910 BSF851907:BSF851910 CCB851907:CCB851910 CLX851907:CLX851910 CVT851907:CVT851910 DFP851907:DFP851910 DPL851907:DPL851910 DZH851907:DZH851910 EJD851907:EJD851910 ESZ851907:ESZ851910 FCV851907:FCV851910 FMR851907:FMR851910 FWN851907:FWN851910 GGJ851907:GGJ851910 GQF851907:GQF851910 HAB851907:HAB851910 HJX851907:HJX851910 HTT851907:HTT851910 IDP851907:IDP851910 INL851907:INL851910 IXH851907:IXH851910 JHD851907:JHD851910 JQZ851907:JQZ851910 KAV851907:KAV851910 KKR851907:KKR851910 KUN851907:KUN851910 LEJ851907:LEJ851910 LOF851907:LOF851910 LYB851907:LYB851910 MHX851907:MHX851910 MRT851907:MRT851910 NBP851907:NBP851910 NLL851907:NLL851910 NVH851907:NVH851910 OFD851907:OFD851910 OOZ851907:OOZ851910 OYV851907:OYV851910 PIR851907:PIR851910 PSN851907:PSN851910 QCJ851907:QCJ851910 QMF851907:QMF851910 QWB851907:QWB851910 RFX851907:RFX851910 RPT851907:RPT851910 RZP851907:RZP851910 SJL851907:SJL851910 STH851907:STH851910 TDD851907:TDD851910 TMZ851907:TMZ851910 TWV851907:TWV851910 UGR851907:UGR851910 UQN851907:UQN851910 VAJ851907:VAJ851910 VKF851907:VKF851910 VUB851907:VUB851910 WDX851907:WDX851910 WNT851907:WNT851910 WXP851907:WXP851910 BH917443:BH917446 LD917443:LD917446 UZ917443:UZ917446 AEV917443:AEV917446 AOR917443:AOR917446 AYN917443:AYN917446 BIJ917443:BIJ917446 BSF917443:BSF917446 CCB917443:CCB917446 CLX917443:CLX917446 CVT917443:CVT917446 DFP917443:DFP917446 DPL917443:DPL917446 DZH917443:DZH917446 EJD917443:EJD917446 ESZ917443:ESZ917446 FCV917443:FCV917446 FMR917443:FMR917446 FWN917443:FWN917446 GGJ917443:GGJ917446 GQF917443:GQF917446 HAB917443:HAB917446 HJX917443:HJX917446 HTT917443:HTT917446 IDP917443:IDP917446 INL917443:INL917446 IXH917443:IXH917446 JHD917443:JHD917446 JQZ917443:JQZ917446 KAV917443:KAV917446 KKR917443:KKR917446 KUN917443:KUN917446 LEJ917443:LEJ917446 LOF917443:LOF917446 LYB917443:LYB917446 MHX917443:MHX917446 MRT917443:MRT917446 NBP917443:NBP917446 NLL917443:NLL917446 NVH917443:NVH917446 OFD917443:OFD917446 OOZ917443:OOZ917446 OYV917443:OYV917446 PIR917443:PIR917446 PSN917443:PSN917446 QCJ917443:QCJ917446 QMF917443:QMF917446 QWB917443:QWB917446 RFX917443:RFX917446 RPT917443:RPT917446 RZP917443:RZP917446 SJL917443:SJL917446 STH917443:STH917446 TDD917443:TDD917446 TMZ917443:TMZ917446 TWV917443:TWV917446 UGR917443:UGR917446 UQN917443:UQN917446 VAJ917443:VAJ917446 VKF917443:VKF917446 VUB917443:VUB917446 WDX917443:WDX917446 WNT917443:WNT917446 WXP917443:WXP917446 BH982979:BH982982 LD982979:LD982982 UZ982979:UZ982982 AEV982979:AEV982982 AOR982979:AOR982982 AYN982979:AYN982982 BIJ982979:BIJ982982 BSF982979:BSF982982 CCB982979:CCB982982 CLX982979:CLX982982 CVT982979:CVT982982 DFP982979:DFP982982 DPL982979:DPL982982 DZH982979:DZH982982 EJD982979:EJD982982 ESZ982979:ESZ982982 FCV982979:FCV982982 FMR982979:FMR982982 FWN982979:FWN982982 GGJ982979:GGJ982982 GQF982979:GQF982982 HAB982979:HAB982982 HJX982979:HJX982982 HTT982979:HTT982982 IDP982979:IDP982982 INL982979:INL982982 IXH982979:IXH982982 JHD982979:JHD982982 JQZ982979:JQZ982982 KAV982979:KAV982982 KKR982979:KKR982982 KUN982979:KUN982982 LEJ982979:LEJ982982 LOF982979:LOF982982 LYB982979:LYB982982 MHX982979:MHX982982 MRT982979:MRT982982 NBP982979:NBP982982 NLL982979:NLL982982 NVH982979:NVH982982 OFD982979:OFD982982 OOZ982979:OOZ982982 OYV982979:OYV982982 PIR982979:PIR982982 PSN982979:PSN982982 QCJ982979:QCJ982982 QMF982979:QMF982982 QWB982979:QWB982982 RFX982979:RFX982982 RPT982979:RPT982982 RZP982979:RZP982982 SJL982979:SJL982982 STH982979:STH982982 TDD982979:TDD982982 TMZ982979:TMZ982982 TWV982979:TWV982982 UGR982979:UGR982982 UQN982979:UQN982982 VAJ982979:VAJ982982 VKF982979:VKF982982 VUB982979:VUB982982 WDX982979:WDX982982 WNT982979:WNT982982">
      <formula1>$E$59:$E$62</formula1>
    </dataValidation>
    <dataValidation type="list" allowBlank="1" showInputMessage="1" showErrorMessage="1" sqref="WYI982979:WYK982982 CG65475:CG65478 LW65475:LY65478 VS65475:VU65478 AFO65475:AFQ65478 APK65475:APM65478 AZG65475:AZI65478 BJC65475:BJE65478 BSY65475:BTA65478 CCU65475:CCW65478 CMQ65475:CMS65478 CWM65475:CWO65478 DGI65475:DGK65478 DQE65475:DQG65478 EAA65475:EAC65478 EJW65475:EJY65478 ETS65475:ETU65478 FDO65475:FDQ65478 FNK65475:FNM65478 FXG65475:FXI65478 GHC65475:GHE65478 GQY65475:GRA65478 HAU65475:HAW65478 HKQ65475:HKS65478 HUM65475:HUO65478 IEI65475:IEK65478 IOE65475:IOG65478 IYA65475:IYC65478 JHW65475:JHY65478 JRS65475:JRU65478 KBO65475:KBQ65478 KLK65475:KLM65478 KVG65475:KVI65478 LFC65475:LFE65478 LOY65475:LPA65478 LYU65475:LYW65478 MIQ65475:MIS65478 MSM65475:MSO65478 NCI65475:NCK65478 NME65475:NMG65478 NWA65475:NWC65478 OFW65475:OFY65478 OPS65475:OPU65478 OZO65475:OZQ65478 PJK65475:PJM65478 PTG65475:PTI65478 QDC65475:QDE65478 QMY65475:QNA65478 QWU65475:QWW65478 RGQ65475:RGS65478 RQM65475:RQO65478 SAI65475:SAK65478 SKE65475:SKG65478 SUA65475:SUC65478 TDW65475:TDY65478 TNS65475:TNU65478 TXO65475:TXQ65478 UHK65475:UHM65478 URG65475:URI65478 VBC65475:VBE65478 VKY65475:VLA65478 VUU65475:VUW65478 WEQ65475:WES65478 WOM65475:WOO65478 WYI65475:WYK65478 CG131011:CG131014 LW131011:LY131014 VS131011:VU131014 AFO131011:AFQ131014 APK131011:APM131014 AZG131011:AZI131014 BJC131011:BJE131014 BSY131011:BTA131014 CCU131011:CCW131014 CMQ131011:CMS131014 CWM131011:CWO131014 DGI131011:DGK131014 DQE131011:DQG131014 EAA131011:EAC131014 EJW131011:EJY131014 ETS131011:ETU131014 FDO131011:FDQ131014 FNK131011:FNM131014 FXG131011:FXI131014 GHC131011:GHE131014 GQY131011:GRA131014 HAU131011:HAW131014 HKQ131011:HKS131014 HUM131011:HUO131014 IEI131011:IEK131014 IOE131011:IOG131014 IYA131011:IYC131014 JHW131011:JHY131014 JRS131011:JRU131014 KBO131011:KBQ131014 KLK131011:KLM131014 KVG131011:KVI131014 LFC131011:LFE131014 LOY131011:LPA131014 LYU131011:LYW131014 MIQ131011:MIS131014 MSM131011:MSO131014 NCI131011:NCK131014 NME131011:NMG131014 NWA131011:NWC131014 OFW131011:OFY131014 OPS131011:OPU131014 OZO131011:OZQ131014 PJK131011:PJM131014 PTG131011:PTI131014 QDC131011:QDE131014 QMY131011:QNA131014 QWU131011:QWW131014 RGQ131011:RGS131014 RQM131011:RQO131014 SAI131011:SAK131014 SKE131011:SKG131014 SUA131011:SUC131014 TDW131011:TDY131014 TNS131011:TNU131014 TXO131011:TXQ131014 UHK131011:UHM131014 URG131011:URI131014 VBC131011:VBE131014 VKY131011:VLA131014 VUU131011:VUW131014 WEQ131011:WES131014 WOM131011:WOO131014 WYI131011:WYK131014 CG196547:CG196550 LW196547:LY196550 VS196547:VU196550 AFO196547:AFQ196550 APK196547:APM196550 AZG196547:AZI196550 BJC196547:BJE196550 BSY196547:BTA196550 CCU196547:CCW196550 CMQ196547:CMS196550 CWM196547:CWO196550 DGI196547:DGK196550 DQE196547:DQG196550 EAA196547:EAC196550 EJW196547:EJY196550 ETS196547:ETU196550 FDO196547:FDQ196550 FNK196547:FNM196550 FXG196547:FXI196550 GHC196547:GHE196550 GQY196547:GRA196550 HAU196547:HAW196550 HKQ196547:HKS196550 HUM196547:HUO196550 IEI196547:IEK196550 IOE196547:IOG196550 IYA196547:IYC196550 JHW196547:JHY196550 JRS196547:JRU196550 KBO196547:KBQ196550 KLK196547:KLM196550 KVG196547:KVI196550 LFC196547:LFE196550 LOY196547:LPA196550 LYU196547:LYW196550 MIQ196547:MIS196550 MSM196547:MSO196550 NCI196547:NCK196550 NME196547:NMG196550 NWA196547:NWC196550 OFW196547:OFY196550 OPS196547:OPU196550 OZO196547:OZQ196550 PJK196547:PJM196550 PTG196547:PTI196550 QDC196547:QDE196550 QMY196547:QNA196550 QWU196547:QWW196550 RGQ196547:RGS196550 RQM196547:RQO196550 SAI196547:SAK196550 SKE196547:SKG196550 SUA196547:SUC196550 TDW196547:TDY196550 TNS196547:TNU196550 TXO196547:TXQ196550 UHK196547:UHM196550 URG196547:URI196550 VBC196547:VBE196550 VKY196547:VLA196550 VUU196547:VUW196550 WEQ196547:WES196550 WOM196547:WOO196550 WYI196547:WYK196550 CG262083:CG262086 LW262083:LY262086 VS262083:VU262086 AFO262083:AFQ262086 APK262083:APM262086 AZG262083:AZI262086 BJC262083:BJE262086 BSY262083:BTA262086 CCU262083:CCW262086 CMQ262083:CMS262086 CWM262083:CWO262086 DGI262083:DGK262086 DQE262083:DQG262086 EAA262083:EAC262086 EJW262083:EJY262086 ETS262083:ETU262086 FDO262083:FDQ262086 FNK262083:FNM262086 FXG262083:FXI262086 GHC262083:GHE262086 GQY262083:GRA262086 HAU262083:HAW262086 HKQ262083:HKS262086 HUM262083:HUO262086 IEI262083:IEK262086 IOE262083:IOG262086 IYA262083:IYC262086 JHW262083:JHY262086 JRS262083:JRU262086 KBO262083:KBQ262086 KLK262083:KLM262086 KVG262083:KVI262086 LFC262083:LFE262086 LOY262083:LPA262086 LYU262083:LYW262086 MIQ262083:MIS262086 MSM262083:MSO262086 NCI262083:NCK262086 NME262083:NMG262086 NWA262083:NWC262086 OFW262083:OFY262086 OPS262083:OPU262086 OZO262083:OZQ262086 PJK262083:PJM262086 PTG262083:PTI262086 QDC262083:QDE262086 QMY262083:QNA262086 QWU262083:QWW262086 RGQ262083:RGS262086 RQM262083:RQO262086 SAI262083:SAK262086 SKE262083:SKG262086 SUA262083:SUC262086 TDW262083:TDY262086 TNS262083:TNU262086 TXO262083:TXQ262086 UHK262083:UHM262086 URG262083:URI262086 VBC262083:VBE262086 VKY262083:VLA262086 VUU262083:VUW262086 WEQ262083:WES262086 WOM262083:WOO262086 WYI262083:WYK262086 CG327619:CG327622 LW327619:LY327622 VS327619:VU327622 AFO327619:AFQ327622 APK327619:APM327622 AZG327619:AZI327622 BJC327619:BJE327622 BSY327619:BTA327622 CCU327619:CCW327622 CMQ327619:CMS327622 CWM327619:CWO327622 DGI327619:DGK327622 DQE327619:DQG327622 EAA327619:EAC327622 EJW327619:EJY327622 ETS327619:ETU327622 FDO327619:FDQ327622 FNK327619:FNM327622 FXG327619:FXI327622 GHC327619:GHE327622 GQY327619:GRA327622 HAU327619:HAW327622 HKQ327619:HKS327622 HUM327619:HUO327622 IEI327619:IEK327622 IOE327619:IOG327622 IYA327619:IYC327622 JHW327619:JHY327622 JRS327619:JRU327622 KBO327619:KBQ327622 KLK327619:KLM327622 KVG327619:KVI327622 LFC327619:LFE327622 LOY327619:LPA327622 LYU327619:LYW327622 MIQ327619:MIS327622 MSM327619:MSO327622 NCI327619:NCK327622 NME327619:NMG327622 NWA327619:NWC327622 OFW327619:OFY327622 OPS327619:OPU327622 OZO327619:OZQ327622 PJK327619:PJM327622 PTG327619:PTI327622 QDC327619:QDE327622 QMY327619:QNA327622 QWU327619:QWW327622 RGQ327619:RGS327622 RQM327619:RQO327622 SAI327619:SAK327622 SKE327619:SKG327622 SUA327619:SUC327622 TDW327619:TDY327622 TNS327619:TNU327622 TXO327619:TXQ327622 UHK327619:UHM327622 URG327619:URI327622 VBC327619:VBE327622 VKY327619:VLA327622 VUU327619:VUW327622 WEQ327619:WES327622 WOM327619:WOO327622 WYI327619:WYK327622 CG393155:CG393158 LW393155:LY393158 VS393155:VU393158 AFO393155:AFQ393158 APK393155:APM393158 AZG393155:AZI393158 BJC393155:BJE393158 BSY393155:BTA393158 CCU393155:CCW393158 CMQ393155:CMS393158 CWM393155:CWO393158 DGI393155:DGK393158 DQE393155:DQG393158 EAA393155:EAC393158 EJW393155:EJY393158 ETS393155:ETU393158 FDO393155:FDQ393158 FNK393155:FNM393158 FXG393155:FXI393158 GHC393155:GHE393158 GQY393155:GRA393158 HAU393155:HAW393158 HKQ393155:HKS393158 HUM393155:HUO393158 IEI393155:IEK393158 IOE393155:IOG393158 IYA393155:IYC393158 JHW393155:JHY393158 JRS393155:JRU393158 KBO393155:KBQ393158 KLK393155:KLM393158 KVG393155:KVI393158 LFC393155:LFE393158 LOY393155:LPA393158 LYU393155:LYW393158 MIQ393155:MIS393158 MSM393155:MSO393158 NCI393155:NCK393158 NME393155:NMG393158 NWA393155:NWC393158 OFW393155:OFY393158 OPS393155:OPU393158 OZO393155:OZQ393158 PJK393155:PJM393158 PTG393155:PTI393158 QDC393155:QDE393158 QMY393155:QNA393158 QWU393155:QWW393158 RGQ393155:RGS393158 RQM393155:RQO393158 SAI393155:SAK393158 SKE393155:SKG393158 SUA393155:SUC393158 TDW393155:TDY393158 TNS393155:TNU393158 TXO393155:TXQ393158 UHK393155:UHM393158 URG393155:URI393158 VBC393155:VBE393158 VKY393155:VLA393158 VUU393155:VUW393158 WEQ393155:WES393158 WOM393155:WOO393158 WYI393155:WYK393158 CG458691:CG458694 LW458691:LY458694 VS458691:VU458694 AFO458691:AFQ458694 APK458691:APM458694 AZG458691:AZI458694 BJC458691:BJE458694 BSY458691:BTA458694 CCU458691:CCW458694 CMQ458691:CMS458694 CWM458691:CWO458694 DGI458691:DGK458694 DQE458691:DQG458694 EAA458691:EAC458694 EJW458691:EJY458694 ETS458691:ETU458694 FDO458691:FDQ458694 FNK458691:FNM458694 FXG458691:FXI458694 GHC458691:GHE458694 GQY458691:GRA458694 HAU458691:HAW458694 HKQ458691:HKS458694 HUM458691:HUO458694 IEI458691:IEK458694 IOE458691:IOG458694 IYA458691:IYC458694 JHW458691:JHY458694 JRS458691:JRU458694 KBO458691:KBQ458694 KLK458691:KLM458694 KVG458691:KVI458694 LFC458691:LFE458694 LOY458691:LPA458694 LYU458691:LYW458694 MIQ458691:MIS458694 MSM458691:MSO458694 NCI458691:NCK458694 NME458691:NMG458694 NWA458691:NWC458694 OFW458691:OFY458694 OPS458691:OPU458694 OZO458691:OZQ458694 PJK458691:PJM458694 PTG458691:PTI458694 QDC458691:QDE458694 QMY458691:QNA458694 QWU458691:QWW458694 RGQ458691:RGS458694 RQM458691:RQO458694 SAI458691:SAK458694 SKE458691:SKG458694 SUA458691:SUC458694 TDW458691:TDY458694 TNS458691:TNU458694 TXO458691:TXQ458694 UHK458691:UHM458694 URG458691:URI458694 VBC458691:VBE458694 VKY458691:VLA458694 VUU458691:VUW458694 WEQ458691:WES458694 WOM458691:WOO458694 WYI458691:WYK458694 CG524227:CG524230 LW524227:LY524230 VS524227:VU524230 AFO524227:AFQ524230 APK524227:APM524230 AZG524227:AZI524230 BJC524227:BJE524230 BSY524227:BTA524230 CCU524227:CCW524230 CMQ524227:CMS524230 CWM524227:CWO524230 DGI524227:DGK524230 DQE524227:DQG524230 EAA524227:EAC524230 EJW524227:EJY524230 ETS524227:ETU524230 FDO524227:FDQ524230 FNK524227:FNM524230 FXG524227:FXI524230 GHC524227:GHE524230 GQY524227:GRA524230 HAU524227:HAW524230 HKQ524227:HKS524230 HUM524227:HUO524230 IEI524227:IEK524230 IOE524227:IOG524230 IYA524227:IYC524230 JHW524227:JHY524230 JRS524227:JRU524230 KBO524227:KBQ524230 KLK524227:KLM524230 KVG524227:KVI524230 LFC524227:LFE524230 LOY524227:LPA524230 LYU524227:LYW524230 MIQ524227:MIS524230 MSM524227:MSO524230 NCI524227:NCK524230 NME524227:NMG524230 NWA524227:NWC524230 OFW524227:OFY524230 OPS524227:OPU524230 OZO524227:OZQ524230 PJK524227:PJM524230 PTG524227:PTI524230 QDC524227:QDE524230 QMY524227:QNA524230 QWU524227:QWW524230 RGQ524227:RGS524230 RQM524227:RQO524230 SAI524227:SAK524230 SKE524227:SKG524230 SUA524227:SUC524230 TDW524227:TDY524230 TNS524227:TNU524230 TXO524227:TXQ524230 UHK524227:UHM524230 URG524227:URI524230 VBC524227:VBE524230 VKY524227:VLA524230 VUU524227:VUW524230 WEQ524227:WES524230 WOM524227:WOO524230 WYI524227:WYK524230 CG589763:CG589766 LW589763:LY589766 VS589763:VU589766 AFO589763:AFQ589766 APK589763:APM589766 AZG589763:AZI589766 BJC589763:BJE589766 BSY589763:BTA589766 CCU589763:CCW589766 CMQ589763:CMS589766 CWM589763:CWO589766 DGI589763:DGK589766 DQE589763:DQG589766 EAA589763:EAC589766 EJW589763:EJY589766 ETS589763:ETU589766 FDO589763:FDQ589766 FNK589763:FNM589766 FXG589763:FXI589766 GHC589763:GHE589766 GQY589763:GRA589766 HAU589763:HAW589766 HKQ589763:HKS589766 HUM589763:HUO589766 IEI589763:IEK589766 IOE589763:IOG589766 IYA589763:IYC589766 JHW589763:JHY589766 JRS589763:JRU589766 KBO589763:KBQ589766 KLK589763:KLM589766 KVG589763:KVI589766 LFC589763:LFE589766 LOY589763:LPA589766 LYU589763:LYW589766 MIQ589763:MIS589766 MSM589763:MSO589766 NCI589763:NCK589766 NME589763:NMG589766 NWA589763:NWC589766 OFW589763:OFY589766 OPS589763:OPU589766 OZO589763:OZQ589766 PJK589763:PJM589766 PTG589763:PTI589766 QDC589763:QDE589766 QMY589763:QNA589766 QWU589763:QWW589766 RGQ589763:RGS589766 RQM589763:RQO589766 SAI589763:SAK589766 SKE589763:SKG589766 SUA589763:SUC589766 TDW589763:TDY589766 TNS589763:TNU589766 TXO589763:TXQ589766 UHK589763:UHM589766 URG589763:URI589766 VBC589763:VBE589766 VKY589763:VLA589766 VUU589763:VUW589766 WEQ589763:WES589766 WOM589763:WOO589766 WYI589763:WYK589766 CG655299:CG655302 LW655299:LY655302 VS655299:VU655302 AFO655299:AFQ655302 APK655299:APM655302 AZG655299:AZI655302 BJC655299:BJE655302 BSY655299:BTA655302 CCU655299:CCW655302 CMQ655299:CMS655302 CWM655299:CWO655302 DGI655299:DGK655302 DQE655299:DQG655302 EAA655299:EAC655302 EJW655299:EJY655302 ETS655299:ETU655302 FDO655299:FDQ655302 FNK655299:FNM655302 FXG655299:FXI655302 GHC655299:GHE655302 GQY655299:GRA655302 HAU655299:HAW655302 HKQ655299:HKS655302 HUM655299:HUO655302 IEI655299:IEK655302 IOE655299:IOG655302 IYA655299:IYC655302 JHW655299:JHY655302 JRS655299:JRU655302 KBO655299:KBQ655302 KLK655299:KLM655302 KVG655299:KVI655302 LFC655299:LFE655302 LOY655299:LPA655302 LYU655299:LYW655302 MIQ655299:MIS655302 MSM655299:MSO655302 NCI655299:NCK655302 NME655299:NMG655302 NWA655299:NWC655302 OFW655299:OFY655302 OPS655299:OPU655302 OZO655299:OZQ655302 PJK655299:PJM655302 PTG655299:PTI655302 QDC655299:QDE655302 QMY655299:QNA655302 QWU655299:QWW655302 RGQ655299:RGS655302 RQM655299:RQO655302 SAI655299:SAK655302 SKE655299:SKG655302 SUA655299:SUC655302 TDW655299:TDY655302 TNS655299:TNU655302 TXO655299:TXQ655302 UHK655299:UHM655302 URG655299:URI655302 VBC655299:VBE655302 VKY655299:VLA655302 VUU655299:VUW655302 WEQ655299:WES655302 WOM655299:WOO655302 WYI655299:WYK655302 CG720835:CG720838 LW720835:LY720838 VS720835:VU720838 AFO720835:AFQ720838 APK720835:APM720838 AZG720835:AZI720838 BJC720835:BJE720838 BSY720835:BTA720838 CCU720835:CCW720838 CMQ720835:CMS720838 CWM720835:CWO720838 DGI720835:DGK720838 DQE720835:DQG720838 EAA720835:EAC720838 EJW720835:EJY720838 ETS720835:ETU720838 FDO720835:FDQ720838 FNK720835:FNM720838 FXG720835:FXI720838 GHC720835:GHE720838 GQY720835:GRA720838 HAU720835:HAW720838 HKQ720835:HKS720838 HUM720835:HUO720838 IEI720835:IEK720838 IOE720835:IOG720838 IYA720835:IYC720838 JHW720835:JHY720838 JRS720835:JRU720838 KBO720835:KBQ720838 KLK720835:KLM720838 KVG720835:KVI720838 LFC720835:LFE720838 LOY720835:LPA720838 LYU720835:LYW720838 MIQ720835:MIS720838 MSM720835:MSO720838 NCI720835:NCK720838 NME720835:NMG720838 NWA720835:NWC720838 OFW720835:OFY720838 OPS720835:OPU720838 OZO720835:OZQ720838 PJK720835:PJM720838 PTG720835:PTI720838 QDC720835:QDE720838 QMY720835:QNA720838 QWU720835:QWW720838 RGQ720835:RGS720838 RQM720835:RQO720838 SAI720835:SAK720838 SKE720835:SKG720838 SUA720835:SUC720838 TDW720835:TDY720838 TNS720835:TNU720838 TXO720835:TXQ720838 UHK720835:UHM720838 URG720835:URI720838 VBC720835:VBE720838 VKY720835:VLA720838 VUU720835:VUW720838 WEQ720835:WES720838 WOM720835:WOO720838 WYI720835:WYK720838 CG786371:CG786374 LW786371:LY786374 VS786371:VU786374 AFO786371:AFQ786374 APK786371:APM786374 AZG786371:AZI786374 BJC786371:BJE786374 BSY786371:BTA786374 CCU786371:CCW786374 CMQ786371:CMS786374 CWM786371:CWO786374 DGI786371:DGK786374 DQE786371:DQG786374 EAA786371:EAC786374 EJW786371:EJY786374 ETS786371:ETU786374 FDO786371:FDQ786374 FNK786371:FNM786374 FXG786371:FXI786374 GHC786371:GHE786374 GQY786371:GRA786374 HAU786371:HAW786374 HKQ786371:HKS786374 HUM786371:HUO786374 IEI786371:IEK786374 IOE786371:IOG786374 IYA786371:IYC786374 JHW786371:JHY786374 JRS786371:JRU786374 KBO786371:KBQ786374 KLK786371:KLM786374 KVG786371:KVI786374 LFC786371:LFE786374 LOY786371:LPA786374 LYU786371:LYW786374 MIQ786371:MIS786374 MSM786371:MSO786374 NCI786371:NCK786374 NME786371:NMG786374 NWA786371:NWC786374 OFW786371:OFY786374 OPS786371:OPU786374 OZO786371:OZQ786374 PJK786371:PJM786374 PTG786371:PTI786374 QDC786371:QDE786374 QMY786371:QNA786374 QWU786371:QWW786374 RGQ786371:RGS786374 RQM786371:RQO786374 SAI786371:SAK786374 SKE786371:SKG786374 SUA786371:SUC786374 TDW786371:TDY786374 TNS786371:TNU786374 TXO786371:TXQ786374 UHK786371:UHM786374 URG786371:URI786374 VBC786371:VBE786374 VKY786371:VLA786374 VUU786371:VUW786374 WEQ786371:WES786374 WOM786371:WOO786374 WYI786371:WYK786374 CG851907:CG851910 LW851907:LY851910 VS851907:VU851910 AFO851907:AFQ851910 APK851907:APM851910 AZG851907:AZI851910 BJC851907:BJE851910 BSY851907:BTA851910 CCU851907:CCW851910 CMQ851907:CMS851910 CWM851907:CWO851910 DGI851907:DGK851910 DQE851907:DQG851910 EAA851907:EAC851910 EJW851907:EJY851910 ETS851907:ETU851910 FDO851907:FDQ851910 FNK851907:FNM851910 FXG851907:FXI851910 GHC851907:GHE851910 GQY851907:GRA851910 HAU851907:HAW851910 HKQ851907:HKS851910 HUM851907:HUO851910 IEI851907:IEK851910 IOE851907:IOG851910 IYA851907:IYC851910 JHW851907:JHY851910 JRS851907:JRU851910 KBO851907:KBQ851910 KLK851907:KLM851910 KVG851907:KVI851910 LFC851907:LFE851910 LOY851907:LPA851910 LYU851907:LYW851910 MIQ851907:MIS851910 MSM851907:MSO851910 NCI851907:NCK851910 NME851907:NMG851910 NWA851907:NWC851910 OFW851907:OFY851910 OPS851907:OPU851910 OZO851907:OZQ851910 PJK851907:PJM851910 PTG851907:PTI851910 QDC851907:QDE851910 QMY851907:QNA851910 QWU851907:QWW851910 RGQ851907:RGS851910 RQM851907:RQO851910 SAI851907:SAK851910 SKE851907:SKG851910 SUA851907:SUC851910 TDW851907:TDY851910 TNS851907:TNU851910 TXO851907:TXQ851910 UHK851907:UHM851910 URG851907:URI851910 VBC851907:VBE851910 VKY851907:VLA851910 VUU851907:VUW851910 WEQ851907:WES851910 WOM851907:WOO851910 WYI851907:WYK851910 CG917443:CG917446 LW917443:LY917446 VS917443:VU917446 AFO917443:AFQ917446 APK917443:APM917446 AZG917443:AZI917446 BJC917443:BJE917446 BSY917443:BTA917446 CCU917443:CCW917446 CMQ917443:CMS917446 CWM917443:CWO917446 DGI917443:DGK917446 DQE917443:DQG917446 EAA917443:EAC917446 EJW917443:EJY917446 ETS917443:ETU917446 FDO917443:FDQ917446 FNK917443:FNM917446 FXG917443:FXI917446 GHC917443:GHE917446 GQY917443:GRA917446 HAU917443:HAW917446 HKQ917443:HKS917446 HUM917443:HUO917446 IEI917443:IEK917446 IOE917443:IOG917446 IYA917443:IYC917446 JHW917443:JHY917446 JRS917443:JRU917446 KBO917443:KBQ917446 KLK917443:KLM917446 KVG917443:KVI917446 LFC917443:LFE917446 LOY917443:LPA917446 LYU917443:LYW917446 MIQ917443:MIS917446 MSM917443:MSO917446 NCI917443:NCK917446 NME917443:NMG917446 NWA917443:NWC917446 OFW917443:OFY917446 OPS917443:OPU917446 OZO917443:OZQ917446 PJK917443:PJM917446 PTG917443:PTI917446 QDC917443:QDE917446 QMY917443:QNA917446 QWU917443:QWW917446 RGQ917443:RGS917446 RQM917443:RQO917446 SAI917443:SAK917446 SKE917443:SKG917446 SUA917443:SUC917446 TDW917443:TDY917446 TNS917443:TNU917446 TXO917443:TXQ917446 UHK917443:UHM917446 URG917443:URI917446 VBC917443:VBE917446 VKY917443:VLA917446 VUU917443:VUW917446 WEQ917443:WES917446 WOM917443:WOO917446 WYI917443:WYK917446 CG982979:CG982982 LW982979:LY982982 VS982979:VU982982 AFO982979:AFQ982982 APK982979:APM982982 AZG982979:AZI982982 BJC982979:BJE982982 BSY982979:BTA982982 CCU982979:CCW982982 CMQ982979:CMS982982 CWM982979:CWO982982 DGI982979:DGK982982 DQE982979:DQG982982 EAA982979:EAC982982 EJW982979:EJY982982 ETS982979:ETU982982 FDO982979:FDQ982982 FNK982979:FNM982982 FXG982979:FXI982982 GHC982979:GHE982982 GQY982979:GRA982982 HAU982979:HAW982982 HKQ982979:HKS982982 HUM982979:HUO982982 IEI982979:IEK982982 IOE982979:IOG982982 IYA982979:IYC982982 JHW982979:JHY982982 JRS982979:JRU982982 KBO982979:KBQ982982 KLK982979:KLM982982 KVG982979:KVI982982 LFC982979:LFE982982 LOY982979:LPA982982 LYU982979:LYW982982 MIQ982979:MIS982982 MSM982979:MSO982982 NCI982979:NCK982982 NME982979:NMG982982 NWA982979:NWC982982 OFW982979:OFY982982 OPS982979:OPU982982 OZO982979:OZQ982982 PJK982979:PJM982982 PTG982979:PTI982982 QDC982979:QDE982982 QMY982979:QNA982982 QWU982979:QWW982982 RGQ982979:RGS982982 RQM982979:RQO982982 SAI982979:SAK982982 SKE982979:SKG982982 SUA982979:SUC982982 TDW982979:TDY982982 TNS982979:TNU982982 TXO982979:TXQ982982 UHK982979:UHM982982 URG982979:URI982982 VBC982979:VBE982982 VKY982979:VLA982982 VUU982979:VUW982982 WEQ982979:WES982982 WOM982979:WOO982982">
      <formula1>$G$59:$G$63</formula1>
    </dataValidation>
    <dataValidation type="custom" allowBlank="1" showInputMessage="1" showErrorMessage="1" error="The value is less than the current coverage." sqref="BQ176">
      <formula1>BQ176&gt;=BO176</formula1>
    </dataValidation>
  </dataValidations>
  <pageMargins left="0.4" right="0.4" top="0.75" bottom="0.75" header="0.3" footer="0.3"/>
  <pageSetup paperSize="9" scale="80" fitToHeight="0" orientation="landscape" r:id="rId1"/>
  <ignoredErrors>
    <ignoredError sqref="BT60 BT5:BT51 BT178 BX167 BW5:BZ51 BW178:BZ179 BW167 BY167:BZ167 BT52:BT53 BW52:BZ67 BW68:BZ166 BW168:BZ173 BT77:BT173" unlockedFormula="1"/>
  </ignoredError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List!$H$2:$H$5</xm:f>
          </x14:formula1>
          <xm:sqref>AV5:AV180 BH5:BH180</xm:sqref>
        </x14:dataValidation>
        <x14:dataValidation type="list" allowBlank="1" showInputMessage="1" showErrorMessage="1">
          <x14:formula1>
            <xm:f>List!$E$2:$E$5</xm:f>
          </x14:formula1>
          <xm:sqref>CG5:CG180</xm:sqref>
        </x14:dataValidation>
        <x14:dataValidation type="list" allowBlank="1" showInputMessage="1" showErrorMessage="1">
          <x14:formula1>
            <xm:f>[1]List!#REF!</xm:f>
          </x14:formula1>
          <xm:sqref>X177</xm:sqref>
        </x14:dataValidation>
        <x14:dataValidation type="list" allowBlank="1" showInputMessage="1" showErrorMessage="1">
          <x14:formula1>
            <xm:f>List!$N$2:$N$11</xm:f>
          </x14:formula1>
          <xm:sqref>D5:D180</xm:sqref>
        </x14:dataValidation>
        <x14:dataValidation type="list" allowBlank="1" showInputMessage="1" showErrorMessage="1">
          <x14:formula1>
            <xm:f>List!$B$8:$B$10</xm:f>
          </x14:formula1>
          <xm:sqref>H5:H180</xm:sqref>
        </x14:dataValidation>
        <x14:dataValidation type="list" allowBlank="1" showInputMessage="1" showErrorMessage="1">
          <x14:formula1>
            <xm:f>List!$B$13:$B$14</xm:f>
          </x14:formula1>
          <xm:sqref>I5:I180</xm:sqref>
        </x14:dataValidation>
        <x14:dataValidation type="list" allowBlank="1" showInputMessage="1" showErrorMessage="1">
          <x14:formula1>
            <xm:f>List!$L$2:$L$5</xm:f>
          </x14:formula1>
          <xm:sqref>T5:T180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H357"/>
  <sheetViews>
    <sheetView zoomScale="80" zoomScaleNormal="80" workbookViewId="0">
      <pane xSplit="6" ySplit="4" topLeftCell="G5" activePane="bottomRight" state="frozen"/>
      <selection activeCell="A97" sqref="A97"/>
      <selection pane="topRight" activeCell="A97" sqref="A97"/>
      <selection pane="bottomLeft" activeCell="A97" sqref="A97"/>
      <selection pane="bottomRight" activeCell="G6" sqref="G6"/>
    </sheetView>
  </sheetViews>
  <sheetFormatPr defaultColWidth="10" defaultRowHeight="12.75" x14ac:dyDescent="0.2"/>
  <cols>
    <col min="1" max="1" width="4.42578125" style="271" customWidth="1"/>
    <col min="2" max="2" width="7.5703125" style="271" customWidth="1"/>
    <col min="3" max="3" width="14.140625" style="278" customWidth="1"/>
    <col min="4" max="4" width="17.85546875" style="278" customWidth="1"/>
    <col min="5" max="6" width="13" style="278" customWidth="1"/>
    <col min="7" max="7" width="44.7109375" style="278" customWidth="1"/>
    <col min="8" max="8" width="12" style="278" customWidth="1"/>
    <col min="9" max="9" width="15.28515625" style="278" customWidth="1"/>
    <col min="10" max="12" width="11.140625" style="278" customWidth="1"/>
    <col min="13" max="17" width="11.140625" style="279" customWidth="1"/>
    <col min="18" max="18" width="11.140625" style="89" customWidth="1"/>
    <col min="19" max="19" width="11.140625" style="90" customWidth="1"/>
    <col min="20" max="25" width="13" style="278" customWidth="1"/>
    <col min="26" max="33" width="18.5703125" style="279" customWidth="1"/>
    <col min="34" max="34" width="58.7109375" style="278" customWidth="1"/>
    <col min="35" max="37" width="18.5703125" style="271" customWidth="1"/>
    <col min="38" max="16384" width="10" style="271"/>
  </cols>
  <sheetData>
    <row r="1" spans="3:34" s="91" customFormat="1" ht="34.5" customHeight="1" thickBot="1" x14ac:dyDescent="0.3">
      <c r="C1" s="359">
        <v>41640</v>
      </c>
      <c r="D1" s="360">
        <v>42004</v>
      </c>
      <c r="E1" s="87"/>
      <c r="F1" s="87"/>
      <c r="G1" s="87"/>
      <c r="H1" s="87"/>
      <c r="I1" s="87"/>
      <c r="J1" s="87"/>
      <c r="K1" s="87"/>
      <c r="L1" s="87"/>
      <c r="M1" s="88"/>
      <c r="N1" s="88"/>
      <c r="O1" s="88"/>
      <c r="P1" s="88"/>
      <c r="Q1" s="88"/>
      <c r="R1" s="89"/>
      <c r="S1" s="90"/>
      <c r="T1" s="87"/>
      <c r="U1" s="87"/>
      <c r="V1" s="87"/>
      <c r="W1" s="87"/>
      <c r="X1" s="87"/>
      <c r="Y1" s="87"/>
      <c r="Z1" s="88"/>
      <c r="AA1" s="88"/>
      <c r="AB1" s="88"/>
      <c r="AC1" s="88"/>
      <c r="AD1" s="88"/>
      <c r="AE1" s="88"/>
      <c r="AF1" s="88"/>
      <c r="AG1" s="88"/>
      <c r="AH1" s="87"/>
    </row>
    <row r="2" spans="3:34" s="91" customFormat="1" ht="30" customHeight="1" thickBot="1" x14ac:dyDescent="0.25">
      <c r="C2" s="92" t="s">
        <v>368</v>
      </c>
      <c r="D2" s="93">
        <v>42004</v>
      </c>
      <c r="E2" s="94"/>
      <c r="F2" s="95"/>
      <c r="G2" s="791" t="s">
        <v>369</v>
      </c>
      <c r="H2" s="792"/>
      <c r="I2" s="792"/>
      <c r="J2" s="792"/>
      <c r="K2" s="793"/>
      <c r="L2" s="794" t="s">
        <v>370</v>
      </c>
      <c r="M2" s="795"/>
      <c r="N2" s="795"/>
      <c r="O2" s="795"/>
      <c r="P2" s="795"/>
      <c r="Q2" s="795"/>
      <c r="R2" s="795"/>
      <c r="S2" s="795"/>
      <c r="T2" s="796"/>
      <c r="U2" s="796"/>
      <c r="V2" s="796"/>
      <c r="W2" s="795"/>
      <c r="X2" s="795"/>
      <c r="Y2" s="797"/>
      <c r="Z2" s="88"/>
      <c r="AA2" s="88"/>
      <c r="AB2" s="88"/>
      <c r="AC2" s="88"/>
      <c r="AD2" s="88"/>
      <c r="AE2" s="88"/>
      <c r="AF2" s="88"/>
      <c r="AG2" s="88"/>
      <c r="AH2" s="87"/>
    </row>
    <row r="3" spans="3:34" s="97" customFormat="1" ht="40.15" customHeight="1" thickBot="1" x14ac:dyDescent="0.3">
      <c r="C3" s="794" t="s">
        <v>371</v>
      </c>
      <c r="D3" s="795"/>
      <c r="E3" s="795"/>
      <c r="F3" s="795"/>
      <c r="G3" s="797"/>
      <c r="H3" s="794" t="s">
        <v>372</v>
      </c>
      <c r="I3" s="795"/>
      <c r="J3" s="795"/>
      <c r="K3" s="797"/>
      <c r="L3" s="794" t="s">
        <v>373</v>
      </c>
      <c r="M3" s="795"/>
      <c r="N3" s="795"/>
      <c r="O3" s="795"/>
      <c r="P3" s="795"/>
      <c r="Q3" s="795"/>
      <c r="R3" s="795"/>
      <c r="S3" s="795"/>
      <c r="T3" s="798" t="s">
        <v>374</v>
      </c>
      <c r="U3" s="799"/>
      <c r="V3" s="800"/>
      <c r="W3" s="801" t="s">
        <v>375</v>
      </c>
      <c r="X3" s="801"/>
      <c r="Y3" s="802"/>
      <c r="Z3" s="787" t="s">
        <v>376</v>
      </c>
      <c r="AA3" s="787"/>
      <c r="AB3" s="787"/>
      <c r="AC3" s="787"/>
      <c r="AD3" s="787"/>
      <c r="AE3" s="787"/>
      <c r="AF3" s="787"/>
      <c r="AG3" s="787"/>
      <c r="AH3" s="96" t="s">
        <v>15</v>
      </c>
    </row>
    <row r="4" spans="3:34" s="91" customFormat="1" ht="80.45" customHeight="1" x14ac:dyDescent="0.2">
      <c r="C4" s="98" t="s">
        <v>364</v>
      </c>
      <c r="D4" s="99" t="s">
        <v>377</v>
      </c>
      <c r="E4" s="99" t="s">
        <v>333</v>
      </c>
      <c r="F4" s="99" t="s">
        <v>378</v>
      </c>
      <c r="G4" s="100" t="s">
        <v>379</v>
      </c>
      <c r="H4" s="98" t="s">
        <v>380</v>
      </c>
      <c r="I4" s="99" t="s">
        <v>381</v>
      </c>
      <c r="J4" s="101" t="s">
        <v>382</v>
      </c>
      <c r="K4" s="100" t="s">
        <v>331</v>
      </c>
      <c r="L4" s="98" t="s">
        <v>383</v>
      </c>
      <c r="M4" s="102" t="s">
        <v>384</v>
      </c>
      <c r="N4" s="102" t="s">
        <v>385</v>
      </c>
      <c r="O4" s="102" t="s">
        <v>386</v>
      </c>
      <c r="P4" s="102" t="s">
        <v>387</v>
      </c>
      <c r="Q4" s="103" t="s">
        <v>388</v>
      </c>
      <c r="R4" s="104" t="s">
        <v>389</v>
      </c>
      <c r="S4" s="280" t="s">
        <v>390</v>
      </c>
      <c r="T4" s="105" t="s">
        <v>391</v>
      </c>
      <c r="U4" s="99" t="s">
        <v>392</v>
      </c>
      <c r="V4" s="106" t="s">
        <v>393</v>
      </c>
      <c r="W4" s="107" t="s">
        <v>391</v>
      </c>
      <c r="X4" s="99" t="s">
        <v>392</v>
      </c>
      <c r="Y4" s="101" t="s">
        <v>393</v>
      </c>
      <c r="Z4" s="108" t="s">
        <v>394</v>
      </c>
      <c r="AA4" s="109" t="s">
        <v>395</v>
      </c>
      <c r="AB4" s="109" t="s">
        <v>396</v>
      </c>
      <c r="AC4" s="109" t="s">
        <v>753</v>
      </c>
      <c r="AD4" s="110" t="s">
        <v>397</v>
      </c>
      <c r="AE4" s="110" t="s">
        <v>398</v>
      </c>
      <c r="AF4" s="110" t="s">
        <v>399</v>
      </c>
      <c r="AG4" s="111" t="s">
        <v>400</v>
      </c>
      <c r="AH4" s="112" t="s">
        <v>401</v>
      </c>
    </row>
    <row r="5" spans="3:34" s="91" customFormat="1" ht="40.15" customHeight="1" x14ac:dyDescent="0.2">
      <c r="C5" s="113" t="s">
        <v>292</v>
      </c>
      <c r="D5" s="114"/>
      <c r="E5" s="115" t="s">
        <v>261</v>
      </c>
      <c r="F5" s="114"/>
      <c r="G5" s="116" t="s">
        <v>402</v>
      </c>
      <c r="H5" s="117">
        <v>41232</v>
      </c>
      <c r="I5" s="118">
        <v>41351</v>
      </c>
      <c r="J5" s="119" t="s">
        <v>431</v>
      </c>
      <c r="K5" s="120">
        <f>YEAR(H5)</f>
        <v>2012</v>
      </c>
      <c r="L5" s="121">
        <v>2500</v>
      </c>
      <c r="M5" s="122"/>
      <c r="N5" s="122" t="str">
        <f>IF(M5="","",1-M5)</f>
        <v/>
      </c>
      <c r="O5" s="122"/>
      <c r="P5" s="122"/>
      <c r="Q5" s="123"/>
      <c r="R5" s="124">
        <v>1</v>
      </c>
      <c r="S5" s="157">
        <v>0</v>
      </c>
      <c r="T5" s="126">
        <v>2500</v>
      </c>
      <c r="U5" s="127">
        <v>2500</v>
      </c>
      <c r="V5" s="128">
        <v>2500</v>
      </c>
      <c r="W5" s="129">
        <v>0</v>
      </c>
      <c r="X5" s="127">
        <v>0</v>
      </c>
      <c r="Y5" s="119">
        <v>0</v>
      </c>
      <c r="Z5" s="130">
        <v>128026</v>
      </c>
      <c r="AA5" s="131">
        <f>Z5-(AB5+AC5)</f>
        <v>128026</v>
      </c>
      <c r="AB5" s="131">
        <f>IF(I5&lt;$C$1,0,IF(H5&gt;$C$1,Z5-AC5,(I5-$C$1)/(I5-H5)*Z5-AC5))</f>
        <v>0</v>
      </c>
      <c r="AC5" s="131">
        <f>IF(I5&lt;$D$1,0,IF(H5&gt;$D$1,Z5,(I5-$D$1)/(I5-H5)*Z5))</f>
        <v>0</v>
      </c>
      <c r="AD5" s="132">
        <v>1</v>
      </c>
      <c r="AE5" s="132">
        <v>0.54</v>
      </c>
      <c r="AF5" s="132">
        <v>0.21</v>
      </c>
      <c r="AG5" s="133">
        <v>0.25</v>
      </c>
      <c r="AH5" s="134"/>
    </row>
    <row r="6" spans="3:34" s="91" customFormat="1" ht="40.15" customHeight="1" x14ac:dyDescent="0.2">
      <c r="C6" s="113" t="s">
        <v>292</v>
      </c>
      <c r="D6" s="114"/>
      <c r="E6" s="115" t="s">
        <v>334</v>
      </c>
      <c r="F6" s="114"/>
      <c r="G6" s="116" t="s">
        <v>403</v>
      </c>
      <c r="H6" s="135">
        <v>41280</v>
      </c>
      <c r="I6" s="136">
        <v>41820</v>
      </c>
      <c r="J6" s="119" t="s">
        <v>431</v>
      </c>
      <c r="K6" s="120">
        <f t="shared" ref="K6:K62" si="0">YEAR(H6)</f>
        <v>2013</v>
      </c>
      <c r="L6" s="121">
        <v>11700</v>
      </c>
      <c r="M6" s="122">
        <v>0.45</v>
      </c>
      <c r="N6" s="122">
        <f>IF(M6="","",1-M6)</f>
        <v>0.55000000000000004</v>
      </c>
      <c r="O6" s="122">
        <v>0</v>
      </c>
      <c r="P6" s="122">
        <v>1</v>
      </c>
      <c r="Q6" s="123">
        <v>0</v>
      </c>
      <c r="R6" s="137">
        <v>1</v>
      </c>
      <c r="S6" s="155">
        <v>0</v>
      </c>
      <c r="T6" s="126">
        <v>7594</v>
      </c>
      <c r="U6" s="127">
        <v>6040</v>
      </c>
      <c r="V6" s="128">
        <v>5850</v>
      </c>
      <c r="W6" s="129">
        <v>0</v>
      </c>
      <c r="X6" s="127">
        <v>0</v>
      </c>
      <c r="Y6" s="119">
        <v>0</v>
      </c>
      <c r="Z6" s="138">
        <v>530978</v>
      </c>
      <c r="AA6" s="139">
        <f t="shared" ref="AA6:AA62" si="1">Z6-(AB6+AC6)</f>
        <v>353985.33333333337</v>
      </c>
      <c r="AB6" s="139">
        <f>IF(I6&lt;$C$1,0,IF(H6&gt;$C$1,Z6-AC6,(I6-$C$1)/(I6-H6)*Z6-AC6))</f>
        <v>176992.66666666666</v>
      </c>
      <c r="AC6" s="139">
        <f>IF(I6&lt;$D$1,0,IF(H6&gt;$D$1,Z6,(I6-$D$1)/(I6-H6)*Z6))</f>
        <v>0</v>
      </c>
      <c r="AD6" s="122">
        <v>1</v>
      </c>
      <c r="AE6" s="122">
        <v>0.55500000000000005</v>
      </c>
      <c r="AF6" s="122">
        <v>0.26</v>
      </c>
      <c r="AG6" s="140">
        <v>0.18</v>
      </c>
      <c r="AH6" s="134"/>
    </row>
    <row r="7" spans="3:34" s="91" customFormat="1" ht="40.15" customHeight="1" x14ac:dyDescent="0.2">
      <c r="C7" s="113" t="s">
        <v>292</v>
      </c>
      <c r="D7" s="114"/>
      <c r="E7" s="115" t="s">
        <v>334</v>
      </c>
      <c r="F7" s="114"/>
      <c r="G7" s="116" t="s">
        <v>763</v>
      </c>
      <c r="H7" s="135">
        <v>41648</v>
      </c>
      <c r="I7" s="136">
        <v>42247</v>
      </c>
      <c r="J7" s="119" t="s">
        <v>236</v>
      </c>
      <c r="K7" s="120">
        <v>2014</v>
      </c>
      <c r="L7" s="121">
        <v>6457</v>
      </c>
      <c r="M7" s="122"/>
      <c r="N7" s="122">
        <v>1</v>
      </c>
      <c r="O7" s="122"/>
      <c r="P7" s="122">
        <v>1</v>
      </c>
      <c r="Q7" s="123"/>
      <c r="R7" s="137">
        <v>0.62</v>
      </c>
      <c r="S7" s="155">
        <v>0.38</v>
      </c>
      <c r="T7" s="126">
        <v>4039</v>
      </c>
      <c r="U7" s="127">
        <v>4039</v>
      </c>
      <c r="V7" s="128">
        <v>1617</v>
      </c>
      <c r="W7" s="129"/>
      <c r="X7" s="127"/>
      <c r="Y7" s="119">
        <v>2418</v>
      </c>
      <c r="Z7" s="138">
        <v>354600</v>
      </c>
      <c r="AA7" s="139">
        <f t="shared" ref="AA7" si="2">Z7-(AB7+AC7)</f>
        <v>0</v>
      </c>
      <c r="AB7" s="139">
        <f>IF(I7&lt;$C$1,0,IF(H7&gt;$C$1,Z7-AC7,(I7-$C$1)/(I7-H7)*Z7-AC7))</f>
        <v>210747.24540901504</v>
      </c>
      <c r="AC7" s="139">
        <f>IF(I7&lt;$D$1,0,IF(H7&gt;$D$1,Z7,(I7-$D$1)/(I7-H7)*Z7))</f>
        <v>143852.75459098496</v>
      </c>
      <c r="AD7" s="122">
        <v>1</v>
      </c>
      <c r="AE7" s="122">
        <v>0.33</v>
      </c>
      <c r="AF7" s="122">
        <v>0.34</v>
      </c>
      <c r="AG7" s="140">
        <v>0.34</v>
      </c>
      <c r="AH7" s="134"/>
    </row>
    <row r="8" spans="3:34" s="91" customFormat="1" ht="40.15" customHeight="1" x14ac:dyDescent="0.2">
      <c r="C8" s="113" t="s">
        <v>404</v>
      </c>
      <c r="D8" s="114"/>
      <c r="E8" s="115" t="s">
        <v>335</v>
      </c>
      <c r="F8" s="114"/>
      <c r="G8" s="116" t="s">
        <v>405</v>
      </c>
      <c r="H8" s="141">
        <v>41275</v>
      </c>
      <c r="I8" s="142"/>
      <c r="J8" s="119" t="s">
        <v>431</v>
      </c>
      <c r="K8" s="120">
        <f t="shared" si="0"/>
        <v>2013</v>
      </c>
      <c r="L8" s="143"/>
      <c r="M8" s="132"/>
      <c r="N8" s="132" t="str">
        <f>IF(M8="","",1-M8)</f>
        <v/>
      </c>
      <c r="O8" s="132"/>
      <c r="P8" s="132"/>
      <c r="Q8" s="125"/>
      <c r="R8" s="124"/>
      <c r="S8" s="157"/>
      <c r="T8" s="144"/>
      <c r="U8" s="145"/>
      <c r="V8" s="146"/>
      <c r="W8" s="147"/>
      <c r="X8" s="145"/>
      <c r="Y8" s="148"/>
      <c r="Z8" s="130">
        <v>338770</v>
      </c>
      <c r="AA8" s="131">
        <f t="shared" si="1"/>
        <v>338770</v>
      </c>
      <c r="AB8" s="131">
        <f t="shared" ref="AB8:AB62" si="3">IF(I8&lt;$C$1,0,IF(H8&gt;$C$1,Z8-AC8,(I8-$C$1)/(I8-H8)*Z8-AC8))</f>
        <v>0</v>
      </c>
      <c r="AC8" s="131">
        <f t="shared" ref="AC8:AC62" si="4">IF(I8&lt;$D$1,0,IF(H8&gt;$D$1,Z8,(I8-$D$1)/(I8-H8)*Z8))</f>
        <v>0</v>
      </c>
      <c r="AD8" s="132"/>
      <c r="AE8" s="132"/>
      <c r="AF8" s="132"/>
      <c r="AG8" s="133"/>
      <c r="AH8" s="134"/>
    </row>
    <row r="9" spans="3:34" s="91" customFormat="1" ht="47.25" customHeight="1" x14ac:dyDescent="0.2">
      <c r="C9" s="113" t="s">
        <v>406</v>
      </c>
      <c r="D9" s="114"/>
      <c r="E9" s="115" t="s">
        <v>338</v>
      </c>
      <c r="F9" s="114"/>
      <c r="G9" s="116" t="s">
        <v>407</v>
      </c>
      <c r="H9" s="141">
        <v>41609</v>
      </c>
      <c r="I9" s="142"/>
      <c r="J9" s="119" t="s">
        <v>431</v>
      </c>
      <c r="K9" s="120">
        <f t="shared" si="0"/>
        <v>2013</v>
      </c>
      <c r="L9" s="143"/>
      <c r="M9" s="132"/>
      <c r="N9" s="132" t="str">
        <f>IF(M9="","",1-M9)</f>
        <v/>
      </c>
      <c r="O9" s="132"/>
      <c r="P9" s="132"/>
      <c r="Q9" s="125"/>
      <c r="R9" s="124"/>
      <c r="S9" s="157"/>
      <c r="T9" s="144"/>
      <c r="U9" s="145"/>
      <c r="V9" s="146"/>
      <c r="W9" s="147"/>
      <c r="X9" s="145"/>
      <c r="Y9" s="148"/>
      <c r="Z9" s="130">
        <v>292113</v>
      </c>
      <c r="AA9" s="131">
        <f t="shared" si="1"/>
        <v>292113</v>
      </c>
      <c r="AB9" s="131">
        <f t="shared" si="3"/>
        <v>0</v>
      </c>
      <c r="AC9" s="131">
        <f t="shared" si="4"/>
        <v>0</v>
      </c>
      <c r="AD9" s="132"/>
      <c r="AE9" s="132"/>
      <c r="AF9" s="132"/>
      <c r="AG9" s="133"/>
      <c r="AH9" s="134"/>
    </row>
    <row r="10" spans="3:34" s="150" customFormat="1" ht="40.15" customHeight="1" x14ac:dyDescent="0.2">
      <c r="C10" s="113" t="s">
        <v>239</v>
      </c>
      <c r="D10" s="114"/>
      <c r="E10" s="115" t="s">
        <v>261</v>
      </c>
      <c r="F10" s="149"/>
      <c r="G10" s="116" t="s">
        <v>408</v>
      </c>
      <c r="H10" s="117">
        <v>40954</v>
      </c>
      <c r="I10" s="118">
        <v>41090</v>
      </c>
      <c r="J10" s="119" t="s">
        <v>431</v>
      </c>
      <c r="K10" s="120">
        <f t="shared" si="0"/>
        <v>2012</v>
      </c>
      <c r="L10" s="121">
        <v>25000</v>
      </c>
      <c r="M10" s="132">
        <v>0.7</v>
      </c>
      <c r="N10" s="132">
        <v>0.3</v>
      </c>
      <c r="O10" s="132">
        <v>0</v>
      </c>
      <c r="P10" s="132">
        <v>0.4</v>
      </c>
      <c r="Q10" s="125">
        <v>0.6</v>
      </c>
      <c r="R10" s="124">
        <v>1</v>
      </c>
      <c r="S10" s="157">
        <v>0</v>
      </c>
      <c r="T10" s="126">
        <v>25000</v>
      </c>
      <c r="U10" s="127">
        <v>25000</v>
      </c>
      <c r="V10" s="128">
        <v>25000</v>
      </c>
      <c r="W10" s="129">
        <v>0</v>
      </c>
      <c r="X10" s="127">
        <v>0</v>
      </c>
      <c r="Y10" s="119">
        <v>0</v>
      </c>
      <c r="Z10" s="130">
        <f>170824500/850</f>
        <v>200970</v>
      </c>
      <c r="AA10" s="131">
        <f t="shared" si="1"/>
        <v>200970</v>
      </c>
      <c r="AB10" s="131">
        <f t="shared" si="3"/>
        <v>0</v>
      </c>
      <c r="AC10" s="131">
        <f t="shared" si="4"/>
        <v>0</v>
      </c>
      <c r="AD10" s="132">
        <v>1</v>
      </c>
      <c r="AE10" s="132">
        <f>36500000/(36500000+9000000+57000000+42900000)</f>
        <v>0.25103163686382396</v>
      </c>
      <c r="AF10" s="132">
        <f>(9000000+57000000)/(36500000+9000000+57000000+42900000)</f>
        <v>0.45392022008253097</v>
      </c>
      <c r="AG10" s="133">
        <f>42900000/(36500000+9000000+57000000+42900000)</f>
        <v>0.29504814305364513</v>
      </c>
      <c r="AH10" s="134"/>
    </row>
    <row r="11" spans="3:34" s="150" customFormat="1" ht="40.15" customHeight="1" x14ac:dyDescent="0.2">
      <c r="C11" s="113" t="s">
        <v>239</v>
      </c>
      <c r="D11" s="114"/>
      <c r="E11" s="115" t="s">
        <v>261</v>
      </c>
      <c r="F11" s="149"/>
      <c r="G11" s="116" t="s">
        <v>409</v>
      </c>
      <c r="H11" s="117">
        <v>40954</v>
      </c>
      <c r="I11" s="118">
        <v>41043</v>
      </c>
      <c r="J11" s="119" t="s">
        <v>431</v>
      </c>
      <c r="K11" s="120">
        <f t="shared" si="0"/>
        <v>2012</v>
      </c>
      <c r="L11" s="121">
        <v>25000</v>
      </c>
      <c r="M11" s="151">
        <v>0.7</v>
      </c>
      <c r="N11" s="151">
        <v>0.3</v>
      </c>
      <c r="O11" s="151">
        <v>0</v>
      </c>
      <c r="P11" s="151">
        <v>0.4</v>
      </c>
      <c r="Q11" s="152">
        <v>0.6</v>
      </c>
      <c r="R11" s="124">
        <v>1</v>
      </c>
      <c r="S11" s="157">
        <v>0</v>
      </c>
      <c r="T11" s="126">
        <v>25000</v>
      </c>
      <c r="U11" s="127">
        <v>25000</v>
      </c>
      <c r="V11" s="128">
        <v>25000</v>
      </c>
      <c r="W11" s="129">
        <v>0</v>
      </c>
      <c r="X11" s="127">
        <v>0</v>
      </c>
      <c r="Y11" s="119">
        <v>0</v>
      </c>
      <c r="Z11" s="130">
        <f>(36500000+9280000+57000000+42900000)/850</f>
        <v>171388.23529411765</v>
      </c>
      <c r="AA11" s="131">
        <f t="shared" si="1"/>
        <v>171388.23529411765</v>
      </c>
      <c r="AB11" s="131">
        <f t="shared" si="3"/>
        <v>0</v>
      </c>
      <c r="AC11" s="131">
        <f t="shared" si="4"/>
        <v>0</v>
      </c>
      <c r="AD11" s="132">
        <v>1</v>
      </c>
      <c r="AE11" s="132">
        <v>0.25</v>
      </c>
      <c r="AF11" s="132">
        <v>0.45</v>
      </c>
      <c r="AG11" s="133">
        <v>0.3</v>
      </c>
      <c r="AH11" s="134"/>
    </row>
    <row r="12" spans="3:34" s="150" customFormat="1" ht="40.15" customHeight="1" x14ac:dyDescent="0.2">
      <c r="C12" s="113" t="s">
        <v>239</v>
      </c>
      <c r="D12" s="114"/>
      <c r="E12" s="115" t="s">
        <v>261</v>
      </c>
      <c r="F12" s="149"/>
      <c r="G12" s="116" t="s">
        <v>410</v>
      </c>
      <c r="H12" s="117">
        <v>41043</v>
      </c>
      <c r="I12" s="118">
        <v>41104</v>
      </c>
      <c r="J12" s="119" t="s">
        <v>431</v>
      </c>
      <c r="K12" s="120">
        <f t="shared" si="0"/>
        <v>2012</v>
      </c>
      <c r="L12" s="121">
        <v>7733</v>
      </c>
      <c r="M12" s="151">
        <v>0.55000000000000004</v>
      </c>
      <c r="N12" s="151">
        <v>0.45</v>
      </c>
      <c r="O12" s="151">
        <v>0</v>
      </c>
      <c r="P12" s="151">
        <v>0.5</v>
      </c>
      <c r="Q12" s="152">
        <v>0.5</v>
      </c>
      <c r="R12" s="124">
        <v>1</v>
      </c>
      <c r="S12" s="157">
        <v>0</v>
      </c>
      <c r="T12" s="126">
        <v>7733</v>
      </c>
      <c r="U12" s="127">
        <v>7733</v>
      </c>
      <c r="V12" s="128">
        <v>7733</v>
      </c>
      <c r="W12" s="129">
        <v>0</v>
      </c>
      <c r="X12" s="127">
        <v>0</v>
      </c>
      <c r="Y12" s="119">
        <v>0</v>
      </c>
      <c r="Z12" s="130">
        <f>28563380/850</f>
        <v>33603.976470588233</v>
      </c>
      <c r="AA12" s="131">
        <f t="shared" si="1"/>
        <v>33603.976470588233</v>
      </c>
      <c r="AB12" s="131">
        <f t="shared" si="3"/>
        <v>0</v>
      </c>
      <c r="AC12" s="131">
        <f t="shared" si="4"/>
        <v>0</v>
      </c>
      <c r="AD12" s="132">
        <v>1</v>
      </c>
      <c r="AE12" s="132">
        <v>0.04</v>
      </c>
      <c r="AF12" s="132">
        <v>0.95</v>
      </c>
      <c r="AG12" s="133">
        <v>0</v>
      </c>
      <c r="AH12" s="134"/>
    </row>
    <row r="13" spans="3:34" s="150" customFormat="1" ht="40.15" customHeight="1" x14ac:dyDescent="0.2">
      <c r="C13" s="113" t="s">
        <v>239</v>
      </c>
      <c r="D13" s="114"/>
      <c r="E13" s="115" t="s">
        <v>261</v>
      </c>
      <c r="F13" s="114"/>
      <c r="G13" s="116" t="s">
        <v>410</v>
      </c>
      <c r="H13" s="161">
        <v>41928</v>
      </c>
      <c r="I13" s="656">
        <v>42109</v>
      </c>
      <c r="J13" s="657" t="s">
        <v>236</v>
      </c>
      <c r="K13" s="120">
        <v>2014</v>
      </c>
      <c r="L13" s="121">
        <v>11820</v>
      </c>
      <c r="M13" s="132">
        <v>0.86</v>
      </c>
      <c r="N13" s="132">
        <v>0.14000000000000001</v>
      </c>
      <c r="O13" s="132">
        <v>0</v>
      </c>
      <c r="P13" s="132">
        <v>0.87</v>
      </c>
      <c r="Q13" s="125">
        <v>0.13</v>
      </c>
      <c r="R13" s="124">
        <v>1</v>
      </c>
      <c r="S13" s="157">
        <v>0</v>
      </c>
      <c r="T13" s="126">
        <v>5360</v>
      </c>
      <c r="U13" s="127">
        <v>11820</v>
      </c>
      <c r="V13" s="128">
        <v>9833</v>
      </c>
      <c r="W13" s="160">
        <v>0</v>
      </c>
      <c r="X13" s="127">
        <v>0</v>
      </c>
      <c r="Y13" s="119">
        <v>0</v>
      </c>
      <c r="Z13" s="130">
        <v>220997.4</v>
      </c>
      <c r="AA13" s="131">
        <f t="shared" si="1"/>
        <v>0</v>
      </c>
      <c r="AB13" s="131">
        <f t="shared" si="3"/>
        <v>92794.488397790061</v>
      </c>
      <c r="AC13" s="131">
        <f t="shared" si="4"/>
        <v>128202.91160220993</v>
      </c>
      <c r="AD13" s="132">
        <v>1</v>
      </c>
      <c r="AE13" s="353">
        <v>0.44</v>
      </c>
      <c r="AF13" s="353">
        <v>0.2</v>
      </c>
      <c r="AG13" s="354">
        <v>0.36</v>
      </c>
      <c r="AH13" s="156"/>
    </row>
    <row r="14" spans="3:34" s="150" customFormat="1" ht="40.15" customHeight="1" x14ac:dyDescent="0.2">
      <c r="C14" s="113" t="s">
        <v>235</v>
      </c>
      <c r="D14" s="114"/>
      <c r="E14" s="115" t="s">
        <v>261</v>
      </c>
      <c r="F14" s="149"/>
      <c r="G14" s="116" t="s">
        <v>410</v>
      </c>
      <c r="H14" s="117">
        <v>41062</v>
      </c>
      <c r="I14" s="118">
        <v>41212</v>
      </c>
      <c r="J14" s="119" t="s">
        <v>431</v>
      </c>
      <c r="K14" s="120">
        <f t="shared" si="0"/>
        <v>2012</v>
      </c>
      <c r="L14" s="121">
        <v>5500</v>
      </c>
      <c r="M14" s="132">
        <v>0.35</v>
      </c>
      <c r="N14" s="132">
        <v>0.65</v>
      </c>
      <c r="O14" s="132">
        <v>0</v>
      </c>
      <c r="P14" s="132">
        <v>0.6</v>
      </c>
      <c r="Q14" s="125">
        <v>0.4</v>
      </c>
      <c r="R14" s="124">
        <v>1</v>
      </c>
      <c r="S14" s="157">
        <v>0</v>
      </c>
      <c r="T14" s="126">
        <v>5500</v>
      </c>
      <c r="U14" s="127">
        <v>5500</v>
      </c>
      <c r="V14" s="128">
        <v>5500</v>
      </c>
      <c r="W14" s="129">
        <v>0</v>
      </c>
      <c r="X14" s="127">
        <v>0</v>
      </c>
      <c r="Y14" s="119">
        <v>0</v>
      </c>
      <c r="Z14" s="130">
        <f>(110436225)/850</f>
        <v>129924.9705882353</v>
      </c>
      <c r="AA14" s="131">
        <f t="shared" si="1"/>
        <v>129924.9705882353</v>
      </c>
      <c r="AB14" s="131">
        <f t="shared" si="3"/>
        <v>0</v>
      </c>
      <c r="AC14" s="131">
        <f t="shared" si="4"/>
        <v>0</v>
      </c>
      <c r="AD14" s="132">
        <v>1</v>
      </c>
      <c r="AE14" s="132">
        <v>0.41</v>
      </c>
      <c r="AF14" s="132">
        <v>0.3</v>
      </c>
      <c r="AG14" s="133">
        <v>0.28999999999999998</v>
      </c>
      <c r="AH14" s="134"/>
    </row>
    <row r="15" spans="3:34" s="150" customFormat="1" ht="40.15" customHeight="1" x14ac:dyDescent="0.2">
      <c r="C15" s="113" t="s">
        <v>235</v>
      </c>
      <c r="D15" s="114"/>
      <c r="E15" s="115" t="s">
        <v>261</v>
      </c>
      <c r="F15" s="149"/>
      <c r="G15" s="116" t="s">
        <v>410</v>
      </c>
      <c r="H15" s="117">
        <v>41028</v>
      </c>
      <c r="I15" s="118">
        <v>41119</v>
      </c>
      <c r="J15" s="119" t="s">
        <v>431</v>
      </c>
      <c r="K15" s="120">
        <f t="shared" si="0"/>
        <v>2012</v>
      </c>
      <c r="L15" s="121">
        <v>18791</v>
      </c>
      <c r="M15" s="153">
        <v>0.48</v>
      </c>
      <c r="N15" s="153">
        <f>IF(M15="","",1-M15)</f>
        <v>0.52</v>
      </c>
      <c r="O15" s="153">
        <v>0.3</v>
      </c>
      <c r="P15" s="153">
        <v>0.5</v>
      </c>
      <c r="Q15" s="154">
        <v>0.2</v>
      </c>
      <c r="R15" s="124">
        <v>1</v>
      </c>
      <c r="S15" s="157">
        <v>0</v>
      </c>
      <c r="T15" s="126">
        <v>18791</v>
      </c>
      <c r="U15" s="127">
        <v>18791</v>
      </c>
      <c r="V15" s="128">
        <v>18791</v>
      </c>
      <c r="W15" s="129">
        <v>0</v>
      </c>
      <c r="X15" s="127">
        <v>0</v>
      </c>
      <c r="Y15" s="119">
        <v>0</v>
      </c>
      <c r="Z15" s="130">
        <f>126894457/850</f>
        <v>149287.59647058824</v>
      </c>
      <c r="AA15" s="131">
        <f t="shared" si="1"/>
        <v>149287.59647058824</v>
      </c>
      <c r="AB15" s="131">
        <f t="shared" si="3"/>
        <v>0</v>
      </c>
      <c r="AC15" s="131">
        <f t="shared" si="4"/>
        <v>0</v>
      </c>
      <c r="AD15" s="132">
        <v>1</v>
      </c>
      <c r="AE15" s="132">
        <f>(992500+25000000+615000)/101942950</f>
        <v>0.26100382615963141</v>
      </c>
      <c r="AF15" s="132">
        <v>0.62</v>
      </c>
      <c r="AG15" s="133">
        <f>(498000+10905000+675000)/101942950</f>
        <v>0.11847803109484276</v>
      </c>
      <c r="AH15" s="134"/>
    </row>
    <row r="16" spans="3:34" s="150" customFormat="1" ht="40.15" customHeight="1" x14ac:dyDescent="0.2">
      <c r="C16" s="113" t="s">
        <v>235</v>
      </c>
      <c r="D16" s="114"/>
      <c r="E16" s="115" t="s">
        <v>261</v>
      </c>
      <c r="F16" s="149"/>
      <c r="G16" s="116" t="s">
        <v>410</v>
      </c>
      <c r="H16" s="117">
        <v>41344</v>
      </c>
      <c r="I16" s="118">
        <v>41358</v>
      </c>
      <c r="J16" s="119" t="s">
        <v>431</v>
      </c>
      <c r="K16" s="120">
        <f t="shared" si="0"/>
        <v>2013</v>
      </c>
      <c r="L16" s="121">
        <v>493</v>
      </c>
      <c r="M16" s="132">
        <v>0.45</v>
      </c>
      <c r="N16" s="132">
        <v>0.55000000000000004</v>
      </c>
      <c r="O16" s="132">
        <v>0</v>
      </c>
      <c r="P16" s="132">
        <v>1</v>
      </c>
      <c r="Q16" s="125">
        <v>0</v>
      </c>
      <c r="R16" s="124">
        <v>1</v>
      </c>
      <c r="S16" s="157">
        <v>0</v>
      </c>
      <c r="T16" s="126">
        <v>493</v>
      </c>
      <c r="U16" s="127">
        <v>0</v>
      </c>
      <c r="V16" s="128">
        <v>0</v>
      </c>
      <c r="W16" s="129">
        <v>0</v>
      </c>
      <c r="X16" s="127">
        <v>0</v>
      </c>
      <c r="Y16" s="119">
        <v>0</v>
      </c>
      <c r="Z16" s="130">
        <f>2576780/850</f>
        <v>3031.5058823529412</v>
      </c>
      <c r="AA16" s="131">
        <f t="shared" si="1"/>
        <v>3031.5058823529412</v>
      </c>
      <c r="AB16" s="131">
        <f t="shared" si="3"/>
        <v>0</v>
      </c>
      <c r="AC16" s="131">
        <f t="shared" si="4"/>
        <v>0</v>
      </c>
      <c r="AD16" s="132">
        <v>1</v>
      </c>
      <c r="AE16" s="132">
        <v>1</v>
      </c>
      <c r="AF16" s="132">
        <v>0</v>
      </c>
      <c r="AG16" s="133">
        <v>0</v>
      </c>
      <c r="AH16" s="134"/>
    </row>
    <row r="17" spans="3:34" s="150" customFormat="1" ht="40.15" customHeight="1" x14ac:dyDescent="0.2">
      <c r="C17" s="113" t="s">
        <v>235</v>
      </c>
      <c r="D17" s="114"/>
      <c r="E17" s="115" t="s">
        <v>411</v>
      </c>
      <c r="F17" s="149" t="s">
        <v>412</v>
      </c>
      <c r="G17" s="116"/>
      <c r="H17" s="117">
        <v>41275</v>
      </c>
      <c r="I17" s="118"/>
      <c r="J17" s="119" t="s">
        <v>431</v>
      </c>
      <c r="K17" s="120">
        <f t="shared" si="0"/>
        <v>2013</v>
      </c>
      <c r="L17" s="121"/>
      <c r="M17" s="132"/>
      <c r="N17" s="132" t="str">
        <f t="shared" ref="N17:N24" si="5">IF(M17="","",1-M17)</f>
        <v/>
      </c>
      <c r="O17" s="132"/>
      <c r="P17" s="132"/>
      <c r="Q17" s="125"/>
      <c r="R17" s="124"/>
      <c r="S17" s="157"/>
      <c r="T17" s="126"/>
      <c r="U17" s="127"/>
      <c r="V17" s="128"/>
      <c r="W17" s="129"/>
      <c r="X17" s="127"/>
      <c r="Y17" s="119"/>
      <c r="Z17" s="130"/>
      <c r="AA17" s="131">
        <f t="shared" si="1"/>
        <v>0</v>
      </c>
      <c r="AB17" s="131">
        <f t="shared" si="3"/>
        <v>0</v>
      </c>
      <c r="AC17" s="131">
        <f t="shared" si="4"/>
        <v>0</v>
      </c>
      <c r="AD17" s="132"/>
      <c r="AE17" s="132"/>
      <c r="AF17" s="132"/>
      <c r="AG17" s="133"/>
      <c r="AH17" s="134"/>
    </row>
    <row r="18" spans="3:34" s="150" customFormat="1" ht="40.15" customHeight="1" x14ac:dyDescent="0.2">
      <c r="C18" s="113" t="s">
        <v>235</v>
      </c>
      <c r="D18" s="114"/>
      <c r="E18" s="115" t="s">
        <v>261</v>
      </c>
      <c r="F18" s="149" t="s">
        <v>337</v>
      </c>
      <c r="G18" s="116" t="s">
        <v>413</v>
      </c>
      <c r="H18" s="117">
        <v>41663</v>
      </c>
      <c r="I18" s="118">
        <v>41843</v>
      </c>
      <c r="J18" s="119" t="s">
        <v>431</v>
      </c>
      <c r="K18" s="120">
        <f t="shared" si="0"/>
        <v>2014</v>
      </c>
      <c r="L18" s="121">
        <v>3756</v>
      </c>
      <c r="M18" s="132">
        <v>0.65</v>
      </c>
      <c r="N18" s="132">
        <f t="shared" si="5"/>
        <v>0.35</v>
      </c>
      <c r="O18" s="132">
        <v>0.61</v>
      </c>
      <c r="P18" s="132">
        <v>0</v>
      </c>
      <c r="Q18" s="125">
        <f>1453/3756</f>
        <v>0.38684771033013843</v>
      </c>
      <c r="R18" s="124">
        <v>1</v>
      </c>
      <c r="S18" s="157">
        <v>0</v>
      </c>
      <c r="T18" s="126">
        <v>3756</v>
      </c>
      <c r="U18" s="127">
        <v>3756</v>
      </c>
      <c r="V18" s="128">
        <v>3756</v>
      </c>
      <c r="W18" s="129">
        <v>0</v>
      </c>
      <c r="X18" s="127">
        <v>0</v>
      </c>
      <c r="Y18" s="119">
        <v>0</v>
      </c>
      <c r="Z18" s="130">
        <v>201418</v>
      </c>
      <c r="AA18" s="131">
        <f t="shared" si="1"/>
        <v>0</v>
      </c>
      <c r="AB18" s="131">
        <f t="shared" si="3"/>
        <v>201418</v>
      </c>
      <c r="AC18" s="131">
        <f t="shared" si="4"/>
        <v>0</v>
      </c>
      <c r="AD18" s="132">
        <v>1</v>
      </c>
      <c r="AE18" s="132">
        <v>0.5</v>
      </c>
      <c r="AF18" s="132">
        <v>0.43</v>
      </c>
      <c r="AG18" s="133">
        <v>7.0000000000000007E-2</v>
      </c>
      <c r="AH18" s="134"/>
    </row>
    <row r="19" spans="3:34" s="150" customFormat="1" ht="40.15" customHeight="1" x14ac:dyDescent="0.2">
      <c r="C19" s="113" t="s">
        <v>258</v>
      </c>
      <c r="D19" s="114"/>
      <c r="E19" s="115" t="s">
        <v>334</v>
      </c>
      <c r="F19" s="114"/>
      <c r="G19" s="116" t="s">
        <v>414</v>
      </c>
      <c r="H19" s="141">
        <v>41412</v>
      </c>
      <c r="I19" s="142">
        <v>41777</v>
      </c>
      <c r="J19" s="119" t="s">
        <v>431</v>
      </c>
      <c r="K19" s="120">
        <f t="shared" si="0"/>
        <v>2013</v>
      </c>
      <c r="L19" s="121">
        <v>33204</v>
      </c>
      <c r="M19" s="122">
        <v>0.1</v>
      </c>
      <c r="N19" s="122">
        <f t="shared" si="5"/>
        <v>0.9</v>
      </c>
      <c r="O19" s="122">
        <v>0</v>
      </c>
      <c r="P19" s="122">
        <v>0</v>
      </c>
      <c r="Q19" s="123">
        <v>1</v>
      </c>
      <c r="R19" s="137">
        <v>7.0000000000000007E-2</v>
      </c>
      <c r="S19" s="155">
        <v>0.93</v>
      </c>
      <c r="T19" s="126">
        <v>2416</v>
      </c>
      <c r="U19" s="127">
        <v>146</v>
      </c>
      <c r="V19" s="128">
        <v>2416</v>
      </c>
      <c r="W19" s="129">
        <v>22000</v>
      </c>
      <c r="X19" s="127">
        <v>8788</v>
      </c>
      <c r="Y19" s="119">
        <v>30788</v>
      </c>
      <c r="Z19" s="138">
        <v>26986</v>
      </c>
      <c r="AA19" s="139">
        <f t="shared" si="1"/>
        <v>16857.008219178082</v>
      </c>
      <c r="AB19" s="139">
        <f t="shared" si="3"/>
        <v>10128.991780821918</v>
      </c>
      <c r="AC19" s="139">
        <f t="shared" si="4"/>
        <v>0</v>
      </c>
      <c r="AD19" s="122">
        <v>0.04</v>
      </c>
      <c r="AE19" s="132">
        <v>0.82</v>
      </c>
      <c r="AF19" s="122">
        <v>0.12</v>
      </c>
      <c r="AG19" s="155">
        <v>0.06</v>
      </c>
      <c r="AH19" s="156"/>
    </row>
    <row r="20" spans="3:34" s="150" customFormat="1" ht="40.15" customHeight="1" x14ac:dyDescent="0.2">
      <c r="C20" s="113" t="s">
        <v>237</v>
      </c>
      <c r="D20" s="114"/>
      <c r="E20" s="115" t="s">
        <v>261</v>
      </c>
      <c r="F20" s="114"/>
      <c r="G20" s="651" t="s">
        <v>410</v>
      </c>
      <c r="H20" s="652">
        <v>40973</v>
      </c>
      <c r="I20" s="653">
        <v>41074</v>
      </c>
      <c r="J20" s="654" t="s">
        <v>431</v>
      </c>
      <c r="K20" s="655">
        <f t="shared" si="0"/>
        <v>2012</v>
      </c>
      <c r="L20" s="121">
        <v>14000</v>
      </c>
      <c r="M20" s="122"/>
      <c r="N20" s="122" t="str">
        <f t="shared" si="5"/>
        <v/>
      </c>
      <c r="O20" s="122"/>
      <c r="P20" s="122"/>
      <c r="Q20" s="123"/>
      <c r="R20" s="124">
        <v>1</v>
      </c>
      <c r="S20" s="157">
        <v>0</v>
      </c>
      <c r="T20" s="126">
        <v>14000</v>
      </c>
      <c r="U20" s="127">
        <v>14000</v>
      </c>
      <c r="V20" s="128">
        <v>14000</v>
      </c>
      <c r="W20" s="129">
        <v>0</v>
      </c>
      <c r="X20" s="127">
        <v>0</v>
      </c>
      <c r="Y20" s="119">
        <v>0</v>
      </c>
      <c r="Z20" s="130">
        <f>(28600000+4800000+31800000+6266000)/850+8360</f>
        <v>92437.647058823524</v>
      </c>
      <c r="AA20" s="131">
        <f t="shared" si="1"/>
        <v>92437.647058823524</v>
      </c>
      <c r="AB20" s="239">
        <f t="shared" si="3"/>
        <v>0</v>
      </c>
      <c r="AC20" s="239">
        <f t="shared" si="4"/>
        <v>0</v>
      </c>
      <c r="AD20" s="157">
        <v>1</v>
      </c>
      <c r="AE20" s="132">
        <v>0.36</v>
      </c>
      <c r="AF20" s="132">
        <v>0.53</v>
      </c>
      <c r="AG20" s="158">
        <v>0.1</v>
      </c>
      <c r="AH20" s="156"/>
    </row>
    <row r="21" spans="3:34" s="150" customFormat="1" ht="40.15" customHeight="1" x14ac:dyDescent="0.2">
      <c r="C21" s="113" t="s">
        <v>237</v>
      </c>
      <c r="D21" s="114"/>
      <c r="E21" s="115" t="s">
        <v>261</v>
      </c>
      <c r="F21" s="114"/>
      <c r="G21" s="651" t="s">
        <v>410</v>
      </c>
      <c r="H21" s="652">
        <v>40941</v>
      </c>
      <c r="I21" s="653">
        <v>41090</v>
      </c>
      <c r="J21" s="654" t="s">
        <v>431</v>
      </c>
      <c r="K21" s="655">
        <f t="shared" si="0"/>
        <v>2012</v>
      </c>
      <c r="L21" s="121">
        <v>3240</v>
      </c>
      <c r="M21" s="122"/>
      <c r="N21" s="122" t="str">
        <f t="shared" si="5"/>
        <v/>
      </c>
      <c r="O21" s="122"/>
      <c r="P21" s="122"/>
      <c r="Q21" s="123"/>
      <c r="R21" s="124">
        <v>1</v>
      </c>
      <c r="S21" s="157">
        <v>0</v>
      </c>
      <c r="T21" s="126">
        <v>3240</v>
      </c>
      <c r="U21" s="127">
        <v>3240</v>
      </c>
      <c r="V21" s="128">
        <v>3240</v>
      </c>
      <c r="W21" s="129">
        <v>0</v>
      </c>
      <c r="X21" s="127">
        <v>0</v>
      </c>
      <c r="Y21" s="119">
        <v>0</v>
      </c>
      <c r="Z21" s="130">
        <f>(7354000+3480000+7870000+10800000)/850</f>
        <v>34710.588235294119</v>
      </c>
      <c r="AA21" s="131">
        <f t="shared" si="1"/>
        <v>34710.588235294119</v>
      </c>
      <c r="AB21" s="239">
        <f t="shared" si="3"/>
        <v>0</v>
      </c>
      <c r="AC21" s="239">
        <f t="shared" si="4"/>
        <v>0</v>
      </c>
      <c r="AD21" s="157">
        <v>1</v>
      </c>
      <c r="AE21" s="132">
        <v>0.35</v>
      </c>
      <c r="AF21" s="132">
        <v>0.38</v>
      </c>
      <c r="AG21" s="158">
        <v>0.36</v>
      </c>
      <c r="AH21" s="156"/>
    </row>
    <row r="22" spans="3:34" s="150" customFormat="1" ht="40.15" customHeight="1" x14ac:dyDescent="0.2">
      <c r="C22" s="113" t="s">
        <v>237</v>
      </c>
      <c r="D22" s="114"/>
      <c r="E22" s="115" t="s">
        <v>261</v>
      </c>
      <c r="F22" s="149"/>
      <c r="G22" s="651" t="s">
        <v>410</v>
      </c>
      <c r="H22" s="652">
        <v>40940</v>
      </c>
      <c r="I22" s="653">
        <v>41029</v>
      </c>
      <c r="J22" s="654" t="s">
        <v>431</v>
      </c>
      <c r="K22" s="655">
        <f t="shared" si="0"/>
        <v>2012</v>
      </c>
      <c r="L22" s="121">
        <v>14000</v>
      </c>
      <c r="M22" s="122"/>
      <c r="N22" s="122" t="str">
        <f t="shared" si="5"/>
        <v/>
      </c>
      <c r="O22" s="122"/>
      <c r="P22" s="122"/>
      <c r="Q22" s="123"/>
      <c r="R22" s="124">
        <v>1</v>
      </c>
      <c r="S22" s="157">
        <v>0</v>
      </c>
      <c r="T22" s="126">
        <v>14000</v>
      </c>
      <c r="U22" s="127">
        <v>14000</v>
      </c>
      <c r="V22" s="128">
        <v>14000</v>
      </c>
      <c r="W22" s="129">
        <v>0</v>
      </c>
      <c r="X22" s="127">
        <v>0</v>
      </c>
      <c r="Y22" s="119">
        <v>0</v>
      </c>
      <c r="Z22" s="130">
        <f>35400+9000+39360</f>
        <v>83760</v>
      </c>
      <c r="AA22" s="131">
        <f t="shared" si="1"/>
        <v>83760</v>
      </c>
      <c r="AB22" s="239">
        <f t="shared" si="3"/>
        <v>0</v>
      </c>
      <c r="AC22" s="239">
        <f t="shared" si="4"/>
        <v>0</v>
      </c>
      <c r="AD22" s="157">
        <v>1</v>
      </c>
      <c r="AE22" s="132">
        <v>0.42</v>
      </c>
      <c r="AF22" s="132">
        <v>0.55000000000000004</v>
      </c>
      <c r="AG22" s="158">
        <v>0.22</v>
      </c>
      <c r="AH22" s="156"/>
    </row>
    <row r="23" spans="3:34" s="150" customFormat="1" ht="40.15" customHeight="1" x14ac:dyDescent="0.2">
      <c r="C23" s="113" t="s">
        <v>237</v>
      </c>
      <c r="D23" s="114"/>
      <c r="E23" s="115" t="s">
        <v>261</v>
      </c>
      <c r="F23" s="114"/>
      <c r="G23" s="651" t="s">
        <v>410</v>
      </c>
      <c r="H23" s="652">
        <v>41346</v>
      </c>
      <c r="I23" s="653">
        <v>41437</v>
      </c>
      <c r="J23" s="654" t="s">
        <v>431</v>
      </c>
      <c r="K23" s="655">
        <f t="shared" si="0"/>
        <v>2013</v>
      </c>
      <c r="L23" s="121">
        <v>19000</v>
      </c>
      <c r="M23" s="151">
        <f>13000/19000</f>
        <v>0.68421052631578949</v>
      </c>
      <c r="N23" s="151">
        <f t="shared" si="5"/>
        <v>0.31578947368421051</v>
      </c>
      <c r="O23" s="151">
        <v>0</v>
      </c>
      <c r="P23" s="151">
        <v>0.32</v>
      </c>
      <c r="Q23" s="152">
        <f>12981/L23</f>
        <v>0.68321052631578949</v>
      </c>
      <c r="R23" s="124">
        <v>1</v>
      </c>
      <c r="S23" s="157">
        <v>0</v>
      </c>
      <c r="T23" s="126">
        <v>19000</v>
      </c>
      <c r="U23" s="127">
        <v>19000</v>
      </c>
      <c r="V23" s="128">
        <v>19000</v>
      </c>
      <c r="W23" s="129">
        <v>0</v>
      </c>
      <c r="X23" s="127">
        <v>0</v>
      </c>
      <c r="Y23" s="119">
        <v>0</v>
      </c>
      <c r="Z23" s="130">
        <f>83567321/850</f>
        <v>98314.495294117645</v>
      </c>
      <c r="AA23" s="131">
        <f t="shared" si="1"/>
        <v>98314.495294117645</v>
      </c>
      <c r="AB23" s="239">
        <f t="shared" si="3"/>
        <v>0</v>
      </c>
      <c r="AC23" s="239">
        <f t="shared" si="4"/>
        <v>0</v>
      </c>
      <c r="AD23" s="132">
        <v>1</v>
      </c>
      <c r="AE23" s="132">
        <f>22500000/83567321</f>
        <v>0.26924400268856291</v>
      </c>
      <c r="AF23" s="132">
        <v>0.14000000000000001</v>
      </c>
      <c r="AG23" s="157">
        <f>48974300/83567321</f>
        <v>0.58604606937202164</v>
      </c>
      <c r="AH23" s="156"/>
    </row>
    <row r="24" spans="3:34" s="150" customFormat="1" ht="40.15" customHeight="1" x14ac:dyDescent="0.2">
      <c r="C24" s="113" t="s">
        <v>237</v>
      </c>
      <c r="D24" s="114"/>
      <c r="E24" s="115" t="s">
        <v>261</v>
      </c>
      <c r="F24" s="114"/>
      <c r="G24" s="651" t="s">
        <v>410</v>
      </c>
      <c r="H24" s="652">
        <v>41082</v>
      </c>
      <c r="I24" s="653">
        <v>41364</v>
      </c>
      <c r="J24" s="654" t="s">
        <v>431</v>
      </c>
      <c r="K24" s="655">
        <f t="shared" si="0"/>
        <v>2012</v>
      </c>
      <c r="L24" s="121"/>
      <c r="M24" s="151"/>
      <c r="N24" s="151" t="str">
        <f t="shared" si="5"/>
        <v/>
      </c>
      <c r="O24" s="151"/>
      <c r="P24" s="151"/>
      <c r="Q24" s="152"/>
      <c r="R24" s="124"/>
      <c r="S24" s="157"/>
      <c r="T24" s="126"/>
      <c r="U24" s="127"/>
      <c r="V24" s="128"/>
      <c r="W24" s="129"/>
      <c r="X24" s="127"/>
      <c r="Y24" s="119"/>
      <c r="Z24" s="130">
        <f>136729365/780</f>
        <v>175294.05769230769</v>
      </c>
      <c r="AA24" s="131">
        <f t="shared" si="1"/>
        <v>175294.05769230769</v>
      </c>
      <c r="AB24" s="131">
        <f t="shared" si="3"/>
        <v>0</v>
      </c>
      <c r="AC24" s="131">
        <f t="shared" si="4"/>
        <v>0</v>
      </c>
      <c r="AD24" s="132"/>
      <c r="AE24" s="132"/>
      <c r="AF24" s="132"/>
      <c r="AG24" s="157"/>
      <c r="AH24" s="156"/>
    </row>
    <row r="25" spans="3:34" s="150" customFormat="1" ht="40.15" customHeight="1" x14ac:dyDescent="0.2">
      <c r="C25" s="113" t="s">
        <v>237</v>
      </c>
      <c r="D25" s="114"/>
      <c r="E25" s="115" t="s">
        <v>261</v>
      </c>
      <c r="F25" s="114"/>
      <c r="G25" s="116" t="s">
        <v>410</v>
      </c>
      <c r="H25" s="161">
        <v>41648</v>
      </c>
      <c r="I25" s="656">
        <v>41951</v>
      </c>
      <c r="J25" s="163" t="s">
        <v>431</v>
      </c>
      <c r="K25" s="120">
        <v>2014</v>
      </c>
      <c r="L25" s="355">
        <v>11000</v>
      </c>
      <c r="M25" s="132">
        <v>0.62</v>
      </c>
      <c r="N25" s="132">
        <v>0.38</v>
      </c>
      <c r="O25" s="132">
        <v>0</v>
      </c>
      <c r="P25" s="132">
        <v>1</v>
      </c>
      <c r="Q25" s="125">
        <v>0</v>
      </c>
      <c r="R25" s="124">
        <v>1</v>
      </c>
      <c r="S25" s="157">
        <v>0</v>
      </c>
      <c r="T25" s="126">
        <v>11000</v>
      </c>
      <c r="U25" s="127">
        <v>11000</v>
      </c>
      <c r="V25" s="128">
        <v>11000</v>
      </c>
      <c r="W25" s="160">
        <v>0</v>
      </c>
      <c r="X25" s="127">
        <v>0</v>
      </c>
      <c r="Y25" s="119">
        <v>0</v>
      </c>
      <c r="Z25" s="130">
        <v>337220.99</v>
      </c>
      <c r="AA25" s="131">
        <f t="shared" si="1"/>
        <v>0</v>
      </c>
      <c r="AB25" s="131">
        <f t="shared" si="3"/>
        <v>337220.99</v>
      </c>
      <c r="AC25" s="131">
        <f t="shared" si="4"/>
        <v>0</v>
      </c>
      <c r="AD25" s="132">
        <v>1</v>
      </c>
      <c r="AE25" s="353">
        <v>0.33</v>
      </c>
      <c r="AF25" s="353">
        <v>0.33</v>
      </c>
      <c r="AG25" s="354">
        <v>0.34</v>
      </c>
      <c r="AH25" s="156"/>
    </row>
    <row r="26" spans="3:34" s="150" customFormat="1" ht="40.15" customHeight="1" x14ac:dyDescent="0.2">
      <c r="C26" s="113" t="s">
        <v>237</v>
      </c>
      <c r="D26" s="114"/>
      <c r="E26" s="115" t="s">
        <v>261</v>
      </c>
      <c r="F26" s="114"/>
      <c r="G26" s="116" t="s">
        <v>410</v>
      </c>
      <c r="H26" s="659">
        <v>41928</v>
      </c>
      <c r="I26" s="656">
        <v>42109</v>
      </c>
      <c r="J26" s="657" t="s">
        <v>236</v>
      </c>
      <c r="K26" s="120">
        <v>2014</v>
      </c>
      <c r="L26" s="121">
        <v>13389</v>
      </c>
      <c r="M26" s="356">
        <v>0.59</v>
      </c>
      <c r="N26" s="132">
        <v>0.41</v>
      </c>
      <c r="O26" s="132">
        <v>0</v>
      </c>
      <c r="P26" s="132">
        <v>1</v>
      </c>
      <c r="Q26" s="125">
        <v>0</v>
      </c>
      <c r="R26" s="124">
        <v>1</v>
      </c>
      <c r="S26" s="157">
        <v>0</v>
      </c>
      <c r="T26" s="126">
        <v>5571</v>
      </c>
      <c r="U26" s="127">
        <v>5643</v>
      </c>
      <c r="V26" s="128">
        <v>13389</v>
      </c>
      <c r="W26" s="160">
        <v>0</v>
      </c>
      <c r="X26" s="127">
        <v>0</v>
      </c>
      <c r="Y26" s="119">
        <v>0</v>
      </c>
      <c r="Z26" s="130">
        <v>288461.43</v>
      </c>
      <c r="AA26" s="131">
        <f t="shared" si="1"/>
        <v>0</v>
      </c>
      <c r="AB26" s="131">
        <f t="shared" si="3"/>
        <v>121121.92640883979</v>
      </c>
      <c r="AC26" s="131">
        <f t="shared" si="4"/>
        <v>167339.5035911602</v>
      </c>
      <c r="AD26" s="132">
        <v>1</v>
      </c>
      <c r="AE26" s="353">
        <v>0.23</v>
      </c>
      <c r="AF26" s="353">
        <v>0.23</v>
      </c>
      <c r="AG26" s="354">
        <v>0.54</v>
      </c>
      <c r="AH26" s="156"/>
    </row>
    <row r="27" spans="3:34" s="150" customFormat="1" ht="40.15" customHeight="1" x14ac:dyDescent="0.2">
      <c r="C27" s="113" t="s">
        <v>237</v>
      </c>
      <c r="D27" s="114" t="s">
        <v>634</v>
      </c>
      <c r="E27" s="115" t="s">
        <v>633</v>
      </c>
      <c r="F27" s="114"/>
      <c r="G27" s="116" t="s">
        <v>410</v>
      </c>
      <c r="H27" s="117">
        <v>41757</v>
      </c>
      <c r="I27" s="118">
        <v>41802</v>
      </c>
      <c r="J27" s="119" t="s">
        <v>431</v>
      </c>
      <c r="K27" s="120">
        <f t="shared" si="0"/>
        <v>2014</v>
      </c>
      <c r="L27" s="121"/>
      <c r="M27" s="151"/>
      <c r="N27" s="151"/>
      <c r="O27" s="151">
        <v>1</v>
      </c>
      <c r="P27" s="151">
        <v>0</v>
      </c>
      <c r="Q27" s="152">
        <v>0</v>
      </c>
      <c r="R27" s="124">
        <v>1</v>
      </c>
      <c r="S27" s="157">
        <v>0</v>
      </c>
      <c r="T27" s="126"/>
      <c r="U27" s="127"/>
      <c r="V27" s="128"/>
      <c r="W27" s="129"/>
      <c r="X27" s="127"/>
      <c r="Y27" s="119"/>
      <c r="Z27" s="130">
        <v>43482</v>
      </c>
      <c r="AA27" s="131">
        <f t="shared" si="1"/>
        <v>0</v>
      </c>
      <c r="AB27" s="131">
        <f t="shared" si="3"/>
        <v>43482</v>
      </c>
      <c r="AC27" s="131">
        <f t="shared" si="4"/>
        <v>0</v>
      </c>
      <c r="AD27" s="132"/>
      <c r="AE27" s="132"/>
      <c r="AF27" s="132"/>
      <c r="AG27" s="157"/>
      <c r="AH27" s="156"/>
    </row>
    <row r="28" spans="3:34" s="150" customFormat="1" ht="40.15" customHeight="1" x14ac:dyDescent="0.2">
      <c r="C28" s="113" t="s">
        <v>415</v>
      </c>
      <c r="D28" s="114" t="s">
        <v>416</v>
      </c>
      <c r="E28" s="115" t="s">
        <v>334</v>
      </c>
      <c r="F28" s="114" t="s">
        <v>417</v>
      </c>
      <c r="G28" s="116" t="s">
        <v>418</v>
      </c>
      <c r="H28" s="141">
        <v>41275</v>
      </c>
      <c r="I28" s="142">
        <v>41729</v>
      </c>
      <c r="J28" s="119" t="s">
        <v>431</v>
      </c>
      <c r="K28" s="120">
        <f t="shared" si="0"/>
        <v>2013</v>
      </c>
      <c r="L28" s="121">
        <f>8400+6500+4894</f>
        <v>19794</v>
      </c>
      <c r="M28" s="132">
        <f>8400/L28</f>
        <v>0.42437102152167322</v>
      </c>
      <c r="N28" s="132">
        <f>IF(M28="","",1-M28)</f>
        <v>0.57562897847832684</v>
      </c>
      <c r="O28" s="132">
        <v>0</v>
      </c>
      <c r="P28" s="132">
        <v>0</v>
      </c>
      <c r="Q28" s="125">
        <v>1</v>
      </c>
      <c r="R28" s="124">
        <v>1</v>
      </c>
      <c r="S28" s="157">
        <v>0</v>
      </c>
      <c r="T28" s="126">
        <f>262*20</f>
        <v>5240</v>
      </c>
      <c r="U28" s="127">
        <f>8400+(21*250)</f>
        <v>13650</v>
      </c>
      <c r="V28" s="128">
        <f>L28</f>
        <v>19794</v>
      </c>
      <c r="W28" s="129">
        <v>0</v>
      </c>
      <c r="X28" s="127">
        <v>0</v>
      </c>
      <c r="Y28" s="119">
        <v>0</v>
      </c>
      <c r="Z28" s="130">
        <v>774563</v>
      </c>
      <c r="AA28" s="131">
        <f t="shared" si="1"/>
        <v>622721.35462555068</v>
      </c>
      <c r="AB28" s="131">
        <f t="shared" si="3"/>
        <v>151841.64537444935</v>
      </c>
      <c r="AC28" s="131">
        <f t="shared" si="4"/>
        <v>0</v>
      </c>
      <c r="AD28" s="132">
        <v>1</v>
      </c>
      <c r="AE28" s="132">
        <v>0.2</v>
      </c>
      <c r="AF28" s="132">
        <v>0.22</v>
      </c>
      <c r="AG28" s="157">
        <v>0.57999999999999996</v>
      </c>
      <c r="AH28" s="159" t="s">
        <v>419</v>
      </c>
    </row>
    <row r="29" spans="3:34" s="150" customFormat="1" ht="40.15" customHeight="1" x14ac:dyDescent="0.2">
      <c r="C29" s="113" t="s">
        <v>415</v>
      </c>
      <c r="D29" s="114" t="s">
        <v>416</v>
      </c>
      <c r="E29" s="115" t="s">
        <v>339</v>
      </c>
      <c r="F29" s="114" t="s">
        <v>420</v>
      </c>
      <c r="G29" s="116" t="s">
        <v>421</v>
      </c>
      <c r="H29" s="141">
        <v>41275</v>
      </c>
      <c r="I29" s="142">
        <v>41729</v>
      </c>
      <c r="J29" s="119" t="s">
        <v>431</v>
      </c>
      <c r="K29" s="120">
        <f t="shared" si="0"/>
        <v>2013</v>
      </c>
      <c r="L29" s="121"/>
      <c r="M29" s="132"/>
      <c r="N29" s="132"/>
      <c r="O29" s="132"/>
      <c r="P29" s="132"/>
      <c r="Q29" s="125"/>
      <c r="R29" s="124"/>
      <c r="S29" s="157"/>
      <c r="T29" s="126"/>
      <c r="U29" s="127"/>
      <c r="V29" s="128"/>
      <c r="W29" s="129"/>
      <c r="X29" s="127"/>
      <c r="Y29" s="119"/>
      <c r="Z29" s="130">
        <v>515029</v>
      </c>
      <c r="AA29" s="131">
        <f t="shared" si="1"/>
        <v>414065.16519823787</v>
      </c>
      <c r="AB29" s="131">
        <f t="shared" si="3"/>
        <v>100963.83480176212</v>
      </c>
      <c r="AC29" s="131">
        <f t="shared" si="4"/>
        <v>0</v>
      </c>
      <c r="AD29" s="132"/>
      <c r="AE29" s="132"/>
      <c r="AF29" s="132"/>
      <c r="AG29" s="157"/>
      <c r="AH29" s="159"/>
    </row>
    <row r="30" spans="3:34" s="150" customFormat="1" ht="40.15" customHeight="1" x14ac:dyDescent="0.2">
      <c r="C30" s="113" t="s">
        <v>415</v>
      </c>
      <c r="D30" s="114" t="s">
        <v>416</v>
      </c>
      <c r="E30" s="115" t="s">
        <v>342</v>
      </c>
      <c r="F30" s="114" t="s">
        <v>422</v>
      </c>
      <c r="G30" s="116" t="s">
        <v>421</v>
      </c>
      <c r="H30" s="141">
        <v>41275</v>
      </c>
      <c r="I30" s="142">
        <v>41729</v>
      </c>
      <c r="J30" s="119" t="s">
        <v>431</v>
      </c>
      <c r="K30" s="120">
        <f t="shared" si="0"/>
        <v>2013</v>
      </c>
      <c r="L30" s="121"/>
      <c r="M30" s="132"/>
      <c r="N30" s="132"/>
      <c r="O30" s="132"/>
      <c r="P30" s="132"/>
      <c r="Q30" s="125"/>
      <c r="R30" s="124"/>
      <c r="S30" s="157"/>
      <c r="T30" s="126"/>
      <c r="U30" s="127"/>
      <c r="V30" s="128"/>
      <c r="W30" s="129"/>
      <c r="X30" s="127"/>
      <c r="Y30" s="119"/>
      <c r="Z30" s="130">
        <v>191487</v>
      </c>
      <c r="AA30" s="131">
        <f t="shared" si="1"/>
        <v>153948.79955947137</v>
      </c>
      <c r="AB30" s="131">
        <f t="shared" si="3"/>
        <v>37538.200440528635</v>
      </c>
      <c r="AC30" s="131">
        <f t="shared" si="4"/>
        <v>0</v>
      </c>
      <c r="AD30" s="132"/>
      <c r="AE30" s="132"/>
      <c r="AF30" s="132"/>
      <c r="AG30" s="157"/>
      <c r="AH30" s="159"/>
    </row>
    <row r="31" spans="3:34" s="150" customFormat="1" ht="40.15" customHeight="1" x14ac:dyDescent="0.2">
      <c r="C31" s="113" t="s">
        <v>415</v>
      </c>
      <c r="D31" s="114" t="s">
        <v>416</v>
      </c>
      <c r="E31" s="115" t="s">
        <v>716</v>
      </c>
      <c r="F31" s="114" t="s">
        <v>635</v>
      </c>
      <c r="G31" s="116" t="s">
        <v>636</v>
      </c>
      <c r="H31" s="141">
        <v>41760</v>
      </c>
      <c r="I31" s="142">
        <v>42155</v>
      </c>
      <c r="J31" s="119" t="s">
        <v>236</v>
      </c>
      <c r="K31" s="120">
        <f t="shared" si="0"/>
        <v>2014</v>
      </c>
      <c r="L31" s="121">
        <v>23013</v>
      </c>
      <c r="M31" s="132">
        <f>9543/L31</f>
        <v>0.41467865988788943</v>
      </c>
      <c r="N31" s="132">
        <f t="shared" ref="N31:N36" si="6">IF(M31="","",1-M31)</f>
        <v>0.58532134011211057</v>
      </c>
      <c r="O31" s="132">
        <v>0</v>
      </c>
      <c r="P31" s="132">
        <v>0</v>
      </c>
      <c r="Q31" s="125">
        <v>1</v>
      </c>
      <c r="R31" s="124">
        <v>1</v>
      </c>
      <c r="S31" s="157">
        <v>0</v>
      </c>
      <c r="T31" s="126">
        <v>23013</v>
      </c>
      <c r="U31" s="127">
        <v>23013</v>
      </c>
      <c r="V31" s="128">
        <f>L31</f>
        <v>23013</v>
      </c>
      <c r="W31" s="129">
        <v>0</v>
      </c>
      <c r="X31" s="127">
        <v>0</v>
      </c>
      <c r="Y31" s="119">
        <v>0</v>
      </c>
      <c r="Z31" s="130">
        <v>1520909.0013263728</v>
      </c>
      <c r="AA31" s="131">
        <f t="shared" si="1"/>
        <v>0</v>
      </c>
      <c r="AB31" s="131">
        <f t="shared" si="3"/>
        <v>939498.21854084812</v>
      </c>
      <c r="AC31" s="131">
        <f t="shared" si="4"/>
        <v>581410.78278552473</v>
      </c>
      <c r="AD31" s="132">
        <v>1</v>
      </c>
      <c r="AE31" s="132">
        <v>0.16</v>
      </c>
      <c r="AF31" s="132">
        <v>0.09</v>
      </c>
      <c r="AG31" s="157">
        <v>0.75</v>
      </c>
      <c r="AH31" s="159" t="s">
        <v>637</v>
      </c>
    </row>
    <row r="32" spans="3:34" s="150" customFormat="1" ht="40.15" customHeight="1" x14ac:dyDescent="0.2">
      <c r="C32" s="113" t="s">
        <v>423</v>
      </c>
      <c r="D32" s="114"/>
      <c r="E32" s="115" t="s">
        <v>335</v>
      </c>
      <c r="F32" s="114"/>
      <c r="G32" s="116"/>
      <c r="H32" s="141">
        <v>40909</v>
      </c>
      <c r="I32" s="142">
        <v>42004</v>
      </c>
      <c r="J32" s="119"/>
      <c r="K32" s="120">
        <f t="shared" si="0"/>
        <v>2012</v>
      </c>
      <c r="L32" s="121"/>
      <c r="M32" s="132"/>
      <c r="N32" s="132" t="str">
        <f t="shared" si="6"/>
        <v/>
      </c>
      <c r="O32" s="132"/>
      <c r="P32" s="132"/>
      <c r="Q32" s="125"/>
      <c r="R32" s="124"/>
      <c r="S32" s="157"/>
      <c r="T32" s="126"/>
      <c r="U32" s="127"/>
      <c r="V32" s="128"/>
      <c r="W32" s="129"/>
      <c r="X32" s="127"/>
      <c r="Y32" s="119"/>
      <c r="Z32" s="130"/>
      <c r="AA32" s="131">
        <f t="shared" si="1"/>
        <v>0</v>
      </c>
      <c r="AB32" s="131">
        <f t="shared" si="3"/>
        <v>0</v>
      </c>
      <c r="AC32" s="131">
        <f t="shared" si="4"/>
        <v>0</v>
      </c>
      <c r="AD32" s="132"/>
      <c r="AE32" s="132"/>
      <c r="AF32" s="132"/>
      <c r="AG32" s="157"/>
      <c r="AH32" s="156"/>
    </row>
    <row r="33" spans="3:34" s="150" customFormat="1" ht="40.15" customHeight="1" x14ac:dyDescent="0.2">
      <c r="C33" s="113" t="s">
        <v>424</v>
      </c>
      <c r="D33" s="114" t="s">
        <v>293</v>
      </c>
      <c r="E33" s="115" t="s">
        <v>334</v>
      </c>
      <c r="F33" s="114"/>
      <c r="G33" s="116" t="s">
        <v>425</v>
      </c>
      <c r="H33" s="141">
        <v>41426</v>
      </c>
      <c r="I33" s="142">
        <v>41698</v>
      </c>
      <c r="J33" s="119" t="s">
        <v>431</v>
      </c>
      <c r="K33" s="120">
        <f t="shared" si="0"/>
        <v>2013</v>
      </c>
      <c r="L33" s="143">
        <v>9566</v>
      </c>
      <c r="M33" s="132">
        <v>0.86</v>
      </c>
      <c r="N33" s="132">
        <f t="shared" si="6"/>
        <v>0.14000000000000001</v>
      </c>
      <c r="O33" s="132">
        <v>0.89</v>
      </c>
      <c r="P33" s="132">
        <v>0</v>
      </c>
      <c r="Q33" s="125">
        <v>0.11</v>
      </c>
      <c r="R33" s="124">
        <v>1</v>
      </c>
      <c r="S33" s="157">
        <v>0</v>
      </c>
      <c r="T33" s="144">
        <v>1905</v>
      </c>
      <c r="U33" s="145">
        <v>9566</v>
      </c>
      <c r="V33" s="146">
        <v>9566</v>
      </c>
      <c r="W33" s="160">
        <v>0</v>
      </c>
      <c r="X33" s="127">
        <v>0</v>
      </c>
      <c r="Y33" s="119">
        <v>0</v>
      </c>
      <c r="Z33" s="130">
        <v>264760</v>
      </c>
      <c r="AA33" s="131">
        <f t="shared" si="1"/>
        <v>208303.82352941178</v>
      </c>
      <c r="AB33" s="131">
        <f t="shared" si="3"/>
        <v>56456.176470588231</v>
      </c>
      <c r="AC33" s="131">
        <f t="shared" si="4"/>
        <v>0</v>
      </c>
      <c r="AD33" s="132">
        <v>0.8</v>
      </c>
      <c r="AE33" s="132">
        <v>0.13</v>
      </c>
      <c r="AF33" s="132">
        <v>0.14000000000000001</v>
      </c>
      <c r="AG33" s="157">
        <v>0.73</v>
      </c>
      <c r="AH33" s="156"/>
    </row>
    <row r="34" spans="3:34" s="150" customFormat="1" ht="40.15" customHeight="1" x14ac:dyDescent="0.2">
      <c r="C34" s="113" t="s">
        <v>424</v>
      </c>
      <c r="D34" s="114" t="s">
        <v>293</v>
      </c>
      <c r="E34" s="115" t="s">
        <v>494</v>
      </c>
      <c r="F34" s="114"/>
      <c r="G34" s="116" t="s">
        <v>495</v>
      </c>
      <c r="H34" s="141">
        <v>41640</v>
      </c>
      <c r="I34" s="142">
        <v>42004</v>
      </c>
      <c r="J34" s="119" t="s">
        <v>431</v>
      </c>
      <c r="K34" s="120">
        <f t="shared" si="0"/>
        <v>2014</v>
      </c>
      <c r="L34" s="143"/>
      <c r="M34" s="132">
        <v>0</v>
      </c>
      <c r="N34" s="132">
        <f t="shared" si="6"/>
        <v>1</v>
      </c>
      <c r="O34" s="132">
        <v>0.89</v>
      </c>
      <c r="P34" s="132">
        <v>0</v>
      </c>
      <c r="Q34" s="125">
        <v>0.11</v>
      </c>
      <c r="R34" s="124">
        <v>1</v>
      </c>
      <c r="S34" s="157">
        <v>0</v>
      </c>
      <c r="T34" s="144">
        <v>1905</v>
      </c>
      <c r="U34" s="145">
        <v>9566</v>
      </c>
      <c r="V34" s="146">
        <v>9566</v>
      </c>
      <c r="W34" s="160">
        <v>0</v>
      </c>
      <c r="X34" s="127">
        <v>0</v>
      </c>
      <c r="Y34" s="119">
        <v>0</v>
      </c>
      <c r="Z34" s="130">
        <v>17000</v>
      </c>
      <c r="AA34" s="131">
        <f t="shared" si="1"/>
        <v>0</v>
      </c>
      <c r="AB34" s="131">
        <f t="shared" si="3"/>
        <v>17000</v>
      </c>
      <c r="AC34" s="131">
        <f t="shared" si="4"/>
        <v>0</v>
      </c>
      <c r="AD34" s="132"/>
      <c r="AE34" s="132"/>
      <c r="AF34" s="132"/>
      <c r="AG34" s="157"/>
      <c r="AH34" s="156"/>
    </row>
    <row r="35" spans="3:34" s="150" customFormat="1" ht="40.15" customHeight="1" x14ac:dyDescent="0.2">
      <c r="C35" s="113" t="s">
        <v>424</v>
      </c>
      <c r="D35" s="114" t="s">
        <v>293</v>
      </c>
      <c r="E35" s="115" t="s">
        <v>336</v>
      </c>
      <c r="F35" s="114"/>
      <c r="G35" s="116" t="s">
        <v>496</v>
      </c>
      <c r="H35" s="141">
        <v>41640</v>
      </c>
      <c r="I35" s="142">
        <v>42185</v>
      </c>
      <c r="J35" s="119" t="s">
        <v>426</v>
      </c>
      <c r="K35" s="120">
        <f t="shared" si="0"/>
        <v>2014</v>
      </c>
      <c r="L35" s="143">
        <v>8010</v>
      </c>
      <c r="M35" s="132">
        <v>0.93</v>
      </c>
      <c r="N35" s="132">
        <f t="shared" si="6"/>
        <v>6.9999999999999951E-2</v>
      </c>
      <c r="O35" s="702">
        <v>0.1</v>
      </c>
      <c r="P35" s="702">
        <v>0.9</v>
      </c>
      <c r="Q35" s="703">
        <v>0</v>
      </c>
      <c r="R35" s="699">
        <v>1</v>
      </c>
      <c r="S35" s="700">
        <v>0</v>
      </c>
      <c r="T35" s="704">
        <v>8010</v>
      </c>
      <c r="U35" s="705">
        <v>8010</v>
      </c>
      <c r="V35" s="706">
        <v>8010</v>
      </c>
      <c r="W35" s="707">
        <v>0</v>
      </c>
      <c r="X35" s="708">
        <v>0</v>
      </c>
      <c r="Y35" s="698">
        <v>0</v>
      </c>
      <c r="Z35" s="701">
        <v>102308</v>
      </c>
      <c r="AA35" s="131">
        <f t="shared" si="1"/>
        <v>0</v>
      </c>
      <c r="AB35" s="131">
        <f t="shared" si="3"/>
        <v>68330.480733944947</v>
      </c>
      <c r="AC35" s="131">
        <f t="shared" si="4"/>
        <v>33977.519266055046</v>
      </c>
      <c r="AD35" s="498"/>
      <c r="AE35" s="498"/>
      <c r="AF35" s="498"/>
      <c r="AG35" s="501"/>
      <c r="AH35" s="156"/>
    </row>
    <row r="36" spans="3:34" s="150" customFormat="1" ht="40.15" customHeight="1" x14ac:dyDescent="0.2">
      <c r="C36" s="113" t="s">
        <v>424</v>
      </c>
      <c r="D36" s="114" t="s">
        <v>293</v>
      </c>
      <c r="E36" s="115" t="s">
        <v>497</v>
      </c>
      <c r="F36" s="114"/>
      <c r="G36" s="116" t="s">
        <v>498</v>
      </c>
      <c r="H36" s="141">
        <v>41640</v>
      </c>
      <c r="I36" s="142">
        <v>41891</v>
      </c>
      <c r="J36" s="119" t="s">
        <v>431</v>
      </c>
      <c r="K36" s="120">
        <f t="shared" si="0"/>
        <v>2014</v>
      </c>
      <c r="L36" s="143"/>
      <c r="M36" s="132">
        <v>0.47</v>
      </c>
      <c r="N36" s="132">
        <f t="shared" si="6"/>
        <v>0.53</v>
      </c>
      <c r="O36" s="132"/>
      <c r="P36" s="132"/>
      <c r="Q36" s="125"/>
      <c r="R36" s="124"/>
      <c r="S36" s="157"/>
      <c r="T36" s="144"/>
      <c r="U36" s="145"/>
      <c r="V36" s="146"/>
      <c r="W36" s="160"/>
      <c r="X36" s="127"/>
      <c r="Y36" s="119"/>
      <c r="Z36" s="130">
        <v>80400</v>
      </c>
      <c r="AA36" s="131">
        <f t="shared" si="1"/>
        <v>0</v>
      </c>
      <c r="AB36" s="131">
        <f t="shared" si="3"/>
        <v>80400</v>
      </c>
      <c r="AC36" s="131">
        <f t="shared" si="4"/>
        <v>0</v>
      </c>
      <c r="AD36" s="498"/>
      <c r="AE36" s="498"/>
      <c r="AF36" s="498"/>
      <c r="AG36" s="501"/>
      <c r="AH36" s="156"/>
    </row>
    <row r="37" spans="3:34" s="150" customFormat="1" ht="40.15" customHeight="1" x14ac:dyDescent="0.2">
      <c r="C37" s="113" t="s">
        <v>424</v>
      </c>
      <c r="D37" s="114"/>
      <c r="E37" s="115" t="s">
        <v>261</v>
      </c>
      <c r="F37" s="114" t="s">
        <v>337</v>
      </c>
      <c r="G37" s="116" t="s">
        <v>662</v>
      </c>
      <c r="H37" s="141">
        <v>41822</v>
      </c>
      <c r="I37" s="658">
        <v>42063</v>
      </c>
      <c r="J37" s="119" t="s">
        <v>431</v>
      </c>
      <c r="K37" s="120">
        <f t="shared" si="0"/>
        <v>2014</v>
      </c>
      <c r="L37" s="143">
        <v>10837</v>
      </c>
      <c r="M37" s="132">
        <f>4695/L37</f>
        <v>0.43323798099104921</v>
      </c>
      <c r="N37" s="132">
        <v>0.56999999999999995</v>
      </c>
      <c r="O37" s="132">
        <f>(736+1843)/L37</f>
        <v>0.23798099104918335</v>
      </c>
      <c r="P37" s="132">
        <v>0</v>
      </c>
      <c r="Q37" s="125">
        <v>0.76</v>
      </c>
      <c r="R37" s="124">
        <v>1</v>
      </c>
      <c r="S37" s="157">
        <v>0</v>
      </c>
      <c r="T37" s="144">
        <v>10837</v>
      </c>
      <c r="U37" s="145">
        <v>10837</v>
      </c>
      <c r="V37" s="146">
        <v>10837</v>
      </c>
      <c r="W37" s="160">
        <v>0</v>
      </c>
      <c r="X37" s="127">
        <v>0</v>
      </c>
      <c r="Y37" s="119">
        <v>0</v>
      </c>
      <c r="Z37" s="130">
        <v>455030</v>
      </c>
      <c r="AA37" s="131">
        <f t="shared" si="1"/>
        <v>0</v>
      </c>
      <c r="AB37" s="131">
        <f t="shared" si="3"/>
        <v>343632.61410788383</v>
      </c>
      <c r="AC37" s="131">
        <f t="shared" si="4"/>
        <v>111397.38589211617</v>
      </c>
      <c r="AD37" s="132">
        <v>1</v>
      </c>
      <c r="AE37" s="132">
        <v>7.0000000000000007E-2</v>
      </c>
      <c r="AF37" s="132">
        <v>0.18</v>
      </c>
      <c r="AG37" s="157">
        <v>0.75</v>
      </c>
      <c r="AH37" s="156"/>
    </row>
    <row r="38" spans="3:34" s="150" customFormat="1" ht="40.15" customHeight="1" x14ac:dyDescent="0.2">
      <c r="C38" s="113" t="s">
        <v>424</v>
      </c>
      <c r="D38" s="114"/>
      <c r="E38" s="115" t="s">
        <v>334</v>
      </c>
      <c r="F38" s="114"/>
      <c r="G38" s="722" t="s">
        <v>876</v>
      </c>
      <c r="H38" s="714">
        <v>41821</v>
      </c>
      <c r="I38" s="715">
        <v>42247</v>
      </c>
      <c r="J38" s="709" t="s">
        <v>236</v>
      </c>
      <c r="K38" s="120">
        <f t="shared" si="0"/>
        <v>2014</v>
      </c>
      <c r="L38" s="716">
        <v>13266</v>
      </c>
      <c r="M38" s="713">
        <v>0.75</v>
      </c>
      <c r="N38" s="713">
        <v>0.25</v>
      </c>
      <c r="O38" s="713">
        <v>0.25</v>
      </c>
      <c r="P38" s="713">
        <v>0.75</v>
      </c>
      <c r="Q38" s="717">
        <v>0</v>
      </c>
      <c r="R38" s="710">
        <v>1</v>
      </c>
      <c r="S38" s="711">
        <v>0</v>
      </c>
      <c r="T38" s="718">
        <v>13266</v>
      </c>
      <c r="U38" s="719">
        <v>13266</v>
      </c>
      <c r="V38" s="720">
        <v>13266</v>
      </c>
      <c r="W38" s="721">
        <v>0</v>
      </c>
      <c r="X38" s="723">
        <v>0</v>
      </c>
      <c r="Y38" s="709">
        <v>0</v>
      </c>
      <c r="Z38" s="712">
        <v>419947</v>
      </c>
      <c r="AA38" s="131">
        <f t="shared" ref="AA38" si="7">Z38-(AB38+AC38)</f>
        <v>0</v>
      </c>
      <c r="AB38" s="131">
        <f t="shared" ref="AB38" si="8">IF(I38&lt;$C$1,0,IF(H38&gt;$C$1,Z38-AC38,(I38-$C$1)/(I38-H38)*Z38-AC38))</f>
        <v>180399.7676056338</v>
      </c>
      <c r="AC38" s="131">
        <f t="shared" ref="AC38" si="9">IF(I38&lt;$D$1,0,IF(H38&gt;$D$1,Z38,(I38-$D$1)/(I38-H38)*Z38))</f>
        <v>239547.2323943662</v>
      </c>
      <c r="AD38" s="132">
        <v>1</v>
      </c>
      <c r="AE38" s="132">
        <v>7.0000000000000007E-2</v>
      </c>
      <c r="AF38" s="132">
        <v>0.18</v>
      </c>
      <c r="AG38" s="157">
        <v>0.75</v>
      </c>
      <c r="AH38" s="156"/>
    </row>
    <row r="39" spans="3:34" s="150" customFormat="1" ht="40.15" customHeight="1" x14ac:dyDescent="0.2">
      <c r="C39" s="113" t="s">
        <v>424</v>
      </c>
      <c r="D39" s="114"/>
      <c r="E39" s="115" t="s">
        <v>336</v>
      </c>
      <c r="F39" s="114"/>
      <c r="G39" s="722" t="s">
        <v>878</v>
      </c>
      <c r="H39" s="724">
        <v>42008</v>
      </c>
      <c r="I39" s="142">
        <v>42460</v>
      </c>
      <c r="J39" s="119" t="s">
        <v>236</v>
      </c>
      <c r="K39" s="120">
        <f t="shared" ref="K39" si="10">YEAR(H39)</f>
        <v>2015</v>
      </c>
      <c r="L39" s="729">
        <v>1140</v>
      </c>
      <c r="M39" s="728">
        <v>0</v>
      </c>
      <c r="N39" s="728">
        <v>1</v>
      </c>
      <c r="O39" s="728">
        <v>1</v>
      </c>
      <c r="P39" s="728">
        <v>0</v>
      </c>
      <c r="Q39" s="730">
        <v>0</v>
      </c>
      <c r="R39" s="726">
        <v>1</v>
      </c>
      <c r="S39" s="727">
        <v>0</v>
      </c>
      <c r="T39" s="731">
        <v>1140</v>
      </c>
      <c r="U39" s="732">
        <v>1140</v>
      </c>
      <c r="V39" s="733">
        <v>1140</v>
      </c>
      <c r="W39" s="734">
        <v>0</v>
      </c>
      <c r="X39" s="735">
        <v>0</v>
      </c>
      <c r="Y39" s="725">
        <v>0</v>
      </c>
      <c r="Z39" s="130">
        <v>236184</v>
      </c>
      <c r="AA39" s="131">
        <f t="shared" ref="AA39" si="11">Z39-(AB39+AC39)</f>
        <v>0</v>
      </c>
      <c r="AB39" s="131">
        <f t="shared" ref="AB39" si="12">IF(I39&lt;$C$1,0,IF(H39&gt;$C$1,Z39-AC39,(I39-$C$1)/(I39-H39)*Z39-AC39))</f>
        <v>0</v>
      </c>
      <c r="AC39" s="131">
        <f t="shared" ref="AC39" si="13">IF(I39&lt;$D$1,0,IF(H39&gt;$D$1,Z39,(I39-$D$1)/(I39-H39)*Z39))</f>
        <v>236184</v>
      </c>
      <c r="AD39" s="132">
        <v>1</v>
      </c>
      <c r="AE39" s="132">
        <v>7.0000000000000007E-2</v>
      </c>
      <c r="AF39" s="132">
        <v>0.18</v>
      </c>
      <c r="AG39" s="157">
        <v>0.75</v>
      </c>
      <c r="AH39" s="156"/>
    </row>
    <row r="40" spans="3:34" s="150" customFormat="1" ht="40.15" customHeight="1" x14ac:dyDescent="0.2">
      <c r="C40" s="113" t="s">
        <v>284</v>
      </c>
      <c r="D40" s="114"/>
      <c r="E40" s="115" t="s">
        <v>261</v>
      </c>
      <c r="F40" s="114" t="s">
        <v>337</v>
      </c>
      <c r="G40" s="116" t="s">
        <v>410</v>
      </c>
      <c r="H40" s="141">
        <v>41632</v>
      </c>
      <c r="I40" s="142">
        <v>41943</v>
      </c>
      <c r="J40" s="119" t="s">
        <v>431</v>
      </c>
      <c r="K40" s="120">
        <f t="shared" si="0"/>
        <v>2013</v>
      </c>
      <c r="L40" s="143">
        <v>6184</v>
      </c>
      <c r="M40" s="132">
        <v>0</v>
      </c>
      <c r="N40" s="132">
        <f>IF(M40="","",1-M40)</f>
        <v>1</v>
      </c>
      <c r="O40" s="132">
        <v>0</v>
      </c>
      <c r="P40" s="132">
        <v>0</v>
      </c>
      <c r="Q40" s="125">
        <v>1</v>
      </c>
      <c r="R40" s="124">
        <v>1</v>
      </c>
      <c r="S40" s="157">
        <v>0</v>
      </c>
      <c r="T40" s="144">
        <v>3538</v>
      </c>
      <c r="U40" s="145">
        <v>2913</v>
      </c>
      <c r="V40" s="146">
        <v>2238</v>
      </c>
      <c r="W40" s="160">
        <v>0</v>
      </c>
      <c r="X40" s="127">
        <v>0</v>
      </c>
      <c r="Y40" s="119">
        <v>0</v>
      </c>
      <c r="Z40" s="130">
        <v>306018</v>
      </c>
      <c r="AA40" s="131">
        <f t="shared" si="1"/>
        <v>7871.8456591639551</v>
      </c>
      <c r="AB40" s="131">
        <f t="shared" si="3"/>
        <v>298146.15434083604</v>
      </c>
      <c r="AC40" s="131">
        <f t="shared" si="4"/>
        <v>0</v>
      </c>
      <c r="AD40" s="132">
        <v>1</v>
      </c>
      <c r="AE40" s="132">
        <v>0.42000000000000004</v>
      </c>
      <c r="AF40" s="132">
        <v>0.24</v>
      </c>
      <c r="AG40" s="157">
        <v>0.34</v>
      </c>
      <c r="AH40" s="156"/>
    </row>
    <row r="41" spans="3:34" s="150" customFormat="1" ht="40.15" customHeight="1" x14ac:dyDescent="0.2">
      <c r="C41" s="477" t="s">
        <v>836</v>
      </c>
      <c r="D41" s="114"/>
      <c r="E41" s="115" t="s">
        <v>261</v>
      </c>
      <c r="F41" s="114"/>
      <c r="G41" s="116" t="s">
        <v>427</v>
      </c>
      <c r="H41" s="117">
        <v>41064</v>
      </c>
      <c r="I41" s="118">
        <v>41290</v>
      </c>
      <c r="J41" s="119" t="s">
        <v>431</v>
      </c>
      <c r="K41" s="120">
        <f t="shared" si="0"/>
        <v>2012</v>
      </c>
      <c r="L41" s="121">
        <v>11524</v>
      </c>
      <c r="M41" s="132">
        <v>0.22</v>
      </c>
      <c r="N41" s="132">
        <f>IF(M41="","",1-M41)</f>
        <v>0.78</v>
      </c>
      <c r="O41" s="132">
        <v>0</v>
      </c>
      <c r="P41" s="132">
        <v>1</v>
      </c>
      <c r="Q41" s="125">
        <v>0</v>
      </c>
      <c r="R41" s="124">
        <v>1</v>
      </c>
      <c r="S41" s="157">
        <v>0</v>
      </c>
      <c r="T41" s="126">
        <f>6711+2313</f>
        <v>9024</v>
      </c>
      <c r="U41" s="127">
        <f>6711+2313</f>
        <v>9024</v>
      </c>
      <c r="V41" s="128">
        <f>6711+2313</f>
        <v>9024</v>
      </c>
      <c r="W41" s="129">
        <v>2500</v>
      </c>
      <c r="X41" s="127">
        <v>2500</v>
      </c>
      <c r="Y41" s="119">
        <v>2500</v>
      </c>
      <c r="Z41" s="130">
        <v>220000</v>
      </c>
      <c r="AA41" s="131">
        <f t="shared" si="1"/>
        <v>220000</v>
      </c>
      <c r="AB41" s="131">
        <f t="shared" si="3"/>
        <v>0</v>
      </c>
      <c r="AC41" s="131">
        <f t="shared" si="4"/>
        <v>0</v>
      </c>
      <c r="AD41" s="132">
        <v>0.85</v>
      </c>
      <c r="AE41" s="132">
        <v>0.33</v>
      </c>
      <c r="AF41" s="132">
        <v>0.23</v>
      </c>
      <c r="AG41" s="157">
        <v>0.44</v>
      </c>
      <c r="AH41" s="156"/>
    </row>
    <row r="42" spans="3:34" s="150" customFormat="1" ht="40.15" customHeight="1" x14ac:dyDescent="0.2">
      <c r="C42" s="477" t="s">
        <v>836</v>
      </c>
      <c r="D42" s="114"/>
      <c r="E42" s="115" t="s">
        <v>261</v>
      </c>
      <c r="F42" s="114"/>
      <c r="G42" s="116" t="s">
        <v>427</v>
      </c>
      <c r="H42" s="117">
        <v>41240</v>
      </c>
      <c r="I42" s="118">
        <v>41331</v>
      </c>
      <c r="J42" s="119" t="s">
        <v>431</v>
      </c>
      <c r="K42" s="120">
        <f t="shared" si="0"/>
        <v>2012</v>
      </c>
      <c r="L42" s="121">
        <v>7000</v>
      </c>
      <c r="M42" s="132">
        <v>0</v>
      </c>
      <c r="N42" s="132">
        <v>1</v>
      </c>
      <c r="O42" s="132">
        <v>0</v>
      </c>
      <c r="P42" s="132">
        <v>1</v>
      </c>
      <c r="Q42" s="125">
        <v>0</v>
      </c>
      <c r="R42" s="124">
        <v>1</v>
      </c>
      <c r="S42" s="157">
        <v>0</v>
      </c>
      <c r="T42" s="126">
        <v>7000</v>
      </c>
      <c r="U42" s="127">
        <v>7000</v>
      </c>
      <c r="V42" s="128">
        <v>7000</v>
      </c>
      <c r="W42" s="129"/>
      <c r="X42" s="127"/>
      <c r="Y42" s="119"/>
      <c r="Z42" s="130">
        <v>158854</v>
      </c>
      <c r="AA42" s="131">
        <f t="shared" si="1"/>
        <v>158854</v>
      </c>
      <c r="AB42" s="131">
        <f t="shared" si="3"/>
        <v>0</v>
      </c>
      <c r="AC42" s="131">
        <f t="shared" si="4"/>
        <v>0</v>
      </c>
      <c r="AD42" s="132">
        <v>1</v>
      </c>
      <c r="AE42" s="132">
        <f>(10950+71640+14328)/(10950+1556+71640+1500+1365+14328)</f>
        <v>0.95637415012976246</v>
      </c>
      <c r="AF42" s="132">
        <f>(1556)/(10950+1556+71640+1500+1365+14328)</f>
        <v>1.5354404523431255E-2</v>
      </c>
      <c r="AG42" s="157">
        <f>(1500+1365)/(10950+1556+71640+1500+1365+14328)</f>
        <v>2.8271445346806263E-2</v>
      </c>
      <c r="AH42" s="156"/>
    </row>
    <row r="43" spans="3:34" s="150" customFormat="1" ht="40.15" customHeight="1" x14ac:dyDescent="0.2">
      <c r="C43" s="477" t="s">
        <v>836</v>
      </c>
      <c r="D43" s="114"/>
      <c r="E43" s="115" t="s">
        <v>334</v>
      </c>
      <c r="F43" s="114"/>
      <c r="G43" s="116" t="s">
        <v>428</v>
      </c>
      <c r="H43" s="161">
        <v>41426</v>
      </c>
      <c r="I43" s="162">
        <v>41790</v>
      </c>
      <c r="J43" s="163" t="s">
        <v>431</v>
      </c>
      <c r="K43" s="164">
        <f t="shared" si="0"/>
        <v>2013</v>
      </c>
      <c r="L43" s="121">
        <v>13020</v>
      </c>
      <c r="M43" s="132">
        <f>7900/L43</f>
        <v>0.60675883256528418</v>
      </c>
      <c r="N43" s="132">
        <f t="shared" ref="N43:N56" si="14">IF(M43="","",1-M43)</f>
        <v>0.39324116743471582</v>
      </c>
      <c r="O43" s="132">
        <v>0</v>
      </c>
      <c r="P43" s="132">
        <v>1</v>
      </c>
      <c r="Q43" s="125">
        <v>0</v>
      </c>
      <c r="R43" s="124">
        <v>1</v>
      </c>
      <c r="S43" s="157">
        <v>0</v>
      </c>
      <c r="T43" s="126">
        <v>5120</v>
      </c>
      <c r="U43" s="127">
        <f>5120+7900</f>
        <v>13020</v>
      </c>
      <c r="V43" s="128">
        <v>5120</v>
      </c>
      <c r="W43" s="129">
        <v>0</v>
      </c>
      <c r="X43" s="127">
        <v>0</v>
      </c>
      <c r="Y43" s="119">
        <v>0</v>
      </c>
      <c r="Z43" s="130">
        <v>796569</v>
      </c>
      <c r="AA43" s="131">
        <f t="shared" si="1"/>
        <v>468312.54395604396</v>
      </c>
      <c r="AB43" s="131">
        <f t="shared" si="3"/>
        <v>328256.45604395604</v>
      </c>
      <c r="AC43" s="131">
        <f t="shared" si="4"/>
        <v>0</v>
      </c>
      <c r="AD43" s="132">
        <v>1</v>
      </c>
      <c r="AE43" s="132">
        <v>0.23</v>
      </c>
      <c r="AF43" s="132">
        <v>0.01</v>
      </c>
      <c r="AG43" s="157">
        <v>0.19</v>
      </c>
      <c r="AH43" s="156" t="s">
        <v>429</v>
      </c>
    </row>
    <row r="44" spans="3:34" s="150" customFormat="1" ht="40.15" customHeight="1" x14ac:dyDescent="0.2">
      <c r="C44" s="477" t="s">
        <v>836</v>
      </c>
      <c r="D44" s="114"/>
      <c r="E44" s="115" t="s">
        <v>340</v>
      </c>
      <c r="F44" s="114"/>
      <c r="G44" s="116" t="s">
        <v>430</v>
      </c>
      <c r="H44" s="161">
        <v>40912</v>
      </c>
      <c r="I44" s="162">
        <v>41032</v>
      </c>
      <c r="J44" s="119" t="s">
        <v>431</v>
      </c>
      <c r="K44" s="164">
        <f t="shared" si="0"/>
        <v>2012</v>
      </c>
      <c r="L44" s="121">
        <v>7280</v>
      </c>
      <c r="M44" s="132">
        <v>0</v>
      </c>
      <c r="N44" s="132">
        <f t="shared" si="14"/>
        <v>1</v>
      </c>
      <c r="O44" s="132">
        <v>0</v>
      </c>
      <c r="P44" s="132">
        <v>1</v>
      </c>
      <c r="Q44" s="125">
        <v>0</v>
      </c>
      <c r="R44" s="124">
        <v>1</v>
      </c>
      <c r="S44" s="157">
        <v>0</v>
      </c>
      <c r="T44" s="126">
        <v>4500</v>
      </c>
      <c r="U44" s="127">
        <v>0</v>
      </c>
      <c r="V44" s="128">
        <v>7280</v>
      </c>
      <c r="W44" s="129">
        <v>0</v>
      </c>
      <c r="X44" s="127">
        <v>0</v>
      </c>
      <c r="Y44" s="119">
        <v>0</v>
      </c>
      <c r="Z44" s="130">
        <v>197000</v>
      </c>
      <c r="AA44" s="131">
        <f t="shared" si="1"/>
        <v>197000</v>
      </c>
      <c r="AB44" s="131">
        <f t="shared" si="3"/>
        <v>0</v>
      </c>
      <c r="AC44" s="131">
        <f t="shared" si="4"/>
        <v>0</v>
      </c>
      <c r="AD44" s="132">
        <v>1</v>
      </c>
      <c r="AE44" s="132">
        <v>0.05</v>
      </c>
      <c r="AF44" s="132">
        <v>0</v>
      </c>
      <c r="AG44" s="157">
        <v>0.95</v>
      </c>
      <c r="AH44" s="156"/>
    </row>
    <row r="45" spans="3:34" s="150" customFormat="1" ht="40.15" customHeight="1" x14ac:dyDescent="0.2">
      <c r="C45" s="477" t="s">
        <v>836</v>
      </c>
      <c r="D45" s="114"/>
      <c r="E45" s="115" t="s">
        <v>334</v>
      </c>
      <c r="F45" s="114" t="s">
        <v>432</v>
      </c>
      <c r="G45" s="116" t="s">
        <v>428</v>
      </c>
      <c r="H45" s="161">
        <v>41115</v>
      </c>
      <c r="I45" s="162">
        <v>41449</v>
      </c>
      <c r="J45" s="119" t="s">
        <v>431</v>
      </c>
      <c r="K45" s="164">
        <f t="shared" si="0"/>
        <v>2012</v>
      </c>
      <c r="L45" s="121">
        <v>35714</v>
      </c>
      <c r="M45" s="132">
        <f>22558/L45</f>
        <v>0.63162905303242423</v>
      </c>
      <c r="N45" s="132">
        <f t="shared" si="14"/>
        <v>0.36837094696757577</v>
      </c>
      <c r="O45" s="132">
        <v>0</v>
      </c>
      <c r="P45" s="132">
        <v>1</v>
      </c>
      <c r="Q45" s="125">
        <v>0</v>
      </c>
      <c r="R45" s="124">
        <v>1</v>
      </c>
      <c r="S45" s="157">
        <v>0</v>
      </c>
      <c r="T45" s="126">
        <v>13773</v>
      </c>
      <c r="U45" s="127">
        <v>13667</v>
      </c>
      <c r="V45" s="128">
        <v>29447</v>
      </c>
      <c r="W45" s="129">
        <v>0</v>
      </c>
      <c r="X45" s="127">
        <v>0</v>
      </c>
      <c r="Y45" s="119">
        <v>0</v>
      </c>
      <c r="Z45" s="130">
        <v>504350</v>
      </c>
      <c r="AA45" s="131">
        <f t="shared" si="1"/>
        <v>504350</v>
      </c>
      <c r="AB45" s="131">
        <f t="shared" si="3"/>
        <v>0</v>
      </c>
      <c r="AC45" s="131">
        <f t="shared" si="4"/>
        <v>0</v>
      </c>
      <c r="AD45" s="132">
        <v>1</v>
      </c>
      <c r="AE45" s="132">
        <f>(120929+20458)/356642</f>
        <v>0.39643956684854842</v>
      </c>
      <c r="AF45" s="132">
        <f>17928/356642</f>
        <v>5.0268897101294854E-2</v>
      </c>
      <c r="AG45" s="157">
        <f>71328/356642</f>
        <v>0.19999887842710617</v>
      </c>
      <c r="AH45" s="156" t="s">
        <v>433</v>
      </c>
    </row>
    <row r="46" spans="3:34" s="150" customFormat="1" ht="40.15" customHeight="1" x14ac:dyDescent="0.2">
      <c r="C46" s="477" t="s">
        <v>836</v>
      </c>
      <c r="D46" s="114"/>
      <c r="E46" s="115" t="s">
        <v>334</v>
      </c>
      <c r="F46" s="114"/>
      <c r="G46" s="116" t="s">
        <v>755</v>
      </c>
      <c r="H46" s="161">
        <v>41883</v>
      </c>
      <c r="I46" s="162">
        <v>42246</v>
      </c>
      <c r="J46" s="119" t="s">
        <v>236</v>
      </c>
      <c r="K46" s="164">
        <v>2014</v>
      </c>
      <c r="L46" s="121">
        <v>22403</v>
      </c>
      <c r="M46" s="132">
        <v>0.64027139222425566</v>
      </c>
      <c r="N46" s="132">
        <v>0.35972860777574434</v>
      </c>
      <c r="O46" s="132">
        <v>0</v>
      </c>
      <c r="P46" s="132">
        <v>1</v>
      </c>
      <c r="Q46" s="125">
        <v>0</v>
      </c>
      <c r="R46" s="124">
        <v>1</v>
      </c>
      <c r="S46" s="157">
        <v>0</v>
      </c>
      <c r="T46" s="126">
        <v>22403</v>
      </c>
      <c r="U46" s="127">
        <v>22403</v>
      </c>
      <c r="V46" s="128">
        <v>22403</v>
      </c>
      <c r="W46" s="129">
        <v>0</v>
      </c>
      <c r="X46" s="127">
        <v>0</v>
      </c>
      <c r="Y46" s="119">
        <v>0</v>
      </c>
      <c r="Z46" s="130">
        <v>649786</v>
      </c>
      <c r="AA46" s="131">
        <f t="shared" ref="AA46" si="15">Z46-(AB46+AC46)</f>
        <v>0</v>
      </c>
      <c r="AB46" s="131">
        <f t="shared" ref="AB46" si="16">IF(I46&lt;$C$1,0,IF(H46&gt;$C$1,Z46-AC46,(I46-$C$1)/(I46-H46)*Z46-AC46))</f>
        <v>216595.33333333337</v>
      </c>
      <c r="AC46" s="131">
        <f t="shared" ref="AC46" si="17">IF(I46&lt;$D$1,0,IF(H46&gt;$D$1,Z46,(I46-$D$1)/(I46-H46)*Z46))</f>
        <v>433190.66666666663</v>
      </c>
      <c r="AD46" s="132">
        <v>1</v>
      </c>
      <c r="AE46" s="132">
        <v>0.36</v>
      </c>
      <c r="AF46" s="132">
        <v>0.02</v>
      </c>
      <c r="AG46" s="157">
        <v>0.62</v>
      </c>
      <c r="AH46" s="156" t="s">
        <v>756</v>
      </c>
    </row>
    <row r="47" spans="3:34" s="150" customFormat="1" ht="40.15" customHeight="1" x14ac:dyDescent="0.2">
      <c r="C47" s="477" t="s">
        <v>836</v>
      </c>
      <c r="D47" s="114"/>
      <c r="E47" s="115" t="s">
        <v>412</v>
      </c>
      <c r="F47" s="114"/>
      <c r="G47" s="116" t="s">
        <v>434</v>
      </c>
      <c r="H47" s="161">
        <v>41640</v>
      </c>
      <c r="I47" s="162">
        <v>41820</v>
      </c>
      <c r="J47" s="163" t="s">
        <v>431</v>
      </c>
      <c r="K47" s="164">
        <f t="shared" si="0"/>
        <v>2014</v>
      </c>
      <c r="L47" s="121">
        <v>3000</v>
      </c>
      <c r="M47" s="132">
        <v>0.5</v>
      </c>
      <c r="N47" s="132">
        <f t="shared" si="14"/>
        <v>0.5</v>
      </c>
      <c r="O47" s="132">
        <v>0</v>
      </c>
      <c r="P47" s="132">
        <v>1</v>
      </c>
      <c r="Q47" s="125">
        <v>0</v>
      </c>
      <c r="R47" s="124">
        <v>1</v>
      </c>
      <c r="S47" s="157">
        <v>0</v>
      </c>
      <c r="T47" s="126">
        <v>3000</v>
      </c>
      <c r="U47" s="127">
        <v>3000</v>
      </c>
      <c r="V47" s="128">
        <v>3000</v>
      </c>
      <c r="W47" s="129">
        <v>0</v>
      </c>
      <c r="X47" s="127">
        <v>0</v>
      </c>
      <c r="Y47" s="119">
        <v>0</v>
      </c>
      <c r="Z47" s="130">
        <v>78945</v>
      </c>
      <c r="AA47" s="131">
        <f t="shared" si="1"/>
        <v>0</v>
      </c>
      <c r="AB47" s="131">
        <f t="shared" si="3"/>
        <v>78945</v>
      </c>
      <c r="AC47" s="131">
        <f t="shared" si="4"/>
        <v>0</v>
      </c>
      <c r="AD47" s="132">
        <v>1</v>
      </c>
      <c r="AE47" s="132">
        <v>0.33</v>
      </c>
      <c r="AF47" s="132">
        <v>0.33</v>
      </c>
      <c r="AG47" s="157">
        <v>0.33</v>
      </c>
      <c r="AH47" s="156"/>
    </row>
    <row r="48" spans="3:34" s="150" customFormat="1" ht="40.15" customHeight="1" x14ac:dyDescent="0.2">
      <c r="C48" s="477" t="s">
        <v>836</v>
      </c>
      <c r="D48" s="114" t="s">
        <v>837</v>
      </c>
      <c r="E48" s="115" t="s">
        <v>412</v>
      </c>
      <c r="F48" s="114"/>
      <c r="G48" s="116" t="s">
        <v>757</v>
      </c>
      <c r="H48" s="161">
        <v>41883</v>
      </c>
      <c r="I48" s="162">
        <v>42277</v>
      </c>
      <c r="J48" s="163" t="s">
        <v>236</v>
      </c>
      <c r="K48" s="164">
        <v>2014</v>
      </c>
      <c r="L48" s="479">
        <v>5000</v>
      </c>
      <c r="M48" s="485">
        <v>0.5</v>
      </c>
      <c r="N48" s="485">
        <v>0.5</v>
      </c>
      <c r="O48" s="485">
        <v>0.5</v>
      </c>
      <c r="P48" s="485">
        <v>0.25</v>
      </c>
      <c r="Q48" s="486">
        <v>0.25</v>
      </c>
      <c r="R48" s="480">
        <v>0.5</v>
      </c>
      <c r="S48" s="481">
        <v>0.5</v>
      </c>
      <c r="T48" s="482">
        <v>5000</v>
      </c>
      <c r="U48" s="483">
        <v>5000</v>
      </c>
      <c r="V48" s="484">
        <v>5000</v>
      </c>
      <c r="W48" s="129">
        <v>0</v>
      </c>
      <c r="X48" s="127">
        <v>0</v>
      </c>
      <c r="Y48" s="119">
        <v>0</v>
      </c>
      <c r="Z48" s="130">
        <v>267190</v>
      </c>
      <c r="AA48" s="131">
        <f t="shared" ref="AA48" si="18">Z48-(AB48+AC48)</f>
        <v>0</v>
      </c>
      <c r="AB48" s="131">
        <f t="shared" ref="AB48" si="19">IF(I48&lt;$C$1,0,IF(H48&gt;$C$1,Z48-AC48,(I48-$C$1)/(I48-H48)*Z48-AC48))</f>
        <v>82055.812182741123</v>
      </c>
      <c r="AC48" s="131">
        <f t="shared" ref="AC48" si="20">IF(I48&lt;$D$1,0,IF(H48&gt;$D$1,Z48,(I48-$D$1)/(I48-H48)*Z48))</f>
        <v>185134.18781725888</v>
      </c>
      <c r="AD48" s="132"/>
      <c r="AE48" s="132">
        <v>0.3</v>
      </c>
      <c r="AF48" s="132">
        <v>0.3</v>
      </c>
      <c r="AG48" s="157">
        <v>0.4</v>
      </c>
      <c r="AH48" s="156" t="s">
        <v>758</v>
      </c>
    </row>
    <row r="49" spans="2:34" s="150" customFormat="1" ht="40.15" customHeight="1" x14ac:dyDescent="0.2">
      <c r="C49" s="477" t="s">
        <v>836</v>
      </c>
      <c r="D49" s="114"/>
      <c r="E49" s="115" t="s">
        <v>261</v>
      </c>
      <c r="F49" s="114"/>
      <c r="G49" s="116" t="s">
        <v>435</v>
      </c>
      <c r="H49" s="165">
        <v>41632</v>
      </c>
      <c r="I49" s="166">
        <v>41874</v>
      </c>
      <c r="J49" s="167" t="s">
        <v>431</v>
      </c>
      <c r="K49" s="168">
        <f t="shared" si="0"/>
        <v>2013</v>
      </c>
      <c r="L49" s="121">
        <v>11774</v>
      </c>
      <c r="M49" s="132">
        <v>0.9</v>
      </c>
      <c r="N49" s="132">
        <f t="shared" si="14"/>
        <v>9.9999999999999978E-2</v>
      </c>
      <c r="O49" s="132">
        <v>0</v>
      </c>
      <c r="P49" s="132">
        <v>1</v>
      </c>
      <c r="Q49" s="125">
        <v>0</v>
      </c>
      <c r="R49" s="124">
        <v>1</v>
      </c>
      <c r="S49" s="157">
        <v>0</v>
      </c>
      <c r="T49" s="126">
        <v>1250</v>
      </c>
      <c r="U49" s="127">
        <v>1250</v>
      </c>
      <c r="V49" s="128">
        <v>0</v>
      </c>
      <c r="W49" s="129">
        <v>0</v>
      </c>
      <c r="X49" s="127">
        <v>0</v>
      </c>
      <c r="Y49" s="119">
        <v>0</v>
      </c>
      <c r="Z49" s="130">
        <v>249000</v>
      </c>
      <c r="AA49" s="131">
        <f t="shared" si="1"/>
        <v>8231.4049586776819</v>
      </c>
      <c r="AB49" s="131">
        <f t="shared" si="3"/>
        <v>240768.59504132232</v>
      </c>
      <c r="AC49" s="131">
        <f t="shared" si="4"/>
        <v>0</v>
      </c>
      <c r="AD49" s="132">
        <v>1</v>
      </c>
      <c r="AE49" s="132">
        <v>0.25</v>
      </c>
      <c r="AF49" s="132">
        <v>0.64</v>
      </c>
      <c r="AG49" s="157">
        <v>0.11</v>
      </c>
      <c r="AH49" s="156"/>
    </row>
    <row r="50" spans="2:34" s="150" customFormat="1" ht="40.15" customHeight="1" x14ac:dyDescent="0.2">
      <c r="C50" s="477" t="s">
        <v>836</v>
      </c>
      <c r="D50" s="114"/>
      <c r="E50" s="115" t="s">
        <v>261</v>
      </c>
      <c r="F50" s="114"/>
      <c r="G50" s="116" t="s">
        <v>726</v>
      </c>
      <c r="H50" s="165">
        <v>41928</v>
      </c>
      <c r="I50" s="166">
        <v>42109</v>
      </c>
      <c r="J50" s="167" t="s">
        <v>236</v>
      </c>
      <c r="K50" s="168">
        <f t="shared" si="0"/>
        <v>2014</v>
      </c>
      <c r="L50" s="121">
        <v>1250</v>
      </c>
      <c r="M50" s="132">
        <v>0.9</v>
      </c>
      <c r="N50" s="132">
        <f t="shared" si="14"/>
        <v>9.9999999999999978E-2</v>
      </c>
      <c r="O50" s="132">
        <v>0</v>
      </c>
      <c r="P50" s="132">
        <v>1</v>
      </c>
      <c r="Q50" s="125">
        <v>0</v>
      </c>
      <c r="R50" s="124">
        <v>1</v>
      </c>
      <c r="S50" s="157">
        <v>0</v>
      </c>
      <c r="T50" s="126">
        <v>1250</v>
      </c>
      <c r="U50" s="127">
        <v>1250</v>
      </c>
      <c r="V50" s="128">
        <v>0</v>
      </c>
      <c r="W50" s="129">
        <v>0</v>
      </c>
      <c r="X50" s="127">
        <v>0</v>
      </c>
      <c r="Y50" s="119">
        <v>0</v>
      </c>
      <c r="Z50" s="130">
        <v>249000</v>
      </c>
      <c r="AA50" s="131">
        <f t="shared" si="1"/>
        <v>0</v>
      </c>
      <c r="AB50" s="131">
        <f t="shared" si="3"/>
        <v>104552.48618784532</v>
      </c>
      <c r="AC50" s="131">
        <f t="shared" si="4"/>
        <v>144447.51381215468</v>
      </c>
      <c r="AD50" s="132">
        <v>1</v>
      </c>
      <c r="AE50" s="132">
        <v>0.25</v>
      </c>
      <c r="AF50" s="132">
        <v>0.64</v>
      </c>
      <c r="AG50" s="157">
        <v>0.11</v>
      </c>
      <c r="AH50" s="156"/>
    </row>
    <row r="51" spans="2:34" s="150" customFormat="1" ht="40.15" customHeight="1" x14ac:dyDescent="0.2">
      <c r="C51" s="477" t="s">
        <v>836</v>
      </c>
      <c r="D51" s="114"/>
      <c r="E51" s="115" t="s">
        <v>336</v>
      </c>
      <c r="F51" s="114"/>
      <c r="G51" s="116" t="s">
        <v>493</v>
      </c>
      <c r="H51" s="165">
        <v>41760</v>
      </c>
      <c r="I51" s="166">
        <v>42124</v>
      </c>
      <c r="J51" s="167" t="s">
        <v>236</v>
      </c>
      <c r="K51" s="168">
        <f t="shared" si="0"/>
        <v>2014</v>
      </c>
      <c r="L51" s="121">
        <v>6905</v>
      </c>
      <c r="M51" s="132">
        <v>0.3</v>
      </c>
      <c r="N51" s="132">
        <f t="shared" si="14"/>
        <v>0.7</v>
      </c>
      <c r="O51" s="132">
        <v>0</v>
      </c>
      <c r="P51" s="132">
        <v>1</v>
      </c>
      <c r="Q51" s="125">
        <v>0</v>
      </c>
      <c r="R51" s="124">
        <v>1</v>
      </c>
      <c r="S51" s="157">
        <v>0</v>
      </c>
      <c r="T51" s="126">
        <v>6905</v>
      </c>
      <c r="U51" s="127">
        <v>6905</v>
      </c>
      <c r="V51" s="128">
        <v>6905</v>
      </c>
      <c r="W51" s="129">
        <v>0</v>
      </c>
      <c r="X51" s="127">
        <v>0</v>
      </c>
      <c r="Y51" s="119">
        <v>0</v>
      </c>
      <c r="Z51" s="130">
        <v>469947</v>
      </c>
      <c r="AA51" s="131">
        <f t="shared" si="1"/>
        <v>0</v>
      </c>
      <c r="AB51" s="131">
        <f t="shared" si="3"/>
        <v>315019.41758241761</v>
      </c>
      <c r="AC51" s="131">
        <f t="shared" si="4"/>
        <v>154927.58241758242</v>
      </c>
      <c r="AD51" s="132">
        <v>1</v>
      </c>
      <c r="AE51" s="132">
        <v>0.56999999999999995</v>
      </c>
      <c r="AF51" s="132">
        <v>0.16</v>
      </c>
      <c r="AG51" s="157">
        <v>0.12</v>
      </c>
      <c r="AH51" s="156"/>
    </row>
    <row r="52" spans="2:34" s="150" customFormat="1" ht="40.15" customHeight="1" x14ac:dyDescent="0.2">
      <c r="C52" s="477" t="s">
        <v>836</v>
      </c>
      <c r="D52" s="456"/>
      <c r="E52" s="457" t="s">
        <v>336</v>
      </c>
      <c r="F52" s="462"/>
      <c r="G52" s="458" t="s">
        <v>493</v>
      </c>
      <c r="H52" s="459">
        <v>42125</v>
      </c>
      <c r="I52" s="460">
        <v>42489</v>
      </c>
      <c r="J52" s="461" t="s">
        <v>236</v>
      </c>
      <c r="K52" s="168">
        <f t="shared" si="0"/>
        <v>2015</v>
      </c>
      <c r="L52" s="487">
        <v>15447</v>
      </c>
      <c r="M52" s="494">
        <v>0.57999999999999996</v>
      </c>
      <c r="N52" s="494">
        <v>0.42</v>
      </c>
      <c r="O52" s="494">
        <v>0</v>
      </c>
      <c r="P52" s="494">
        <v>1</v>
      </c>
      <c r="Q52" s="495">
        <v>0</v>
      </c>
      <c r="R52" s="496">
        <v>1</v>
      </c>
      <c r="S52" s="497">
        <v>0</v>
      </c>
      <c r="T52" s="490">
        <v>15447</v>
      </c>
      <c r="U52" s="491">
        <v>15447</v>
      </c>
      <c r="V52" s="492">
        <v>15447</v>
      </c>
      <c r="W52" s="488">
        <v>0</v>
      </c>
      <c r="X52" s="489">
        <v>0</v>
      </c>
      <c r="Y52" s="493">
        <v>0</v>
      </c>
      <c r="Z52" s="130">
        <v>1000000</v>
      </c>
      <c r="AA52" s="131">
        <f t="shared" ref="AA52" si="21">Z52-(AB52+AC52)</f>
        <v>0</v>
      </c>
      <c r="AB52" s="131">
        <f t="shared" ref="AB52" si="22">IF(I52&lt;$C$1,0,IF(H52&gt;$C$1,Z52-AC52,(I52-$C$1)/(I52-H52)*Z52-AC52))</f>
        <v>0</v>
      </c>
      <c r="AC52" s="131">
        <f t="shared" ref="AC52" si="23">IF(I52&lt;$D$1,0,IF(H52&gt;$D$1,Z52,(I52-$D$1)/(I52-H52)*Z52))</f>
        <v>1000000</v>
      </c>
      <c r="AD52" s="132"/>
      <c r="AE52" s="132"/>
      <c r="AF52" s="132"/>
      <c r="AG52" s="157"/>
      <c r="AH52" s="156"/>
    </row>
    <row r="53" spans="2:34" s="150" customFormat="1" ht="40.15" customHeight="1" x14ac:dyDescent="0.2">
      <c r="C53" s="477" t="s">
        <v>836</v>
      </c>
      <c r="D53" s="470"/>
      <c r="E53" s="471" t="s">
        <v>334</v>
      </c>
      <c r="F53" s="470"/>
      <c r="G53" s="463" t="s">
        <v>755</v>
      </c>
      <c r="H53" s="467">
        <v>42248</v>
      </c>
      <c r="I53" s="468">
        <v>42521</v>
      </c>
      <c r="J53" s="469" t="s">
        <v>443</v>
      </c>
      <c r="K53" s="168">
        <f t="shared" si="0"/>
        <v>2015</v>
      </c>
      <c r="L53" s="454">
        <v>17285</v>
      </c>
      <c r="M53" s="473">
        <v>0.41</v>
      </c>
      <c r="N53" s="132">
        <f t="shared" si="14"/>
        <v>0.59000000000000008</v>
      </c>
      <c r="O53" s="473">
        <v>0</v>
      </c>
      <c r="P53" s="473">
        <v>1</v>
      </c>
      <c r="Q53" s="474">
        <v>0</v>
      </c>
      <c r="R53" s="475">
        <v>0.88</v>
      </c>
      <c r="S53" s="476">
        <v>0.11</v>
      </c>
      <c r="T53" s="464">
        <v>15375</v>
      </c>
      <c r="U53" s="465">
        <v>15375</v>
      </c>
      <c r="V53" s="466">
        <v>15375</v>
      </c>
      <c r="W53" s="455">
        <v>1910</v>
      </c>
      <c r="X53" s="453">
        <v>1910</v>
      </c>
      <c r="Y53" s="472">
        <v>1910</v>
      </c>
      <c r="Z53" s="478"/>
      <c r="AA53" s="131">
        <f t="shared" ref="AA53" si="24">Z53-(AB53+AC53)</f>
        <v>0</v>
      </c>
      <c r="AB53" s="131">
        <f t="shared" ref="AB53" si="25">IF(I53&lt;$C$1,0,IF(H53&gt;$C$1,Z53-AC53,(I53-$C$1)/(I53-H53)*Z53-AC53))</f>
        <v>0</v>
      </c>
      <c r="AC53" s="131">
        <f t="shared" ref="AC53" si="26">IF(I53&lt;$D$1,0,IF(H53&gt;$D$1,Z53,(I53-$D$1)/(I53-H53)*Z53))</f>
        <v>0</v>
      </c>
      <c r="AD53" s="132"/>
      <c r="AE53" s="132"/>
      <c r="AF53" s="132"/>
      <c r="AG53" s="157"/>
      <c r="AH53" s="156"/>
    </row>
    <row r="54" spans="2:34" s="150" customFormat="1" ht="40.15" customHeight="1" thickBot="1" x14ac:dyDescent="0.25">
      <c r="C54" s="169" t="s">
        <v>436</v>
      </c>
      <c r="D54" s="170" t="s">
        <v>235</v>
      </c>
      <c r="E54" s="171" t="s">
        <v>437</v>
      </c>
      <c r="F54" s="170" t="s">
        <v>438</v>
      </c>
      <c r="G54" s="172" t="s">
        <v>439</v>
      </c>
      <c r="H54" s="173">
        <v>41456</v>
      </c>
      <c r="I54" s="174">
        <v>41729</v>
      </c>
      <c r="J54" s="175" t="s">
        <v>431</v>
      </c>
      <c r="K54" s="168">
        <f t="shared" si="0"/>
        <v>2013</v>
      </c>
      <c r="L54" s="176">
        <v>9561</v>
      </c>
      <c r="M54" s="177">
        <v>0.2</v>
      </c>
      <c r="N54" s="177">
        <f t="shared" si="14"/>
        <v>0.8</v>
      </c>
      <c r="O54" s="177"/>
      <c r="P54" s="177"/>
      <c r="Q54" s="178"/>
      <c r="R54" s="179">
        <v>1</v>
      </c>
      <c r="S54" s="187">
        <v>0</v>
      </c>
      <c r="T54" s="180">
        <v>5383</v>
      </c>
      <c r="U54" s="181">
        <v>1844</v>
      </c>
      <c r="V54" s="182">
        <v>9066</v>
      </c>
      <c r="W54" s="183">
        <v>0</v>
      </c>
      <c r="X54" s="181">
        <v>0</v>
      </c>
      <c r="Y54" s="184">
        <v>0</v>
      </c>
      <c r="Z54" s="185">
        <v>245165</v>
      </c>
      <c r="AA54" s="186">
        <f t="shared" si="1"/>
        <v>165239.41391941393</v>
      </c>
      <c r="AB54" s="186">
        <f t="shared" si="3"/>
        <v>79925.586080586087</v>
      </c>
      <c r="AC54" s="186">
        <f t="shared" si="4"/>
        <v>0</v>
      </c>
      <c r="AD54" s="177">
        <v>1</v>
      </c>
      <c r="AE54" s="177">
        <v>0.38</v>
      </c>
      <c r="AF54" s="177">
        <v>0.11</v>
      </c>
      <c r="AG54" s="187">
        <v>0.51</v>
      </c>
      <c r="AH54" s="188"/>
    </row>
    <row r="55" spans="2:34" s="150" customFormat="1" ht="40.15" customHeight="1" x14ac:dyDescent="0.2">
      <c r="B55" s="788" t="s">
        <v>639</v>
      </c>
      <c r="C55" s="189" t="s">
        <v>261</v>
      </c>
      <c r="D55" s="190"/>
      <c r="E55" s="191" t="s">
        <v>341</v>
      </c>
      <c r="F55" s="190"/>
      <c r="G55" s="192" t="s">
        <v>440</v>
      </c>
      <c r="H55" s="193">
        <v>41277</v>
      </c>
      <c r="I55" s="194">
        <v>41305</v>
      </c>
      <c r="J55" s="195" t="s">
        <v>431</v>
      </c>
      <c r="K55" s="196">
        <f t="shared" si="0"/>
        <v>2013</v>
      </c>
      <c r="L55" s="197">
        <v>0</v>
      </c>
      <c r="M55" s="198">
        <v>0.5</v>
      </c>
      <c r="N55" s="198">
        <f t="shared" si="14"/>
        <v>0.5</v>
      </c>
      <c r="O55" s="198">
        <v>0.33</v>
      </c>
      <c r="P55" s="198">
        <v>0.33</v>
      </c>
      <c r="Q55" s="199">
        <v>0.33</v>
      </c>
      <c r="R55" s="200">
        <v>1</v>
      </c>
      <c r="S55" s="203">
        <v>0</v>
      </c>
      <c r="T55" s="673"/>
      <c r="U55" s="674"/>
      <c r="V55" s="675"/>
      <c r="W55" s="676"/>
      <c r="X55" s="674"/>
      <c r="Y55" s="677"/>
      <c r="Z55" s="201">
        <v>106270</v>
      </c>
      <c r="AA55" s="202">
        <f t="shared" si="1"/>
        <v>106270</v>
      </c>
      <c r="AB55" s="202">
        <f t="shared" si="3"/>
        <v>0</v>
      </c>
      <c r="AC55" s="202">
        <f t="shared" si="4"/>
        <v>0</v>
      </c>
      <c r="AD55" s="198">
        <v>1</v>
      </c>
      <c r="AE55" s="198">
        <v>0.33</v>
      </c>
      <c r="AF55" s="198">
        <v>0.33</v>
      </c>
      <c r="AG55" s="203">
        <v>0.33</v>
      </c>
      <c r="AH55" s="204"/>
    </row>
    <row r="56" spans="2:34" s="150" customFormat="1" ht="40.15" customHeight="1" x14ac:dyDescent="0.2">
      <c r="B56" s="789"/>
      <c r="C56" s="205" t="s">
        <v>261</v>
      </c>
      <c r="D56" s="206"/>
      <c r="E56" s="207" t="s">
        <v>341</v>
      </c>
      <c r="F56" s="206"/>
      <c r="G56" s="208" t="s">
        <v>441</v>
      </c>
      <c r="H56" s="209">
        <v>41671</v>
      </c>
      <c r="I56" s="210">
        <v>41851</v>
      </c>
      <c r="J56" s="211" t="s">
        <v>431</v>
      </c>
      <c r="K56" s="212">
        <f t="shared" si="0"/>
        <v>2014</v>
      </c>
      <c r="L56" s="213">
        <v>0</v>
      </c>
      <c r="M56" s="214">
        <v>0.5</v>
      </c>
      <c r="N56" s="214">
        <f t="shared" si="14"/>
        <v>0.5</v>
      </c>
      <c r="O56" s="214">
        <v>0.33</v>
      </c>
      <c r="P56" s="214">
        <v>0.33</v>
      </c>
      <c r="Q56" s="215">
        <v>0.33</v>
      </c>
      <c r="R56" s="216">
        <v>1</v>
      </c>
      <c r="S56" s="220">
        <v>0</v>
      </c>
      <c r="T56" s="678"/>
      <c r="U56" s="679"/>
      <c r="V56" s="680"/>
      <c r="W56" s="681"/>
      <c r="X56" s="503"/>
      <c r="Y56" s="682"/>
      <c r="Z56" s="130">
        <v>50000</v>
      </c>
      <c r="AA56" s="131">
        <f t="shared" si="1"/>
        <v>0</v>
      </c>
      <c r="AB56" s="131">
        <f t="shared" si="3"/>
        <v>50000</v>
      </c>
      <c r="AC56" s="131">
        <f t="shared" si="4"/>
        <v>0</v>
      </c>
      <c r="AD56" s="214">
        <v>1</v>
      </c>
      <c r="AE56" s="214">
        <v>0.33</v>
      </c>
      <c r="AF56" s="214">
        <v>0.33</v>
      </c>
      <c r="AG56" s="220">
        <v>0.33</v>
      </c>
      <c r="AH56" s="221"/>
    </row>
    <row r="57" spans="2:34" s="91" customFormat="1" ht="40.15" customHeight="1" x14ac:dyDescent="0.2">
      <c r="B57" s="789"/>
      <c r="C57" s="205" t="s">
        <v>261</v>
      </c>
      <c r="D57" s="206"/>
      <c r="E57" s="207" t="s">
        <v>337</v>
      </c>
      <c r="F57" s="206"/>
      <c r="G57" s="506"/>
      <c r="H57" s="209">
        <v>41016</v>
      </c>
      <c r="I57" s="210"/>
      <c r="J57" s="211" t="s">
        <v>431</v>
      </c>
      <c r="K57" s="212">
        <f t="shared" si="0"/>
        <v>2012</v>
      </c>
      <c r="L57" s="222">
        <v>86740</v>
      </c>
      <c r="M57" s="214">
        <f>36925/L57</f>
        <v>0.42569748674198754</v>
      </c>
      <c r="N57" s="214">
        <v>0.56999999999999995</v>
      </c>
      <c r="O57" s="214">
        <v>0</v>
      </c>
      <c r="P57" s="214">
        <f>23300/L57</f>
        <v>0.26861886096379989</v>
      </c>
      <c r="Q57" s="215">
        <v>0.73</v>
      </c>
      <c r="R57" s="216">
        <v>1</v>
      </c>
      <c r="S57" s="220">
        <v>0</v>
      </c>
      <c r="T57" s="217">
        <v>36740</v>
      </c>
      <c r="U57" s="218">
        <v>36740</v>
      </c>
      <c r="V57" s="219">
        <v>36740</v>
      </c>
      <c r="W57" s="683"/>
      <c r="X57" s="504"/>
      <c r="Y57" s="505"/>
      <c r="Z57" s="130">
        <v>981022.61</v>
      </c>
      <c r="AA57" s="131">
        <f t="shared" si="1"/>
        <v>981022.61</v>
      </c>
      <c r="AB57" s="131">
        <f t="shared" si="3"/>
        <v>0</v>
      </c>
      <c r="AC57" s="131">
        <f t="shared" si="4"/>
        <v>0</v>
      </c>
      <c r="AD57" s="504"/>
      <c r="AE57" s="498"/>
      <c r="AF57" s="498"/>
      <c r="AG57" s="501"/>
      <c r="AH57" s="221"/>
    </row>
    <row r="58" spans="2:34" s="91" customFormat="1" ht="40.15" customHeight="1" x14ac:dyDescent="0.2">
      <c r="B58" s="789"/>
      <c r="C58" s="223" t="s">
        <v>261</v>
      </c>
      <c r="D58" s="224"/>
      <c r="E58" s="225" t="s">
        <v>336</v>
      </c>
      <c r="F58" s="224"/>
      <c r="G58" s="695"/>
      <c r="H58" s="226">
        <v>41144</v>
      </c>
      <c r="I58" s="227">
        <v>41912</v>
      </c>
      <c r="J58" s="228" t="s">
        <v>431</v>
      </c>
      <c r="K58" s="229">
        <f t="shared" si="0"/>
        <v>2012</v>
      </c>
      <c r="L58" s="230">
        <f>L5+L12+L15+L16+L23+L25+L41+L42+L49</f>
        <v>89815</v>
      </c>
      <c r="M58" s="231">
        <v>0.61</v>
      </c>
      <c r="N58" s="231">
        <v>0.39</v>
      </c>
      <c r="O58" s="231">
        <f>5637/L58</f>
        <v>6.2762344819907584E-2</v>
      </c>
      <c r="P58" s="231">
        <f>54313/L58</f>
        <v>0.60472081500862884</v>
      </c>
      <c r="Q58" s="232">
        <v>0.33500000000000002</v>
      </c>
      <c r="R58" s="233">
        <v>1</v>
      </c>
      <c r="S58" s="236">
        <v>0</v>
      </c>
      <c r="T58" s="217">
        <v>86580</v>
      </c>
      <c r="U58" s="206">
        <v>86822</v>
      </c>
      <c r="V58" s="238">
        <v>86822</v>
      </c>
      <c r="W58" s="671"/>
      <c r="X58" s="672"/>
      <c r="Y58" s="664"/>
      <c r="Z58" s="234">
        <v>1652740</v>
      </c>
      <c r="AA58" s="235">
        <f t="shared" si="1"/>
        <v>1067394.5833333333</v>
      </c>
      <c r="AB58" s="235">
        <f t="shared" si="3"/>
        <v>585345.41666666674</v>
      </c>
      <c r="AC58" s="235">
        <f t="shared" si="4"/>
        <v>0</v>
      </c>
      <c r="AD58" s="672"/>
      <c r="AE58" s="667"/>
      <c r="AF58" s="667"/>
      <c r="AG58" s="670"/>
      <c r="AH58" s="237"/>
    </row>
    <row r="59" spans="2:34" s="91" customFormat="1" ht="40.15" customHeight="1" x14ac:dyDescent="0.2">
      <c r="B59" s="789"/>
      <c r="C59" s="223" t="s">
        <v>261</v>
      </c>
      <c r="D59" s="224"/>
      <c r="E59" s="225" t="s">
        <v>336</v>
      </c>
      <c r="F59" s="224"/>
      <c r="G59" s="695"/>
      <c r="H59" s="662">
        <v>42005</v>
      </c>
      <c r="I59" s="663" t="s">
        <v>877</v>
      </c>
      <c r="J59" s="736" t="s">
        <v>236</v>
      </c>
      <c r="K59" s="665">
        <f t="shared" si="0"/>
        <v>2015</v>
      </c>
      <c r="L59" s="666"/>
      <c r="M59" s="667"/>
      <c r="N59" s="667"/>
      <c r="O59" s="667"/>
      <c r="P59" s="667"/>
      <c r="Q59" s="668"/>
      <c r="R59" s="669"/>
      <c r="S59" s="670"/>
      <c r="T59" s="502"/>
      <c r="U59" s="504"/>
      <c r="V59" s="650"/>
      <c r="W59" s="671"/>
      <c r="X59" s="672"/>
      <c r="Y59" s="664"/>
      <c r="Z59" s="234">
        <v>300000</v>
      </c>
      <c r="AA59" s="235">
        <f t="shared" ref="AA59" si="27">Z59-(AB59+AC59)</f>
        <v>0</v>
      </c>
      <c r="AB59" s="235">
        <f t="shared" ref="AB59" si="28">IF(I59&lt;$C$1,0,IF(H59&gt;$C$1,Z59-AC59,(I59-$C$1)/(I59-H59)*Z59-AC59))</f>
        <v>0</v>
      </c>
      <c r="AC59" s="235">
        <f t="shared" ref="AC59" si="29">IF(I59&lt;$D$1,0,IF(H59&gt;$D$1,Z59,(I59-$D$1)/(I59-H59)*Z59))</f>
        <v>300000</v>
      </c>
      <c r="AD59" s="672"/>
      <c r="AE59" s="667"/>
      <c r="AF59" s="667"/>
      <c r="AG59" s="670"/>
      <c r="AH59" s="237"/>
    </row>
    <row r="60" spans="2:34" s="91" customFormat="1" ht="40.15" customHeight="1" x14ac:dyDescent="0.2">
      <c r="B60" s="789"/>
      <c r="C60" s="205" t="s">
        <v>261</v>
      </c>
      <c r="D60" s="206"/>
      <c r="E60" s="207" t="s">
        <v>492</v>
      </c>
      <c r="F60" s="206"/>
      <c r="G60" s="506"/>
      <c r="H60" s="209">
        <v>41730</v>
      </c>
      <c r="I60" s="210">
        <v>42094</v>
      </c>
      <c r="J60" s="211" t="s">
        <v>431</v>
      </c>
      <c r="K60" s="212">
        <f t="shared" si="0"/>
        <v>2014</v>
      </c>
      <c r="L60" s="684"/>
      <c r="M60" s="498"/>
      <c r="N60" s="498"/>
      <c r="O60" s="498"/>
      <c r="P60" s="498"/>
      <c r="Q60" s="499"/>
      <c r="R60" s="500"/>
      <c r="S60" s="501"/>
      <c r="T60" s="502"/>
      <c r="U60" s="504"/>
      <c r="V60" s="650"/>
      <c r="W60" s="683"/>
      <c r="X60" s="504"/>
      <c r="Y60" s="505"/>
      <c r="Z60" s="130">
        <v>750000</v>
      </c>
      <c r="AA60" s="239">
        <f t="shared" si="1"/>
        <v>0</v>
      </c>
      <c r="AB60" s="239">
        <f t="shared" si="3"/>
        <v>564560.43956043955</v>
      </c>
      <c r="AC60" s="239">
        <f t="shared" si="4"/>
        <v>185439.56043956045</v>
      </c>
      <c r="AD60" s="504"/>
      <c r="AE60" s="498"/>
      <c r="AF60" s="498"/>
      <c r="AG60" s="501"/>
      <c r="AH60" s="221"/>
    </row>
    <row r="61" spans="2:34" s="91" customFormat="1" ht="40.15" customHeight="1" x14ac:dyDescent="0.2">
      <c r="B61" s="789"/>
      <c r="C61" s="240" t="s">
        <v>261</v>
      </c>
      <c r="D61" s="241"/>
      <c r="E61" s="242" t="s">
        <v>337</v>
      </c>
      <c r="F61" s="241"/>
      <c r="G61" s="696"/>
      <c r="H61" s="243">
        <v>41730</v>
      </c>
      <c r="I61" s="244">
        <v>42004</v>
      </c>
      <c r="J61" s="245" t="s">
        <v>431</v>
      </c>
      <c r="K61" s="246">
        <f t="shared" si="0"/>
        <v>2014</v>
      </c>
      <c r="L61" s="247">
        <f t="shared" ref="L61:Q61" si="30">L37</f>
        <v>10837</v>
      </c>
      <c r="M61" s="248">
        <f t="shared" si="30"/>
        <v>0.43323798099104921</v>
      </c>
      <c r="N61" s="248">
        <f t="shared" si="30"/>
        <v>0.56999999999999995</v>
      </c>
      <c r="O61" s="248">
        <f t="shared" si="30"/>
        <v>0.23798099104918335</v>
      </c>
      <c r="P61" s="248">
        <f t="shared" si="30"/>
        <v>0</v>
      </c>
      <c r="Q61" s="249">
        <f t="shared" si="30"/>
        <v>0.76</v>
      </c>
      <c r="R61" s="250">
        <v>1</v>
      </c>
      <c r="S61" s="251">
        <v>0</v>
      </c>
      <c r="T61" s="217">
        <f>T37</f>
        <v>10837</v>
      </c>
      <c r="U61" s="504"/>
      <c r="V61" s="650"/>
      <c r="W61" s="685"/>
      <c r="X61" s="686"/>
      <c r="Y61" s="687"/>
      <c r="Z61" s="185">
        <v>700000</v>
      </c>
      <c r="AA61" s="239">
        <f t="shared" si="1"/>
        <v>0</v>
      </c>
      <c r="AB61" s="239">
        <f t="shared" si="3"/>
        <v>700000</v>
      </c>
      <c r="AC61" s="239">
        <f t="shared" si="4"/>
        <v>0</v>
      </c>
      <c r="AD61" s="686"/>
      <c r="AE61" s="691"/>
      <c r="AF61" s="691"/>
      <c r="AG61" s="692"/>
      <c r="AH61" s="252"/>
    </row>
    <row r="62" spans="2:34" s="91" customFormat="1" ht="40.15" customHeight="1" thickBot="1" x14ac:dyDescent="0.25">
      <c r="B62" s="790"/>
      <c r="C62" s="253" t="s">
        <v>261</v>
      </c>
      <c r="D62" s="254"/>
      <c r="E62" s="255" t="s">
        <v>337</v>
      </c>
      <c r="F62" s="254"/>
      <c r="G62" s="697"/>
      <c r="H62" s="256">
        <v>41533</v>
      </c>
      <c r="I62" s="257">
        <v>41820</v>
      </c>
      <c r="J62" s="258" t="s">
        <v>431</v>
      </c>
      <c r="K62" s="259">
        <f t="shared" si="0"/>
        <v>2013</v>
      </c>
      <c r="L62" s="260">
        <f>L40+L18</f>
        <v>9940</v>
      </c>
      <c r="M62" s="261">
        <f>2441/L62</f>
        <v>0.24557344064386319</v>
      </c>
      <c r="N62" s="261">
        <v>0.75</v>
      </c>
      <c r="O62" s="261">
        <f>2291/L62</f>
        <v>0.23048289738430583</v>
      </c>
      <c r="P62" s="261">
        <v>0</v>
      </c>
      <c r="Q62" s="262">
        <v>0.77</v>
      </c>
      <c r="R62" s="263">
        <v>1</v>
      </c>
      <c r="S62" s="265">
        <v>0</v>
      </c>
      <c r="T62" s="264">
        <v>5989</v>
      </c>
      <c r="U62" s="281">
        <v>5462</v>
      </c>
      <c r="V62" s="282">
        <v>6137</v>
      </c>
      <c r="W62" s="688"/>
      <c r="X62" s="689"/>
      <c r="Y62" s="690"/>
      <c r="Z62" s="661">
        <v>514030</v>
      </c>
      <c r="AA62" s="660">
        <f t="shared" si="1"/>
        <v>191641.84668989549</v>
      </c>
      <c r="AB62" s="660">
        <f t="shared" si="3"/>
        <v>322388.15331010451</v>
      </c>
      <c r="AC62" s="660">
        <f t="shared" si="4"/>
        <v>0</v>
      </c>
      <c r="AD62" s="689"/>
      <c r="AE62" s="693"/>
      <c r="AF62" s="693"/>
      <c r="AG62" s="694"/>
      <c r="AH62" s="266"/>
    </row>
    <row r="63" spans="2:34" x14ac:dyDescent="0.2">
      <c r="B63" s="267"/>
      <c r="C63" s="267"/>
      <c r="D63" s="267"/>
      <c r="E63" s="267"/>
      <c r="F63" s="267"/>
      <c r="G63" s="267"/>
      <c r="H63" s="267"/>
      <c r="I63" s="267"/>
      <c r="J63" s="267"/>
      <c r="K63" s="267"/>
      <c r="L63" s="267"/>
      <c r="M63" s="268"/>
      <c r="N63" s="268"/>
      <c r="O63" s="268"/>
      <c r="P63" s="268"/>
      <c r="Q63" s="268"/>
      <c r="R63" s="269"/>
      <c r="S63" s="270"/>
      <c r="T63" s="267"/>
      <c r="U63" s="267"/>
      <c r="V63" s="267"/>
      <c r="W63" s="267"/>
      <c r="X63" s="267"/>
      <c r="Y63" s="267"/>
      <c r="Z63" s="268"/>
      <c r="AA63" s="268"/>
      <c r="AB63" s="268"/>
      <c r="AC63" s="268"/>
      <c r="AD63" s="268"/>
      <c r="AE63" s="268"/>
      <c r="AF63" s="268"/>
      <c r="AG63" s="268"/>
      <c r="AH63" s="267"/>
    </row>
    <row r="64" spans="2:34" x14ac:dyDescent="0.2">
      <c r="B64" s="267"/>
      <c r="C64" s="267"/>
      <c r="D64" s="267"/>
      <c r="E64" s="267"/>
      <c r="F64" s="267"/>
      <c r="G64" s="267"/>
      <c r="H64" s="267"/>
      <c r="I64" s="267"/>
      <c r="J64" s="267"/>
      <c r="K64" s="267"/>
      <c r="L64" s="267"/>
      <c r="M64" s="268"/>
      <c r="N64" s="268"/>
      <c r="O64" s="268"/>
      <c r="P64" s="268"/>
      <c r="Q64" s="268"/>
      <c r="R64" s="269"/>
      <c r="S64" s="270"/>
      <c r="T64" s="267"/>
      <c r="U64" s="267"/>
      <c r="V64" s="267"/>
      <c r="W64" s="267"/>
      <c r="X64" s="267"/>
      <c r="Y64" s="267"/>
      <c r="Z64" s="268"/>
      <c r="AA64" s="268"/>
      <c r="AB64" s="268"/>
      <c r="AC64" s="268"/>
      <c r="AD64" s="268"/>
      <c r="AE64" s="268"/>
      <c r="AF64" s="268"/>
      <c r="AG64" s="268"/>
      <c r="AH64" s="267"/>
    </row>
    <row r="65" spans="2:34" x14ac:dyDescent="0.2">
      <c r="B65" s="267"/>
      <c r="C65" s="267"/>
      <c r="D65" s="267"/>
      <c r="E65" s="267"/>
      <c r="F65" s="267"/>
      <c r="G65" s="267"/>
      <c r="H65" s="267"/>
      <c r="I65" s="267"/>
      <c r="J65" s="267"/>
      <c r="K65" s="267"/>
      <c r="L65" s="267"/>
      <c r="M65" s="272"/>
      <c r="N65" s="268"/>
      <c r="O65" s="268"/>
      <c r="P65" s="268"/>
      <c r="Q65" s="268"/>
      <c r="R65" s="269"/>
      <c r="S65" s="270"/>
      <c r="T65" s="267"/>
      <c r="U65" s="267"/>
      <c r="V65" s="267"/>
      <c r="W65" s="267"/>
      <c r="X65" s="267"/>
      <c r="Y65" s="267"/>
      <c r="Z65" s="268"/>
      <c r="AA65" s="268"/>
      <c r="AB65" s="268"/>
      <c r="AC65" s="268"/>
      <c r="AD65" s="268"/>
      <c r="AE65" s="268"/>
      <c r="AF65" s="268"/>
      <c r="AG65" s="268"/>
      <c r="AH65" s="267"/>
    </row>
    <row r="66" spans="2:34" x14ac:dyDescent="0.2">
      <c r="B66" s="267"/>
      <c r="C66" s="267"/>
      <c r="D66" s="267"/>
      <c r="E66" s="267"/>
      <c r="F66" s="267"/>
      <c r="G66" s="267"/>
      <c r="H66" s="267"/>
      <c r="I66" s="267"/>
      <c r="J66" s="267"/>
      <c r="K66" s="267"/>
      <c r="L66" s="267"/>
      <c r="M66" s="268"/>
      <c r="N66" s="268"/>
      <c r="O66" s="268"/>
      <c r="P66" s="268"/>
      <c r="Q66" s="268"/>
      <c r="R66" s="269"/>
      <c r="S66" s="270"/>
      <c r="T66" s="267"/>
      <c r="U66" s="267"/>
      <c r="V66" s="267"/>
      <c r="W66" s="267"/>
      <c r="X66" s="267"/>
      <c r="Y66" s="267"/>
      <c r="Z66" s="268"/>
      <c r="AA66" s="268"/>
      <c r="AB66" s="268"/>
      <c r="AC66" s="268"/>
      <c r="AD66" s="268"/>
      <c r="AE66" s="268"/>
      <c r="AF66" s="268"/>
      <c r="AG66" s="268"/>
      <c r="AH66" s="267"/>
    </row>
    <row r="67" spans="2:34" x14ac:dyDescent="0.2">
      <c r="C67" s="267"/>
      <c r="D67" s="267"/>
      <c r="E67" s="267"/>
      <c r="F67" s="267"/>
      <c r="G67" s="267"/>
      <c r="H67" s="267"/>
      <c r="I67" s="267"/>
      <c r="J67" s="267"/>
      <c r="K67" s="267"/>
      <c r="L67" s="267"/>
      <c r="M67" s="268"/>
      <c r="N67" s="268"/>
      <c r="O67" s="268"/>
      <c r="P67" s="268"/>
      <c r="Q67" s="268"/>
      <c r="R67" s="269"/>
      <c r="S67" s="270"/>
      <c r="T67" s="267"/>
      <c r="U67" s="267"/>
      <c r="V67" s="267"/>
      <c r="W67" s="267"/>
      <c r="X67" s="267"/>
      <c r="Y67" s="267"/>
      <c r="Z67" s="268"/>
      <c r="AA67" s="268"/>
      <c r="AB67" s="268"/>
      <c r="AC67" s="268"/>
      <c r="AD67" s="268"/>
      <c r="AE67" s="268"/>
      <c r="AF67" s="268"/>
      <c r="AG67" s="268"/>
      <c r="AH67" s="267"/>
    </row>
    <row r="68" spans="2:34" x14ac:dyDescent="0.2">
      <c r="C68" s="267"/>
      <c r="D68" s="267"/>
      <c r="E68" s="267"/>
      <c r="F68" s="267"/>
      <c r="G68" s="267"/>
      <c r="H68" s="267"/>
      <c r="I68" s="267"/>
      <c r="J68" s="267"/>
      <c r="K68" s="267"/>
      <c r="L68" s="267"/>
      <c r="M68" s="268"/>
      <c r="N68" s="268"/>
      <c r="O68" s="268"/>
      <c r="P68" s="268"/>
      <c r="Q68" s="268"/>
      <c r="R68" s="269"/>
      <c r="S68" s="270"/>
      <c r="T68" s="267"/>
      <c r="U68" s="267"/>
      <c r="V68" s="267"/>
      <c r="W68" s="267"/>
      <c r="X68" s="267"/>
      <c r="Y68" s="267"/>
      <c r="Z68" s="268"/>
      <c r="AA68" s="268"/>
      <c r="AB68" s="268"/>
      <c r="AC68" s="268"/>
      <c r="AD68" s="268"/>
      <c r="AE68" s="268"/>
      <c r="AF68" s="268"/>
      <c r="AG68" s="268"/>
      <c r="AH68" s="267"/>
    </row>
    <row r="69" spans="2:34" x14ac:dyDescent="0.2">
      <c r="C69" s="267"/>
      <c r="D69" s="267"/>
      <c r="E69" s="267"/>
      <c r="F69" s="267"/>
      <c r="G69" s="267"/>
      <c r="H69" s="267"/>
      <c r="I69" s="267"/>
      <c r="J69" s="267"/>
      <c r="K69" s="267"/>
      <c r="L69" s="267"/>
      <c r="M69" s="268"/>
      <c r="N69" s="268"/>
      <c r="O69" s="268"/>
      <c r="P69" s="268"/>
      <c r="Q69" s="268"/>
      <c r="R69" s="269"/>
      <c r="S69" s="270"/>
      <c r="T69" s="267"/>
      <c r="U69" s="267"/>
      <c r="V69" s="267"/>
      <c r="W69" s="267"/>
      <c r="X69" s="267"/>
      <c r="Y69" s="267"/>
      <c r="Z69" s="268"/>
      <c r="AA69" s="268"/>
      <c r="AB69" s="268"/>
      <c r="AC69" s="268"/>
      <c r="AD69" s="268"/>
      <c r="AE69" s="268"/>
      <c r="AF69" s="268"/>
      <c r="AG69" s="268"/>
      <c r="AH69" s="267"/>
    </row>
    <row r="70" spans="2:34" x14ac:dyDescent="0.2">
      <c r="C70" s="267" t="s">
        <v>442</v>
      </c>
      <c r="D70" s="267"/>
      <c r="E70" s="267"/>
      <c r="F70" s="267"/>
      <c r="G70" s="267"/>
      <c r="H70" s="267"/>
      <c r="I70" s="267"/>
      <c r="J70" s="267"/>
      <c r="K70" s="267"/>
      <c r="L70" s="267"/>
      <c r="M70" s="268"/>
      <c r="N70" s="268"/>
      <c r="O70" s="268"/>
      <c r="P70" s="268"/>
      <c r="Q70" s="268"/>
      <c r="R70" s="269"/>
      <c r="S70" s="270"/>
      <c r="T70" s="267"/>
      <c r="U70" s="267"/>
      <c r="V70" s="267"/>
      <c r="W70" s="267"/>
      <c r="X70" s="267"/>
      <c r="Y70" s="267"/>
      <c r="Z70" s="268"/>
      <c r="AA70" s="268"/>
      <c r="AB70" s="268"/>
      <c r="AC70" s="268"/>
      <c r="AD70" s="268"/>
      <c r="AE70" s="268"/>
      <c r="AF70" s="268"/>
      <c r="AG70" s="268"/>
      <c r="AH70" s="267"/>
    </row>
    <row r="71" spans="2:34" x14ac:dyDescent="0.2">
      <c r="C71" s="267" t="s">
        <v>236</v>
      </c>
      <c r="D71" s="267"/>
      <c r="E71" s="267"/>
      <c r="F71" s="267"/>
      <c r="G71" s="267"/>
      <c r="H71" s="267"/>
      <c r="I71" s="267"/>
      <c r="J71" s="267"/>
      <c r="K71" s="267"/>
      <c r="L71" s="267"/>
      <c r="M71" s="268"/>
      <c r="N71" s="268"/>
      <c r="O71" s="268"/>
      <c r="P71" s="268"/>
      <c r="Q71" s="268"/>
      <c r="R71" s="269"/>
      <c r="S71" s="270"/>
      <c r="T71" s="267"/>
      <c r="U71" s="267"/>
      <c r="V71" s="267"/>
      <c r="W71" s="267"/>
      <c r="X71" s="267"/>
      <c r="Y71" s="267"/>
      <c r="Z71" s="268"/>
      <c r="AA71" s="268"/>
      <c r="AB71" s="268"/>
      <c r="AC71" s="268"/>
      <c r="AD71" s="268"/>
      <c r="AE71" s="268"/>
      <c r="AF71" s="268"/>
      <c r="AG71" s="268"/>
      <c r="AH71" s="267"/>
    </row>
    <row r="72" spans="2:34" x14ac:dyDescent="0.2">
      <c r="C72" s="267" t="s">
        <v>431</v>
      </c>
      <c r="D72" s="267"/>
      <c r="E72" s="267"/>
      <c r="F72" s="267"/>
      <c r="G72" s="267"/>
      <c r="H72" s="267"/>
      <c r="I72" s="267"/>
      <c r="J72" s="267"/>
      <c r="K72" s="267"/>
      <c r="L72" s="267"/>
      <c r="M72" s="268"/>
      <c r="N72" s="268"/>
      <c r="O72" s="268"/>
      <c r="P72" s="268"/>
      <c r="Q72" s="268"/>
      <c r="R72" s="269"/>
      <c r="S72" s="270"/>
      <c r="T72" s="267"/>
      <c r="U72" s="267"/>
      <c r="V72" s="267"/>
      <c r="W72" s="267"/>
      <c r="X72" s="267"/>
      <c r="Y72" s="267"/>
      <c r="Z72" s="268"/>
      <c r="AA72" s="268"/>
      <c r="AB72" s="268"/>
      <c r="AC72" s="268"/>
      <c r="AD72" s="268"/>
      <c r="AE72" s="268"/>
      <c r="AF72" s="268"/>
      <c r="AG72" s="268"/>
      <c r="AH72" s="267"/>
    </row>
    <row r="73" spans="2:34" ht="51" x14ac:dyDescent="0.2">
      <c r="C73" s="267" t="s">
        <v>443</v>
      </c>
      <c r="D73" s="267"/>
      <c r="E73" s="267"/>
      <c r="F73" s="267"/>
      <c r="G73" s="267"/>
      <c r="H73" s="267"/>
      <c r="I73" s="273"/>
      <c r="J73" s="267"/>
      <c r="K73" s="267"/>
      <c r="L73" s="267"/>
      <c r="M73" s="268"/>
      <c r="N73" s="268"/>
      <c r="O73" s="268"/>
      <c r="P73" s="268"/>
      <c r="Q73" s="268"/>
      <c r="R73" s="269"/>
      <c r="S73" s="270"/>
      <c r="T73" s="267"/>
      <c r="U73" s="267"/>
      <c r="V73" s="267"/>
      <c r="W73" s="267" t="s">
        <v>444</v>
      </c>
      <c r="X73" s="267"/>
      <c r="Y73" s="267"/>
      <c r="Z73" s="268"/>
      <c r="AA73" s="268"/>
      <c r="AB73" s="268"/>
      <c r="AC73" s="268"/>
      <c r="AD73" s="268"/>
      <c r="AE73" s="268"/>
      <c r="AF73" s="268"/>
      <c r="AG73" s="268"/>
      <c r="AH73" s="267"/>
    </row>
    <row r="74" spans="2:34" x14ac:dyDescent="0.2">
      <c r="C74" s="267"/>
      <c r="D74" s="267"/>
      <c r="E74" s="267"/>
      <c r="F74" s="267"/>
      <c r="G74" s="267"/>
      <c r="H74" s="267"/>
      <c r="I74" s="273"/>
      <c r="J74" s="267"/>
      <c r="K74" s="267"/>
      <c r="L74" s="267"/>
      <c r="M74" s="268"/>
      <c r="N74" s="268"/>
      <c r="O74" s="268"/>
      <c r="P74" s="268"/>
      <c r="Q74" s="268"/>
      <c r="R74" s="269"/>
      <c r="S74" s="270"/>
      <c r="T74" s="267"/>
      <c r="U74" s="267"/>
      <c r="V74" s="267"/>
      <c r="W74" s="267"/>
      <c r="X74" s="267"/>
      <c r="Y74" s="267"/>
      <c r="Z74" s="268"/>
      <c r="AA74" s="268"/>
      <c r="AB74" s="268"/>
      <c r="AC74" s="268"/>
      <c r="AD74" s="268"/>
      <c r="AE74" s="268"/>
      <c r="AF74" s="268"/>
      <c r="AG74" s="268"/>
      <c r="AH74" s="267"/>
    </row>
    <row r="75" spans="2:34" x14ac:dyDescent="0.2">
      <c r="C75" s="267"/>
      <c r="D75" s="267"/>
      <c r="E75" s="267"/>
      <c r="F75" s="267"/>
      <c r="G75" s="267"/>
      <c r="H75" s="267"/>
      <c r="I75" s="273"/>
      <c r="J75" s="267"/>
      <c r="K75" s="267"/>
      <c r="L75" s="267"/>
      <c r="M75" s="268"/>
      <c r="N75" s="268"/>
      <c r="O75" s="268"/>
      <c r="P75" s="268"/>
      <c r="Q75" s="268"/>
      <c r="R75" s="269"/>
      <c r="S75" s="270"/>
      <c r="T75" s="267"/>
      <c r="U75" s="267"/>
      <c r="V75" s="267"/>
      <c r="W75" s="267"/>
      <c r="X75" s="267"/>
      <c r="Y75" s="267"/>
      <c r="Z75" s="268"/>
      <c r="AA75" s="268"/>
      <c r="AB75" s="268"/>
      <c r="AC75" s="268"/>
      <c r="AD75" s="268"/>
      <c r="AE75" s="268"/>
      <c r="AF75" s="268"/>
      <c r="AG75" s="268"/>
      <c r="AH75" s="267"/>
    </row>
    <row r="76" spans="2:34" x14ac:dyDescent="0.2">
      <c r="C76" s="267"/>
      <c r="D76" s="267"/>
      <c r="E76" s="267"/>
      <c r="F76" s="267"/>
      <c r="G76" s="267"/>
      <c r="H76" s="267"/>
      <c r="I76" s="273"/>
      <c r="J76" s="267"/>
      <c r="K76" s="267"/>
      <c r="L76" s="267"/>
      <c r="M76" s="268"/>
      <c r="N76" s="268"/>
      <c r="O76" s="268"/>
      <c r="P76" s="268"/>
      <c r="Q76" s="268"/>
      <c r="R76" s="269"/>
      <c r="S76" s="270"/>
      <c r="T76" s="267"/>
      <c r="U76" s="267"/>
      <c r="V76" s="267"/>
      <c r="W76" s="267"/>
      <c r="X76" s="267"/>
      <c r="Y76" s="267"/>
      <c r="Z76" s="268"/>
      <c r="AA76" s="268"/>
      <c r="AB76" s="268"/>
      <c r="AC76" s="268"/>
      <c r="AD76" s="268"/>
      <c r="AE76" s="268"/>
      <c r="AF76" s="268"/>
      <c r="AG76" s="268"/>
      <c r="AH76" s="267"/>
    </row>
    <row r="77" spans="2:34" x14ac:dyDescent="0.2">
      <c r="C77" s="267"/>
      <c r="D77" s="267"/>
      <c r="E77" s="267"/>
      <c r="F77" s="267"/>
      <c r="G77" s="267"/>
      <c r="H77" s="267"/>
      <c r="I77" s="273"/>
      <c r="J77" s="267"/>
      <c r="K77" s="267"/>
      <c r="L77" s="267"/>
      <c r="M77" s="268"/>
      <c r="N77" s="268"/>
      <c r="O77" s="268"/>
      <c r="P77" s="268"/>
      <c r="Q77" s="268"/>
      <c r="R77" s="269"/>
      <c r="S77" s="270"/>
      <c r="T77" s="267"/>
      <c r="U77" s="267"/>
      <c r="V77" s="267"/>
      <c r="W77" s="267"/>
      <c r="X77" s="267"/>
      <c r="Y77" s="267"/>
      <c r="Z77" s="268"/>
      <c r="AA77" s="268"/>
      <c r="AB77" s="268"/>
      <c r="AC77" s="268"/>
      <c r="AD77" s="268"/>
      <c r="AE77" s="268"/>
      <c r="AF77" s="268"/>
      <c r="AG77" s="268"/>
      <c r="AH77" s="267"/>
    </row>
    <row r="78" spans="2:34" x14ac:dyDescent="0.2">
      <c r="C78" s="267"/>
      <c r="D78" s="267"/>
      <c r="E78" s="267"/>
      <c r="F78" s="267"/>
      <c r="G78" s="267"/>
      <c r="H78" s="267"/>
      <c r="I78" s="273"/>
      <c r="J78" s="267"/>
      <c r="K78" s="267"/>
      <c r="L78" s="267"/>
      <c r="M78" s="268"/>
      <c r="N78" s="268"/>
      <c r="O78" s="268"/>
      <c r="P78" s="268"/>
      <c r="Q78" s="268"/>
      <c r="R78" s="269"/>
      <c r="S78" s="270"/>
      <c r="T78" s="267"/>
      <c r="U78" s="267"/>
      <c r="V78" s="267"/>
      <c r="W78" s="267"/>
      <c r="X78" s="267"/>
      <c r="Y78" s="267"/>
      <c r="Z78" s="268"/>
      <c r="AA78" s="268"/>
      <c r="AB78" s="268"/>
      <c r="AC78" s="268"/>
      <c r="AD78" s="268"/>
      <c r="AE78" s="268"/>
      <c r="AF78" s="268"/>
      <c r="AG78" s="268"/>
      <c r="AH78" s="267"/>
    </row>
    <row r="79" spans="2:34" x14ac:dyDescent="0.2">
      <c r="C79" s="267"/>
      <c r="D79" s="267"/>
      <c r="E79" s="267"/>
      <c r="F79" s="267"/>
      <c r="G79" s="267"/>
      <c r="H79" s="267"/>
      <c r="I79" s="273"/>
      <c r="J79" s="267"/>
      <c r="K79" s="267"/>
      <c r="L79" s="267"/>
      <c r="M79" s="268"/>
      <c r="N79" s="268"/>
      <c r="O79" s="268"/>
      <c r="P79" s="268"/>
      <c r="Q79" s="268"/>
      <c r="R79" s="269"/>
      <c r="S79" s="270"/>
      <c r="T79" s="267"/>
      <c r="U79" s="267"/>
      <c r="V79" s="267"/>
      <c r="W79" s="267"/>
      <c r="X79" s="267"/>
      <c r="Y79" s="267"/>
      <c r="Z79" s="268"/>
      <c r="AA79" s="268"/>
      <c r="AB79" s="268"/>
      <c r="AC79" s="268"/>
      <c r="AD79" s="268"/>
      <c r="AE79" s="268"/>
      <c r="AF79" s="268"/>
      <c r="AG79" s="268"/>
      <c r="AH79" s="267"/>
    </row>
    <row r="80" spans="2:34" x14ac:dyDescent="0.2">
      <c r="C80" s="267"/>
      <c r="D80" s="267"/>
      <c r="E80" s="267"/>
      <c r="F80" s="267"/>
      <c r="G80" s="267"/>
      <c r="H80" s="267"/>
      <c r="I80" s="273"/>
      <c r="J80" s="267"/>
      <c r="K80" s="267"/>
      <c r="L80" s="267"/>
      <c r="M80" s="268"/>
      <c r="N80" s="268"/>
      <c r="O80" s="268"/>
      <c r="P80" s="268"/>
      <c r="Q80" s="268"/>
      <c r="R80" s="269"/>
      <c r="S80" s="270"/>
      <c r="T80" s="267"/>
      <c r="U80" s="267"/>
      <c r="V80" s="267"/>
      <c r="W80" s="267"/>
      <c r="X80" s="267"/>
      <c r="Y80" s="267"/>
      <c r="Z80" s="268"/>
      <c r="AA80" s="268"/>
      <c r="AB80" s="268"/>
      <c r="AC80" s="268"/>
      <c r="AD80" s="268"/>
      <c r="AE80" s="268"/>
      <c r="AF80" s="268"/>
      <c r="AG80" s="268"/>
      <c r="AH80" s="267"/>
    </row>
    <row r="81" spans="3:34" x14ac:dyDescent="0.2">
      <c r="C81" s="267"/>
      <c r="D81" s="267"/>
      <c r="E81" s="267"/>
      <c r="F81" s="267"/>
      <c r="G81" s="267"/>
      <c r="H81" s="267"/>
      <c r="I81" s="273"/>
      <c r="J81" s="267"/>
      <c r="K81" s="267"/>
      <c r="L81" s="267"/>
      <c r="M81" s="268"/>
      <c r="N81" s="268"/>
      <c r="O81" s="268"/>
      <c r="P81" s="268"/>
      <c r="Q81" s="268"/>
      <c r="R81" s="269"/>
      <c r="S81" s="270"/>
      <c r="T81" s="267"/>
      <c r="U81" s="267"/>
      <c r="V81" s="267"/>
      <c r="W81" s="267"/>
      <c r="X81" s="267"/>
      <c r="Y81" s="267"/>
      <c r="Z81" s="268"/>
      <c r="AA81" s="268"/>
      <c r="AB81" s="268"/>
      <c r="AC81" s="268"/>
      <c r="AD81" s="268"/>
      <c r="AE81" s="268"/>
      <c r="AF81" s="268"/>
      <c r="AG81" s="268"/>
      <c r="AH81" s="267"/>
    </row>
    <row r="82" spans="3:34" x14ac:dyDescent="0.2">
      <c r="C82" s="267"/>
      <c r="D82" s="267"/>
      <c r="E82" s="267"/>
      <c r="F82" s="267"/>
      <c r="G82" s="267"/>
      <c r="H82" s="267"/>
      <c r="I82" s="273"/>
      <c r="J82" s="267"/>
      <c r="K82" s="267"/>
      <c r="L82" s="267"/>
      <c r="M82" s="268"/>
      <c r="N82" s="268"/>
      <c r="O82" s="268"/>
      <c r="P82" s="268"/>
      <c r="Q82" s="268"/>
      <c r="R82" s="269"/>
      <c r="S82" s="270"/>
      <c r="T82" s="267"/>
      <c r="U82" s="267"/>
      <c r="V82" s="267"/>
      <c r="W82" s="267"/>
      <c r="X82" s="267"/>
      <c r="Y82" s="267"/>
      <c r="Z82" s="268"/>
      <c r="AA82" s="268"/>
      <c r="AB82" s="268"/>
      <c r="AC82" s="268"/>
      <c r="AD82" s="268"/>
      <c r="AE82" s="268"/>
      <c r="AF82" s="268"/>
      <c r="AG82" s="268"/>
      <c r="AH82" s="267"/>
    </row>
    <row r="83" spans="3:34" x14ac:dyDescent="0.2">
      <c r="C83" s="267"/>
      <c r="D83" s="267"/>
      <c r="E83" s="267"/>
      <c r="F83" s="267"/>
      <c r="G83" s="267"/>
      <c r="H83" s="267"/>
      <c r="I83" s="273"/>
      <c r="J83" s="267"/>
      <c r="K83" s="267"/>
      <c r="L83" s="267"/>
      <c r="M83" s="268"/>
      <c r="N83" s="268"/>
      <c r="O83" s="268"/>
      <c r="P83" s="268"/>
      <c r="Q83" s="268"/>
      <c r="R83" s="269"/>
      <c r="S83" s="270"/>
      <c r="T83" s="267"/>
      <c r="U83" s="267"/>
      <c r="V83" s="267"/>
      <c r="W83" s="267"/>
      <c r="X83" s="267"/>
      <c r="Y83" s="267"/>
      <c r="Z83" s="268"/>
      <c r="AA83" s="268"/>
      <c r="AB83" s="268"/>
      <c r="AC83" s="268"/>
      <c r="AD83" s="268"/>
      <c r="AE83" s="268"/>
      <c r="AF83" s="268"/>
      <c r="AG83" s="268"/>
      <c r="AH83" s="267"/>
    </row>
    <row r="84" spans="3:34" x14ac:dyDescent="0.2">
      <c r="C84" s="267"/>
      <c r="D84" s="267"/>
      <c r="E84" s="267"/>
      <c r="F84" s="267"/>
      <c r="G84" s="267"/>
      <c r="H84" s="267"/>
      <c r="I84" s="273"/>
      <c r="J84" s="267"/>
      <c r="K84" s="267"/>
      <c r="L84" s="267"/>
      <c r="M84" s="268"/>
      <c r="N84" s="268"/>
      <c r="O84" s="268"/>
      <c r="P84" s="268"/>
      <c r="Q84" s="268"/>
      <c r="R84" s="269"/>
      <c r="S84" s="270"/>
      <c r="T84" s="267"/>
      <c r="U84" s="267"/>
      <c r="V84" s="267"/>
      <c r="W84" s="267"/>
      <c r="X84" s="267"/>
      <c r="Y84" s="267"/>
      <c r="Z84" s="268"/>
      <c r="AA84" s="268"/>
      <c r="AB84" s="268"/>
      <c r="AC84" s="268"/>
      <c r="AD84" s="268"/>
      <c r="AE84" s="268"/>
      <c r="AF84" s="268"/>
      <c r="AG84" s="268"/>
      <c r="AH84" s="267"/>
    </row>
    <row r="85" spans="3:34" x14ac:dyDescent="0.2">
      <c r="C85" s="267"/>
      <c r="D85" s="267"/>
      <c r="E85" s="267"/>
      <c r="F85" s="267"/>
      <c r="G85" s="267"/>
      <c r="H85" s="267"/>
      <c r="I85" s="273"/>
      <c r="J85" s="267"/>
      <c r="K85" s="267"/>
      <c r="L85" s="267"/>
      <c r="M85" s="268"/>
      <c r="N85" s="268"/>
      <c r="O85" s="268"/>
      <c r="P85" s="268"/>
      <c r="Q85" s="268"/>
      <c r="R85" s="269"/>
      <c r="S85" s="270"/>
      <c r="T85" s="267"/>
      <c r="U85" s="267"/>
      <c r="V85" s="267"/>
      <c r="W85" s="267"/>
      <c r="X85" s="267"/>
      <c r="Y85" s="267"/>
      <c r="Z85" s="268"/>
      <c r="AA85" s="268"/>
      <c r="AB85" s="268"/>
      <c r="AC85" s="268"/>
      <c r="AD85" s="268"/>
      <c r="AE85" s="268"/>
      <c r="AF85" s="268"/>
      <c r="AG85" s="268"/>
      <c r="AH85" s="267"/>
    </row>
    <row r="86" spans="3:34" x14ac:dyDescent="0.2">
      <c r="C86" s="267"/>
      <c r="D86" s="267"/>
      <c r="E86" s="267"/>
      <c r="F86" s="267"/>
      <c r="G86" s="267"/>
      <c r="H86" s="267"/>
      <c r="I86" s="273"/>
      <c r="J86" s="267"/>
      <c r="K86" s="267"/>
      <c r="L86" s="267"/>
      <c r="M86" s="268"/>
      <c r="N86" s="268"/>
      <c r="O86" s="268"/>
      <c r="P86" s="268"/>
      <c r="Q86" s="268"/>
      <c r="R86" s="269"/>
      <c r="S86" s="270"/>
      <c r="T86" s="267"/>
      <c r="U86" s="267"/>
      <c r="V86" s="267"/>
      <c r="W86" s="267"/>
      <c r="X86" s="267"/>
      <c r="Y86" s="267"/>
      <c r="Z86" s="268"/>
      <c r="AA86" s="268"/>
      <c r="AB86" s="268"/>
      <c r="AC86" s="268"/>
      <c r="AD86" s="268"/>
      <c r="AE86" s="268"/>
      <c r="AF86" s="268"/>
      <c r="AG86" s="268"/>
      <c r="AH86" s="267"/>
    </row>
    <row r="87" spans="3:34" x14ac:dyDescent="0.2">
      <c r="C87" s="267"/>
      <c r="D87" s="267"/>
      <c r="E87" s="267"/>
      <c r="F87" s="267"/>
      <c r="G87" s="267"/>
      <c r="H87" s="267"/>
      <c r="I87" s="273"/>
      <c r="J87" s="267"/>
      <c r="K87" s="267"/>
      <c r="L87" s="267"/>
      <c r="M87" s="268"/>
      <c r="N87" s="268"/>
      <c r="O87" s="268"/>
      <c r="P87" s="268"/>
      <c r="Q87" s="268"/>
      <c r="R87" s="269"/>
      <c r="S87" s="270"/>
      <c r="T87" s="267"/>
      <c r="U87" s="267"/>
      <c r="V87" s="267"/>
      <c r="W87" s="267"/>
      <c r="X87" s="267"/>
      <c r="Y87" s="267"/>
      <c r="Z87" s="268"/>
      <c r="AA87" s="268"/>
      <c r="AB87" s="268"/>
      <c r="AC87" s="268"/>
      <c r="AD87" s="268"/>
      <c r="AE87" s="268"/>
      <c r="AF87" s="268"/>
      <c r="AG87" s="268"/>
      <c r="AH87" s="267"/>
    </row>
    <row r="88" spans="3:34" x14ac:dyDescent="0.2">
      <c r="C88" s="267"/>
      <c r="D88" s="267"/>
      <c r="E88" s="267"/>
      <c r="F88" s="267"/>
      <c r="G88" s="267"/>
      <c r="H88" s="267"/>
      <c r="I88" s="267"/>
      <c r="J88" s="267"/>
      <c r="K88" s="267"/>
      <c r="L88" s="267"/>
      <c r="M88" s="268"/>
      <c r="N88" s="268"/>
      <c r="O88" s="268"/>
      <c r="P88" s="268"/>
      <c r="Q88" s="268"/>
      <c r="R88" s="269"/>
      <c r="S88" s="270"/>
      <c r="T88" s="267"/>
      <c r="U88" s="267"/>
      <c r="V88" s="267"/>
      <c r="W88" s="267"/>
      <c r="X88" s="267"/>
      <c r="Y88" s="267"/>
      <c r="Z88" s="268"/>
      <c r="AA88" s="268"/>
      <c r="AB88" s="268"/>
      <c r="AC88" s="268"/>
      <c r="AD88" s="268"/>
      <c r="AE88" s="268"/>
      <c r="AF88" s="268"/>
      <c r="AG88" s="268"/>
      <c r="AH88" s="267"/>
    </row>
    <row r="89" spans="3:34" x14ac:dyDescent="0.2">
      <c r="C89" s="267"/>
      <c r="D89" s="267"/>
      <c r="E89" s="267"/>
      <c r="F89" s="267"/>
      <c r="G89" s="267"/>
      <c r="H89" s="267"/>
      <c r="I89" s="267"/>
      <c r="J89" s="267"/>
      <c r="K89" s="267"/>
      <c r="L89" s="267"/>
      <c r="M89" s="268"/>
      <c r="N89" s="268"/>
      <c r="O89" s="268"/>
      <c r="P89" s="268"/>
      <c r="Q89" s="268"/>
      <c r="R89" s="269"/>
      <c r="S89" s="270"/>
      <c r="T89" s="267"/>
      <c r="U89" s="267"/>
      <c r="V89" s="267"/>
      <c r="W89" s="267"/>
      <c r="X89" s="267"/>
      <c r="Y89" s="267"/>
      <c r="Z89" s="268"/>
      <c r="AA89" s="268"/>
      <c r="AB89" s="268"/>
      <c r="AC89" s="268"/>
      <c r="AD89" s="268"/>
      <c r="AE89" s="268"/>
      <c r="AF89" s="268"/>
      <c r="AG89" s="268"/>
      <c r="AH89" s="267"/>
    </row>
    <row r="90" spans="3:34" x14ac:dyDescent="0.2">
      <c r="C90" s="267"/>
      <c r="D90" s="267"/>
      <c r="E90" s="267"/>
      <c r="F90" s="267"/>
      <c r="G90" s="267"/>
      <c r="H90" s="267"/>
      <c r="I90" s="267"/>
      <c r="J90" s="267"/>
      <c r="K90" s="267"/>
      <c r="L90" s="267"/>
      <c r="M90" s="268"/>
      <c r="N90" s="268"/>
      <c r="O90" s="268"/>
      <c r="P90" s="268"/>
      <c r="Q90" s="268"/>
      <c r="R90" s="269"/>
      <c r="S90" s="270"/>
      <c r="T90" s="267"/>
      <c r="U90" s="267"/>
      <c r="V90" s="267"/>
      <c r="W90" s="267"/>
      <c r="X90" s="267"/>
      <c r="Y90" s="267"/>
      <c r="Z90" s="268"/>
      <c r="AA90" s="268"/>
      <c r="AB90" s="268"/>
      <c r="AC90" s="268"/>
      <c r="AD90" s="268"/>
      <c r="AE90" s="268"/>
      <c r="AF90" s="268"/>
      <c r="AG90" s="268"/>
      <c r="AH90" s="267"/>
    </row>
    <row r="91" spans="3:34" x14ac:dyDescent="0.2">
      <c r="C91" s="267"/>
      <c r="D91" s="267"/>
      <c r="E91" s="267"/>
      <c r="F91" s="267"/>
      <c r="G91" s="267"/>
      <c r="H91" s="267"/>
      <c r="I91" s="267"/>
      <c r="J91" s="267"/>
      <c r="K91" s="267"/>
      <c r="L91" s="267"/>
      <c r="M91" s="268"/>
      <c r="N91" s="268"/>
      <c r="O91" s="268"/>
      <c r="P91" s="268"/>
      <c r="Q91" s="268"/>
      <c r="R91" s="269"/>
      <c r="S91" s="270"/>
      <c r="T91" s="267"/>
      <c r="U91" s="267"/>
      <c r="V91" s="267"/>
      <c r="W91" s="267"/>
      <c r="X91" s="267"/>
      <c r="Y91" s="267"/>
      <c r="Z91" s="268"/>
      <c r="AA91" s="268"/>
      <c r="AB91" s="268"/>
      <c r="AC91" s="268"/>
      <c r="AD91" s="268"/>
      <c r="AE91" s="268"/>
      <c r="AF91" s="268"/>
      <c r="AG91" s="268"/>
      <c r="AH91" s="267"/>
    </row>
    <row r="92" spans="3:34" x14ac:dyDescent="0.2">
      <c r="C92" s="267"/>
      <c r="D92" s="267"/>
      <c r="E92" s="267"/>
      <c r="F92" s="267"/>
      <c r="G92" s="267"/>
      <c r="H92" s="267"/>
      <c r="I92" s="267"/>
      <c r="J92" s="267"/>
      <c r="K92" s="267"/>
      <c r="L92" s="267"/>
      <c r="M92" s="268"/>
      <c r="N92" s="268"/>
      <c r="O92" s="268"/>
      <c r="P92" s="268"/>
      <c r="Q92" s="268"/>
      <c r="R92" s="269"/>
      <c r="S92" s="270"/>
      <c r="T92" s="267"/>
      <c r="U92" s="267"/>
      <c r="V92" s="267"/>
      <c r="W92" s="267"/>
      <c r="X92" s="267"/>
      <c r="Y92" s="267"/>
      <c r="Z92" s="268"/>
      <c r="AA92" s="268"/>
      <c r="AB92" s="268"/>
      <c r="AC92" s="268"/>
      <c r="AD92" s="268"/>
      <c r="AE92" s="268"/>
      <c r="AF92" s="268"/>
      <c r="AG92" s="268"/>
      <c r="AH92" s="267"/>
    </row>
    <row r="93" spans="3:34" x14ac:dyDescent="0.2">
      <c r="C93" s="267"/>
      <c r="D93" s="267"/>
      <c r="E93" s="267"/>
      <c r="F93" s="267"/>
      <c r="G93" s="267"/>
      <c r="H93" s="267"/>
      <c r="I93" s="267"/>
      <c r="J93" s="267"/>
      <c r="K93" s="267"/>
      <c r="L93" s="267"/>
      <c r="M93" s="268"/>
      <c r="N93" s="268"/>
      <c r="O93" s="268"/>
      <c r="P93" s="268"/>
      <c r="Q93" s="268"/>
      <c r="R93" s="269"/>
      <c r="S93" s="270"/>
      <c r="T93" s="267"/>
      <c r="U93" s="267"/>
      <c r="V93" s="267"/>
      <c r="W93" s="267"/>
      <c r="X93" s="267"/>
      <c r="Y93" s="267"/>
      <c r="Z93" s="268"/>
      <c r="AA93" s="268"/>
      <c r="AB93" s="268"/>
      <c r="AC93" s="268"/>
      <c r="AD93" s="268"/>
      <c r="AE93" s="268"/>
      <c r="AF93" s="268"/>
      <c r="AG93" s="268"/>
      <c r="AH93" s="267"/>
    </row>
    <row r="94" spans="3:34" x14ac:dyDescent="0.2">
      <c r="C94" s="267"/>
      <c r="D94" s="267"/>
      <c r="E94" s="267"/>
      <c r="F94" s="267"/>
      <c r="G94" s="267"/>
      <c r="H94" s="267"/>
      <c r="I94" s="267"/>
      <c r="J94" s="267"/>
      <c r="K94" s="267"/>
      <c r="L94" s="267"/>
      <c r="M94" s="268"/>
      <c r="N94" s="268"/>
      <c r="O94" s="268"/>
      <c r="P94" s="268"/>
      <c r="Q94" s="268"/>
      <c r="R94" s="269"/>
      <c r="S94" s="270"/>
      <c r="T94" s="267"/>
      <c r="U94" s="267"/>
      <c r="V94" s="267"/>
      <c r="W94" s="267"/>
      <c r="X94" s="267"/>
      <c r="Y94" s="267"/>
      <c r="Z94" s="268"/>
      <c r="AA94" s="268"/>
      <c r="AB94" s="268"/>
      <c r="AC94" s="268"/>
      <c r="AD94" s="268"/>
      <c r="AE94" s="268"/>
      <c r="AF94" s="268"/>
      <c r="AG94" s="268"/>
      <c r="AH94" s="267"/>
    </row>
    <row r="95" spans="3:34" x14ac:dyDescent="0.2">
      <c r="C95" s="267"/>
      <c r="D95" s="267"/>
      <c r="E95" s="267"/>
      <c r="F95" s="267"/>
      <c r="G95" s="267"/>
      <c r="H95" s="267"/>
      <c r="I95" s="267"/>
      <c r="J95" s="267"/>
      <c r="K95" s="267"/>
      <c r="L95" s="267"/>
      <c r="M95" s="268"/>
      <c r="N95" s="268"/>
      <c r="O95" s="268"/>
      <c r="P95" s="268"/>
      <c r="Q95" s="268"/>
      <c r="R95" s="269"/>
      <c r="S95" s="270"/>
      <c r="T95" s="267"/>
      <c r="U95" s="267"/>
      <c r="V95" s="267"/>
      <c r="W95" s="267"/>
      <c r="X95" s="267"/>
      <c r="Y95" s="267"/>
      <c r="Z95" s="268"/>
      <c r="AA95" s="268"/>
      <c r="AB95" s="268"/>
      <c r="AC95" s="268"/>
      <c r="AD95" s="268"/>
      <c r="AE95" s="268"/>
      <c r="AF95" s="268"/>
      <c r="AG95" s="268"/>
      <c r="AH95" s="267"/>
    </row>
    <row r="96" spans="3:34" x14ac:dyDescent="0.2">
      <c r="C96" s="267"/>
      <c r="D96" s="267"/>
      <c r="E96" s="267"/>
      <c r="F96" s="267"/>
      <c r="G96" s="267"/>
      <c r="H96" s="267"/>
      <c r="I96" s="267"/>
      <c r="J96" s="267"/>
      <c r="K96" s="267"/>
      <c r="L96" s="267"/>
      <c r="M96" s="268"/>
      <c r="N96" s="268"/>
      <c r="O96" s="268"/>
      <c r="P96" s="268"/>
      <c r="Q96" s="268"/>
      <c r="R96" s="269"/>
      <c r="S96" s="270"/>
      <c r="T96" s="267"/>
      <c r="U96" s="267"/>
      <c r="V96" s="267"/>
      <c r="W96" s="267"/>
      <c r="X96" s="267"/>
      <c r="Y96" s="267"/>
      <c r="Z96" s="268"/>
      <c r="AA96" s="268"/>
      <c r="AB96" s="268"/>
      <c r="AC96" s="268"/>
      <c r="AD96" s="268"/>
      <c r="AE96" s="268"/>
      <c r="AF96" s="268"/>
      <c r="AG96" s="268"/>
      <c r="AH96" s="267"/>
    </row>
    <row r="97" spans="3:34" x14ac:dyDescent="0.2">
      <c r="C97" s="267"/>
      <c r="D97" s="267"/>
      <c r="E97" s="267"/>
      <c r="F97" s="267"/>
      <c r="G97" s="267"/>
      <c r="H97" s="267"/>
      <c r="I97" s="267"/>
      <c r="J97" s="267"/>
      <c r="K97" s="267"/>
      <c r="L97" s="267"/>
      <c r="M97" s="268"/>
      <c r="N97" s="268"/>
      <c r="O97" s="268"/>
      <c r="P97" s="268"/>
      <c r="Q97" s="268"/>
      <c r="R97" s="269"/>
      <c r="S97" s="270"/>
      <c r="T97" s="267"/>
      <c r="U97" s="267"/>
      <c r="V97" s="267"/>
      <c r="W97" s="267"/>
      <c r="X97" s="267"/>
      <c r="Y97" s="267"/>
      <c r="Z97" s="268"/>
      <c r="AA97" s="268"/>
      <c r="AB97" s="268"/>
      <c r="AC97" s="268"/>
      <c r="AD97" s="268"/>
      <c r="AE97" s="268"/>
      <c r="AF97" s="268"/>
      <c r="AG97" s="268"/>
      <c r="AH97" s="267"/>
    </row>
    <row r="98" spans="3:34" x14ac:dyDescent="0.2">
      <c r="C98" s="267"/>
      <c r="D98" s="267"/>
      <c r="E98" s="267"/>
      <c r="F98" s="267"/>
      <c r="G98" s="267"/>
      <c r="H98" s="267"/>
      <c r="I98" s="267"/>
      <c r="J98" s="267"/>
      <c r="K98" s="267"/>
      <c r="L98" s="267"/>
      <c r="M98" s="268"/>
      <c r="N98" s="268"/>
      <c r="O98" s="268"/>
      <c r="P98" s="268"/>
      <c r="Q98" s="268"/>
      <c r="R98" s="269"/>
      <c r="S98" s="270"/>
      <c r="T98" s="267"/>
      <c r="U98" s="267"/>
      <c r="V98" s="267"/>
      <c r="W98" s="267"/>
      <c r="X98" s="267"/>
      <c r="Y98" s="267"/>
      <c r="Z98" s="268"/>
      <c r="AA98" s="268"/>
      <c r="AB98" s="268"/>
      <c r="AC98" s="268"/>
      <c r="AD98" s="268"/>
      <c r="AE98" s="268"/>
      <c r="AF98" s="268"/>
      <c r="AG98" s="268"/>
      <c r="AH98" s="267"/>
    </row>
    <row r="99" spans="3:34" x14ac:dyDescent="0.2">
      <c r="C99" s="267"/>
      <c r="D99" s="267"/>
      <c r="E99" s="267"/>
      <c r="F99" s="267"/>
      <c r="G99" s="267"/>
      <c r="H99" s="267"/>
      <c r="I99" s="267"/>
      <c r="J99" s="267"/>
      <c r="K99" s="267"/>
      <c r="L99" s="267"/>
      <c r="M99" s="268"/>
      <c r="N99" s="268"/>
      <c r="O99" s="268"/>
      <c r="P99" s="268"/>
      <c r="Q99" s="268"/>
      <c r="R99" s="269"/>
      <c r="S99" s="270"/>
      <c r="T99" s="267"/>
      <c r="U99" s="267"/>
      <c r="V99" s="267"/>
      <c r="W99" s="267"/>
      <c r="X99" s="267"/>
      <c r="Y99" s="267"/>
      <c r="Z99" s="268"/>
      <c r="AA99" s="268"/>
      <c r="AB99" s="268"/>
      <c r="AC99" s="268"/>
      <c r="AD99" s="268"/>
      <c r="AE99" s="268"/>
      <c r="AF99" s="268"/>
      <c r="AG99" s="268"/>
      <c r="AH99" s="267"/>
    </row>
    <row r="100" spans="3:34" x14ac:dyDescent="0.2">
      <c r="C100" s="267"/>
      <c r="D100" s="267"/>
      <c r="E100" s="267"/>
      <c r="F100" s="267"/>
      <c r="G100" s="267"/>
      <c r="H100" s="267"/>
      <c r="I100" s="267"/>
      <c r="J100" s="267"/>
      <c r="K100" s="267"/>
      <c r="L100" s="267"/>
      <c r="M100" s="268"/>
      <c r="N100" s="268"/>
      <c r="O100" s="268"/>
      <c r="P100" s="268"/>
      <c r="Q100" s="268"/>
      <c r="R100" s="269"/>
      <c r="S100" s="270"/>
      <c r="T100" s="267"/>
      <c r="U100" s="267"/>
      <c r="V100" s="267"/>
      <c r="W100" s="267"/>
      <c r="X100" s="267"/>
      <c r="Y100" s="267"/>
      <c r="Z100" s="268"/>
      <c r="AA100" s="268"/>
      <c r="AB100" s="268"/>
      <c r="AC100" s="268"/>
      <c r="AD100" s="268"/>
      <c r="AE100" s="268"/>
      <c r="AF100" s="268"/>
      <c r="AG100" s="268"/>
      <c r="AH100" s="267"/>
    </row>
    <row r="101" spans="3:34" x14ac:dyDescent="0.2">
      <c r="C101" s="267"/>
      <c r="D101" s="267"/>
      <c r="E101" s="267"/>
      <c r="F101" s="267"/>
      <c r="G101" s="267"/>
      <c r="H101" s="267"/>
      <c r="I101" s="267"/>
      <c r="J101" s="267"/>
      <c r="K101" s="267"/>
      <c r="L101" s="267"/>
      <c r="M101" s="268"/>
      <c r="N101" s="268"/>
      <c r="O101" s="268"/>
      <c r="P101" s="268"/>
      <c r="Q101" s="268"/>
      <c r="R101" s="269"/>
      <c r="S101" s="270"/>
      <c r="T101" s="267"/>
      <c r="U101" s="267"/>
      <c r="V101" s="267"/>
      <c r="W101" s="267"/>
      <c r="X101" s="267"/>
      <c r="Y101" s="267"/>
      <c r="Z101" s="268"/>
      <c r="AA101" s="268"/>
      <c r="AB101" s="268"/>
      <c r="AC101" s="268"/>
      <c r="AD101" s="268"/>
      <c r="AE101" s="268"/>
      <c r="AF101" s="268"/>
      <c r="AG101" s="268"/>
      <c r="AH101" s="267"/>
    </row>
    <row r="102" spans="3:34" x14ac:dyDescent="0.2">
      <c r="C102" s="267"/>
      <c r="D102" s="267"/>
      <c r="E102" s="267"/>
      <c r="F102" s="267"/>
      <c r="G102" s="267"/>
      <c r="H102" s="267"/>
      <c r="I102" s="267"/>
      <c r="J102" s="267"/>
      <c r="K102" s="267"/>
      <c r="L102" s="267"/>
      <c r="M102" s="268"/>
      <c r="N102" s="268"/>
      <c r="O102" s="268"/>
      <c r="P102" s="268"/>
      <c r="Q102" s="268"/>
      <c r="R102" s="269"/>
      <c r="S102" s="270"/>
      <c r="T102" s="267"/>
      <c r="U102" s="267"/>
      <c r="V102" s="267"/>
      <c r="W102" s="267"/>
      <c r="X102" s="267"/>
      <c r="Y102" s="267"/>
      <c r="Z102" s="268"/>
      <c r="AA102" s="268"/>
      <c r="AB102" s="268"/>
      <c r="AC102" s="268"/>
      <c r="AD102" s="268"/>
      <c r="AE102" s="268"/>
      <c r="AF102" s="268"/>
      <c r="AG102" s="268"/>
      <c r="AH102" s="267"/>
    </row>
    <row r="103" spans="3:34" x14ac:dyDescent="0.2">
      <c r="C103" s="267"/>
      <c r="D103" s="267"/>
      <c r="E103" s="267"/>
      <c r="F103" s="267"/>
      <c r="G103" s="267"/>
      <c r="H103" s="267"/>
      <c r="I103" s="267"/>
      <c r="J103" s="267"/>
      <c r="K103" s="267"/>
      <c r="L103" s="267"/>
      <c r="M103" s="268"/>
      <c r="N103" s="268"/>
      <c r="O103" s="268"/>
      <c r="P103" s="268"/>
      <c r="Q103" s="268"/>
      <c r="R103" s="269"/>
      <c r="S103" s="270"/>
      <c r="T103" s="267"/>
      <c r="U103" s="267"/>
      <c r="V103" s="267"/>
      <c r="W103" s="267"/>
      <c r="X103" s="267"/>
      <c r="Y103" s="267"/>
      <c r="Z103" s="268"/>
      <c r="AA103" s="268"/>
      <c r="AB103" s="268"/>
      <c r="AC103" s="268"/>
      <c r="AD103" s="268"/>
      <c r="AE103" s="268"/>
      <c r="AF103" s="268"/>
      <c r="AG103" s="268"/>
      <c r="AH103" s="267"/>
    </row>
    <row r="104" spans="3:34" x14ac:dyDescent="0.2">
      <c r="C104" s="267"/>
      <c r="D104" s="267"/>
      <c r="E104" s="267"/>
      <c r="F104" s="267"/>
      <c r="G104" s="267"/>
      <c r="H104" s="267"/>
      <c r="I104" s="267"/>
      <c r="J104" s="267"/>
      <c r="K104" s="267"/>
      <c r="L104" s="267"/>
      <c r="M104" s="268"/>
      <c r="N104" s="268"/>
      <c r="O104" s="268"/>
      <c r="P104" s="268"/>
      <c r="Q104" s="268"/>
      <c r="R104" s="269"/>
      <c r="S104" s="270"/>
      <c r="T104" s="267"/>
      <c r="U104" s="267"/>
      <c r="V104" s="267"/>
      <c r="W104" s="267"/>
      <c r="X104" s="267"/>
      <c r="Y104" s="267"/>
      <c r="Z104" s="268"/>
      <c r="AA104" s="268"/>
      <c r="AB104" s="268"/>
      <c r="AC104" s="268"/>
      <c r="AD104" s="268"/>
      <c r="AE104" s="268"/>
      <c r="AF104" s="268"/>
      <c r="AG104" s="268"/>
      <c r="AH104" s="267"/>
    </row>
    <row r="105" spans="3:34" x14ac:dyDescent="0.2">
      <c r="C105" s="267"/>
      <c r="D105" s="267"/>
      <c r="E105" s="267"/>
      <c r="F105" s="267"/>
      <c r="G105" s="267"/>
      <c r="H105" s="267"/>
      <c r="I105" s="267"/>
      <c r="J105" s="267"/>
      <c r="K105" s="267"/>
      <c r="L105" s="267"/>
      <c r="M105" s="268"/>
      <c r="N105" s="268"/>
      <c r="O105" s="268"/>
      <c r="P105" s="268"/>
      <c r="Q105" s="268"/>
      <c r="R105" s="269"/>
      <c r="S105" s="270"/>
      <c r="T105" s="267"/>
      <c r="U105" s="267"/>
      <c r="V105" s="267"/>
      <c r="W105" s="267"/>
      <c r="X105" s="267"/>
      <c r="Y105" s="267"/>
      <c r="Z105" s="268"/>
      <c r="AA105" s="268"/>
      <c r="AB105" s="268"/>
      <c r="AC105" s="268"/>
      <c r="AD105" s="268"/>
      <c r="AE105" s="268"/>
      <c r="AF105" s="268"/>
      <c r="AG105" s="268"/>
      <c r="AH105" s="267"/>
    </row>
    <row r="106" spans="3:34" x14ac:dyDescent="0.2">
      <c r="C106" s="267"/>
      <c r="D106" s="267"/>
      <c r="E106" s="267"/>
      <c r="F106" s="267"/>
      <c r="G106" s="267"/>
      <c r="H106" s="267"/>
      <c r="I106" s="267"/>
      <c r="J106" s="267"/>
      <c r="K106" s="267"/>
      <c r="L106" s="267"/>
      <c r="M106" s="268"/>
      <c r="N106" s="268"/>
      <c r="O106" s="268"/>
      <c r="P106" s="268"/>
      <c r="Q106" s="268"/>
      <c r="R106" s="269"/>
      <c r="S106" s="270"/>
      <c r="T106" s="267"/>
      <c r="U106" s="267"/>
      <c r="V106" s="267"/>
      <c r="W106" s="267"/>
      <c r="X106" s="267"/>
      <c r="Y106" s="267"/>
      <c r="Z106" s="268"/>
      <c r="AA106" s="268"/>
      <c r="AB106" s="268"/>
      <c r="AC106" s="268"/>
      <c r="AD106" s="268"/>
      <c r="AE106" s="268"/>
      <c r="AF106" s="268"/>
      <c r="AG106" s="268"/>
      <c r="AH106" s="267"/>
    </row>
    <row r="107" spans="3:34" x14ac:dyDescent="0.2">
      <c r="C107" s="267"/>
      <c r="D107" s="267"/>
      <c r="E107" s="267"/>
      <c r="F107" s="267"/>
      <c r="G107" s="267"/>
      <c r="H107" s="267"/>
      <c r="I107" s="267"/>
      <c r="J107" s="267"/>
      <c r="K107" s="267"/>
      <c r="L107" s="267"/>
      <c r="M107" s="268"/>
      <c r="N107" s="268"/>
      <c r="O107" s="268"/>
      <c r="P107" s="268"/>
      <c r="Q107" s="268"/>
      <c r="R107" s="269"/>
      <c r="S107" s="270"/>
      <c r="T107" s="267"/>
      <c r="U107" s="267"/>
      <c r="V107" s="267"/>
      <c r="W107" s="267"/>
      <c r="X107" s="267"/>
      <c r="Y107" s="267"/>
      <c r="Z107" s="268"/>
      <c r="AA107" s="268"/>
      <c r="AB107" s="268"/>
      <c r="AC107" s="268"/>
      <c r="AD107" s="268"/>
      <c r="AE107" s="268"/>
      <c r="AF107" s="268"/>
      <c r="AG107" s="268"/>
      <c r="AH107" s="267"/>
    </row>
    <row r="108" spans="3:34" x14ac:dyDescent="0.2">
      <c r="C108" s="267"/>
      <c r="D108" s="267"/>
      <c r="E108" s="267"/>
      <c r="F108" s="267"/>
      <c r="G108" s="267"/>
      <c r="H108" s="267"/>
      <c r="I108" s="267"/>
      <c r="J108" s="267"/>
      <c r="K108" s="267"/>
      <c r="L108" s="267"/>
      <c r="M108" s="268"/>
      <c r="N108" s="268"/>
      <c r="O108" s="268"/>
      <c r="P108" s="268"/>
      <c r="Q108" s="268"/>
      <c r="R108" s="269"/>
      <c r="S108" s="270"/>
      <c r="T108" s="267"/>
      <c r="U108" s="267"/>
      <c r="V108" s="267"/>
      <c r="W108" s="267"/>
      <c r="X108" s="267"/>
      <c r="Y108" s="267"/>
      <c r="Z108" s="268"/>
      <c r="AA108" s="268"/>
      <c r="AB108" s="268"/>
      <c r="AC108" s="268"/>
      <c r="AD108" s="268"/>
      <c r="AE108" s="268"/>
      <c r="AF108" s="268"/>
      <c r="AG108" s="268"/>
      <c r="AH108" s="267"/>
    </row>
    <row r="109" spans="3:34" x14ac:dyDescent="0.2">
      <c r="C109" s="267"/>
      <c r="D109" s="267"/>
      <c r="E109" s="267"/>
      <c r="F109" s="267"/>
      <c r="G109" s="267"/>
      <c r="H109" s="267"/>
      <c r="I109" s="267"/>
      <c r="J109" s="267"/>
      <c r="K109" s="267"/>
      <c r="L109" s="267"/>
      <c r="M109" s="268"/>
      <c r="N109" s="268"/>
      <c r="O109" s="268"/>
      <c r="P109" s="268"/>
      <c r="Q109" s="268"/>
      <c r="R109" s="269"/>
      <c r="S109" s="270"/>
      <c r="T109" s="267"/>
      <c r="U109" s="267"/>
      <c r="V109" s="267"/>
      <c r="W109" s="267"/>
      <c r="X109" s="267"/>
      <c r="Y109" s="267"/>
      <c r="Z109" s="268"/>
      <c r="AA109" s="268"/>
      <c r="AB109" s="268"/>
      <c r="AC109" s="268"/>
      <c r="AD109" s="268"/>
      <c r="AE109" s="268"/>
      <c r="AF109" s="268"/>
      <c r="AG109" s="268"/>
      <c r="AH109" s="267"/>
    </row>
    <row r="110" spans="3:34" x14ac:dyDescent="0.2">
      <c r="C110" s="267"/>
      <c r="D110" s="267"/>
      <c r="E110" s="267"/>
      <c r="F110" s="267"/>
      <c r="G110" s="267"/>
      <c r="H110" s="267"/>
      <c r="I110" s="267"/>
      <c r="J110" s="267"/>
      <c r="K110" s="267"/>
      <c r="L110" s="267"/>
      <c r="M110" s="268"/>
      <c r="N110" s="268"/>
      <c r="O110" s="268"/>
      <c r="P110" s="268"/>
      <c r="Q110" s="268"/>
      <c r="R110" s="269"/>
      <c r="S110" s="270"/>
      <c r="T110" s="267"/>
      <c r="U110" s="267"/>
      <c r="V110" s="267"/>
      <c r="W110" s="267"/>
      <c r="X110" s="267"/>
      <c r="Y110" s="267"/>
      <c r="Z110" s="268"/>
      <c r="AA110" s="268"/>
      <c r="AB110" s="268"/>
      <c r="AC110" s="268"/>
      <c r="AD110" s="268"/>
      <c r="AE110" s="268"/>
      <c r="AF110" s="268"/>
      <c r="AG110" s="268"/>
      <c r="AH110" s="267"/>
    </row>
    <row r="111" spans="3:34" x14ac:dyDescent="0.2">
      <c r="C111" s="267"/>
      <c r="D111" s="267"/>
      <c r="E111" s="267"/>
      <c r="F111" s="267"/>
      <c r="G111" s="267"/>
      <c r="H111" s="267"/>
      <c r="I111" s="267"/>
      <c r="J111" s="267"/>
      <c r="K111" s="267"/>
      <c r="L111" s="267"/>
      <c r="M111" s="268"/>
      <c r="N111" s="268"/>
      <c r="O111" s="268"/>
      <c r="P111" s="268"/>
      <c r="Q111" s="268"/>
      <c r="R111" s="269"/>
      <c r="S111" s="270"/>
      <c r="T111" s="267"/>
      <c r="U111" s="267"/>
      <c r="V111" s="267"/>
      <c r="W111" s="267"/>
      <c r="X111" s="267"/>
      <c r="Y111" s="267"/>
      <c r="Z111" s="268"/>
      <c r="AA111" s="268"/>
      <c r="AB111" s="268"/>
      <c r="AC111" s="268"/>
      <c r="AD111" s="268"/>
      <c r="AE111" s="268"/>
      <c r="AF111" s="268"/>
      <c r="AG111" s="268"/>
      <c r="AH111" s="267"/>
    </row>
    <row r="112" spans="3:34" x14ac:dyDescent="0.2">
      <c r="C112" s="267"/>
      <c r="D112" s="267"/>
      <c r="E112" s="267"/>
      <c r="F112" s="267"/>
      <c r="G112" s="267"/>
      <c r="H112" s="267"/>
      <c r="I112" s="267"/>
      <c r="J112" s="267"/>
      <c r="K112" s="267"/>
      <c r="L112" s="267"/>
      <c r="M112" s="268"/>
      <c r="N112" s="268"/>
      <c r="O112" s="268"/>
      <c r="P112" s="268"/>
      <c r="Q112" s="268"/>
      <c r="R112" s="269"/>
      <c r="S112" s="270"/>
      <c r="T112" s="267"/>
      <c r="U112" s="267"/>
      <c r="V112" s="267"/>
      <c r="W112" s="267"/>
      <c r="X112" s="267"/>
      <c r="Y112" s="267"/>
      <c r="Z112" s="268"/>
      <c r="AA112" s="268"/>
      <c r="AB112" s="268"/>
      <c r="AC112" s="268"/>
      <c r="AD112" s="268"/>
      <c r="AE112" s="268"/>
      <c r="AF112" s="268"/>
      <c r="AG112" s="268"/>
      <c r="AH112" s="267"/>
    </row>
    <row r="113" spans="3:34" x14ac:dyDescent="0.2">
      <c r="C113" s="267"/>
      <c r="D113" s="267"/>
      <c r="E113" s="267"/>
      <c r="F113" s="267"/>
      <c r="G113" s="267"/>
      <c r="H113" s="267"/>
      <c r="I113" s="267"/>
      <c r="J113" s="267"/>
      <c r="K113" s="267"/>
      <c r="L113" s="267"/>
      <c r="M113" s="268"/>
      <c r="N113" s="268"/>
      <c r="O113" s="268"/>
      <c r="P113" s="268"/>
      <c r="Q113" s="268"/>
      <c r="R113" s="269"/>
      <c r="S113" s="270"/>
      <c r="T113" s="267"/>
      <c r="U113" s="267"/>
      <c r="V113" s="267"/>
      <c r="W113" s="267"/>
      <c r="X113" s="267"/>
      <c r="Y113" s="267"/>
      <c r="Z113" s="268"/>
      <c r="AA113" s="268"/>
      <c r="AB113" s="268"/>
      <c r="AC113" s="268"/>
      <c r="AD113" s="268"/>
      <c r="AE113" s="268"/>
      <c r="AF113" s="268"/>
      <c r="AG113" s="268"/>
      <c r="AH113" s="267"/>
    </row>
    <row r="114" spans="3:34" x14ac:dyDescent="0.2">
      <c r="C114" s="274"/>
      <c r="D114" s="274"/>
      <c r="E114" s="274"/>
      <c r="F114" s="274"/>
      <c r="G114" s="274"/>
      <c r="H114" s="274"/>
      <c r="I114" s="274"/>
      <c r="J114" s="274"/>
      <c r="K114" s="274"/>
      <c r="L114" s="274"/>
      <c r="M114" s="275"/>
      <c r="N114" s="275"/>
      <c r="O114" s="275"/>
      <c r="P114" s="275"/>
      <c r="Q114" s="275"/>
      <c r="R114" s="276"/>
      <c r="S114" s="277"/>
      <c r="T114" s="274"/>
      <c r="U114" s="274"/>
      <c r="V114" s="274"/>
      <c r="W114" s="274"/>
      <c r="X114" s="274"/>
      <c r="Y114" s="274"/>
      <c r="Z114" s="275"/>
      <c r="AA114" s="275"/>
      <c r="AB114" s="275"/>
      <c r="AC114" s="275"/>
      <c r="AD114" s="275"/>
      <c r="AE114" s="275"/>
      <c r="AF114" s="275"/>
      <c r="AG114" s="275"/>
      <c r="AH114" s="274"/>
    </row>
    <row r="115" spans="3:34" x14ac:dyDescent="0.2">
      <c r="C115" s="274"/>
      <c r="D115" s="274"/>
      <c r="E115" s="274"/>
      <c r="F115" s="274"/>
      <c r="G115" s="274"/>
      <c r="H115" s="274"/>
      <c r="I115" s="274"/>
      <c r="J115" s="274"/>
      <c r="K115" s="274"/>
      <c r="L115" s="274"/>
      <c r="M115" s="275"/>
      <c r="N115" s="275"/>
      <c r="O115" s="275"/>
      <c r="P115" s="275"/>
      <c r="Q115" s="275"/>
      <c r="R115" s="276"/>
      <c r="S115" s="277"/>
      <c r="T115" s="274"/>
      <c r="U115" s="274"/>
      <c r="V115" s="274"/>
      <c r="W115" s="274"/>
      <c r="X115" s="274"/>
      <c r="Y115" s="274"/>
      <c r="Z115" s="275"/>
      <c r="AA115" s="275"/>
      <c r="AB115" s="275"/>
      <c r="AC115" s="275"/>
      <c r="AD115" s="275"/>
      <c r="AE115" s="275"/>
      <c r="AF115" s="275"/>
      <c r="AG115" s="275"/>
      <c r="AH115" s="274"/>
    </row>
    <row r="116" spans="3:34" x14ac:dyDescent="0.2">
      <c r="C116" s="274"/>
      <c r="D116" s="274"/>
      <c r="E116" s="274"/>
      <c r="F116" s="274"/>
      <c r="G116" s="274"/>
      <c r="H116" s="274"/>
      <c r="I116" s="274"/>
      <c r="J116" s="274"/>
      <c r="K116" s="274"/>
      <c r="L116" s="274"/>
      <c r="M116" s="275"/>
      <c r="N116" s="275"/>
      <c r="O116" s="275"/>
      <c r="P116" s="275"/>
      <c r="Q116" s="275"/>
      <c r="R116" s="276"/>
      <c r="S116" s="277"/>
      <c r="T116" s="274"/>
      <c r="U116" s="274"/>
      <c r="V116" s="274"/>
      <c r="W116" s="274"/>
      <c r="X116" s="274"/>
      <c r="Y116" s="274"/>
      <c r="Z116" s="275"/>
      <c r="AA116" s="275"/>
      <c r="AB116" s="275"/>
      <c r="AC116" s="275"/>
      <c r="AD116" s="275"/>
      <c r="AE116" s="275"/>
      <c r="AF116" s="275"/>
      <c r="AG116" s="275"/>
      <c r="AH116" s="274"/>
    </row>
    <row r="117" spans="3:34" x14ac:dyDescent="0.2">
      <c r="C117" s="274"/>
      <c r="D117" s="274"/>
      <c r="E117" s="274"/>
      <c r="F117" s="274"/>
      <c r="G117" s="274"/>
      <c r="H117" s="274"/>
      <c r="I117" s="274"/>
      <c r="J117" s="274"/>
      <c r="K117" s="274"/>
      <c r="L117" s="274"/>
      <c r="M117" s="275"/>
      <c r="N117" s="275"/>
      <c r="O117" s="275"/>
      <c r="P117" s="275"/>
      <c r="Q117" s="275"/>
      <c r="R117" s="276"/>
      <c r="S117" s="277"/>
      <c r="T117" s="274"/>
      <c r="U117" s="274"/>
      <c r="V117" s="274"/>
      <c r="W117" s="274"/>
      <c r="X117" s="274"/>
      <c r="Y117" s="274"/>
      <c r="Z117" s="275"/>
      <c r="AA117" s="275"/>
      <c r="AB117" s="275"/>
      <c r="AC117" s="275"/>
      <c r="AD117" s="275"/>
      <c r="AE117" s="275"/>
      <c r="AF117" s="275"/>
      <c r="AG117" s="275"/>
      <c r="AH117" s="274"/>
    </row>
    <row r="118" spans="3:34" x14ac:dyDescent="0.2">
      <c r="C118" s="274"/>
      <c r="D118" s="274"/>
      <c r="E118" s="274"/>
      <c r="F118" s="274"/>
      <c r="G118" s="274"/>
      <c r="H118" s="274"/>
      <c r="I118" s="274"/>
      <c r="J118" s="274"/>
      <c r="K118" s="274"/>
      <c r="L118" s="274"/>
      <c r="M118" s="275"/>
      <c r="N118" s="275"/>
      <c r="O118" s="275"/>
      <c r="P118" s="275"/>
      <c r="Q118" s="275"/>
      <c r="R118" s="276"/>
      <c r="S118" s="277"/>
      <c r="T118" s="274"/>
      <c r="U118" s="274"/>
      <c r="V118" s="274"/>
      <c r="W118" s="274"/>
      <c r="X118" s="274"/>
      <c r="Y118" s="274"/>
      <c r="Z118" s="275"/>
      <c r="AA118" s="275"/>
      <c r="AB118" s="275"/>
      <c r="AC118" s="275"/>
      <c r="AD118" s="275"/>
      <c r="AE118" s="275"/>
      <c r="AF118" s="275"/>
      <c r="AG118" s="275"/>
      <c r="AH118" s="274"/>
    </row>
    <row r="119" spans="3:34" x14ac:dyDescent="0.2">
      <c r="C119" s="274"/>
      <c r="D119" s="274"/>
      <c r="E119" s="274"/>
      <c r="F119" s="274"/>
      <c r="G119" s="274"/>
      <c r="H119" s="274"/>
      <c r="I119" s="274"/>
      <c r="J119" s="274"/>
      <c r="K119" s="274"/>
      <c r="L119" s="274"/>
      <c r="M119" s="275"/>
      <c r="N119" s="275"/>
      <c r="O119" s="275"/>
      <c r="P119" s="275"/>
      <c r="Q119" s="275"/>
      <c r="R119" s="276"/>
      <c r="S119" s="277"/>
      <c r="T119" s="274"/>
      <c r="U119" s="274"/>
      <c r="V119" s="274"/>
      <c r="W119" s="274"/>
      <c r="X119" s="274"/>
      <c r="Y119" s="274"/>
      <c r="Z119" s="275"/>
      <c r="AA119" s="275"/>
      <c r="AB119" s="275"/>
      <c r="AC119" s="275"/>
      <c r="AD119" s="275"/>
      <c r="AE119" s="275"/>
      <c r="AF119" s="275"/>
      <c r="AG119" s="275"/>
      <c r="AH119" s="274"/>
    </row>
    <row r="120" spans="3:34" x14ac:dyDescent="0.2">
      <c r="C120" s="274"/>
      <c r="D120" s="274"/>
      <c r="E120" s="274"/>
      <c r="F120" s="274"/>
      <c r="G120" s="274"/>
      <c r="H120" s="274"/>
      <c r="I120" s="274"/>
      <c r="J120" s="274"/>
      <c r="K120" s="274"/>
      <c r="L120" s="274"/>
      <c r="M120" s="275"/>
      <c r="N120" s="275"/>
      <c r="O120" s="275"/>
      <c r="P120" s="275"/>
      <c r="Q120" s="275"/>
      <c r="R120" s="276"/>
      <c r="S120" s="277"/>
      <c r="T120" s="274"/>
      <c r="U120" s="274"/>
      <c r="V120" s="274"/>
      <c r="W120" s="274"/>
      <c r="X120" s="274"/>
      <c r="Y120" s="274"/>
      <c r="Z120" s="275"/>
      <c r="AA120" s="275"/>
      <c r="AB120" s="275"/>
      <c r="AC120" s="275"/>
      <c r="AD120" s="275"/>
      <c r="AE120" s="275"/>
      <c r="AF120" s="275"/>
      <c r="AG120" s="275"/>
      <c r="AH120" s="274"/>
    </row>
    <row r="121" spans="3:34" x14ac:dyDescent="0.2">
      <c r="C121" s="274"/>
      <c r="D121" s="274"/>
      <c r="E121" s="274"/>
      <c r="F121" s="274"/>
      <c r="G121" s="274"/>
      <c r="H121" s="274"/>
      <c r="I121" s="274"/>
      <c r="J121" s="274"/>
      <c r="K121" s="274"/>
      <c r="L121" s="274"/>
      <c r="M121" s="275"/>
      <c r="N121" s="275"/>
      <c r="O121" s="275"/>
      <c r="P121" s="275"/>
      <c r="Q121" s="275"/>
      <c r="R121" s="276"/>
      <c r="S121" s="277"/>
      <c r="T121" s="274"/>
      <c r="U121" s="274"/>
      <c r="V121" s="274"/>
      <c r="W121" s="274"/>
      <c r="X121" s="274"/>
      <c r="Y121" s="274"/>
      <c r="Z121" s="275"/>
      <c r="AA121" s="275"/>
      <c r="AB121" s="275"/>
      <c r="AC121" s="275"/>
      <c r="AD121" s="275"/>
      <c r="AE121" s="275"/>
      <c r="AF121" s="275"/>
      <c r="AG121" s="275"/>
      <c r="AH121" s="274"/>
    </row>
    <row r="122" spans="3:34" x14ac:dyDescent="0.2">
      <c r="C122" s="274"/>
      <c r="D122" s="274"/>
      <c r="E122" s="274"/>
      <c r="F122" s="274"/>
      <c r="G122" s="274"/>
      <c r="H122" s="274"/>
      <c r="I122" s="274"/>
      <c r="J122" s="274"/>
      <c r="K122" s="274"/>
      <c r="L122" s="274"/>
      <c r="M122" s="275"/>
      <c r="N122" s="275"/>
      <c r="O122" s="275"/>
      <c r="P122" s="275"/>
      <c r="Q122" s="275"/>
      <c r="R122" s="276"/>
      <c r="S122" s="277"/>
      <c r="T122" s="274"/>
      <c r="U122" s="274"/>
      <c r="V122" s="274"/>
      <c r="W122" s="274"/>
      <c r="X122" s="274"/>
      <c r="Y122" s="274"/>
      <c r="Z122" s="275"/>
      <c r="AA122" s="275"/>
      <c r="AB122" s="275"/>
      <c r="AC122" s="275"/>
      <c r="AD122" s="275"/>
      <c r="AE122" s="275"/>
      <c r="AF122" s="275"/>
      <c r="AG122" s="275"/>
      <c r="AH122" s="274"/>
    </row>
    <row r="123" spans="3:34" x14ac:dyDescent="0.2">
      <c r="C123" s="274"/>
      <c r="D123" s="274"/>
      <c r="E123" s="274"/>
      <c r="F123" s="274"/>
      <c r="G123" s="274"/>
      <c r="H123" s="274"/>
      <c r="I123" s="274"/>
      <c r="J123" s="274"/>
      <c r="K123" s="274"/>
      <c r="L123" s="274"/>
      <c r="M123" s="275"/>
      <c r="N123" s="275"/>
      <c r="O123" s="275"/>
      <c r="P123" s="275"/>
      <c r="Q123" s="275"/>
      <c r="R123" s="276"/>
      <c r="S123" s="277"/>
      <c r="T123" s="274"/>
      <c r="U123" s="274"/>
      <c r="V123" s="274"/>
      <c r="W123" s="274"/>
      <c r="X123" s="274"/>
      <c r="Y123" s="274"/>
      <c r="Z123" s="275"/>
      <c r="AA123" s="275"/>
      <c r="AB123" s="275"/>
      <c r="AC123" s="275"/>
      <c r="AD123" s="275"/>
      <c r="AE123" s="275"/>
      <c r="AF123" s="275"/>
      <c r="AG123" s="275"/>
      <c r="AH123" s="274"/>
    </row>
    <row r="124" spans="3:34" x14ac:dyDescent="0.2">
      <c r="C124" s="274"/>
      <c r="D124" s="274"/>
      <c r="E124" s="274"/>
      <c r="F124" s="274"/>
      <c r="G124" s="274"/>
      <c r="H124" s="274"/>
      <c r="I124" s="274"/>
      <c r="J124" s="274"/>
      <c r="K124" s="274"/>
      <c r="L124" s="274"/>
      <c r="M124" s="275"/>
      <c r="N124" s="275"/>
      <c r="O124" s="275"/>
      <c r="P124" s="275"/>
      <c r="Q124" s="275"/>
      <c r="R124" s="276"/>
      <c r="S124" s="277"/>
      <c r="T124" s="274"/>
      <c r="U124" s="274"/>
      <c r="V124" s="274"/>
      <c r="W124" s="274"/>
      <c r="X124" s="274"/>
      <c r="Y124" s="274"/>
      <c r="Z124" s="275"/>
      <c r="AA124" s="275"/>
      <c r="AB124" s="275"/>
      <c r="AC124" s="275"/>
      <c r="AD124" s="275"/>
      <c r="AE124" s="275"/>
      <c r="AF124" s="275"/>
      <c r="AG124" s="275"/>
      <c r="AH124" s="274"/>
    </row>
    <row r="125" spans="3:34" x14ac:dyDescent="0.2">
      <c r="C125" s="274"/>
      <c r="D125" s="274"/>
      <c r="E125" s="274"/>
      <c r="F125" s="274"/>
      <c r="G125" s="274"/>
      <c r="H125" s="274"/>
      <c r="I125" s="274"/>
      <c r="J125" s="274"/>
      <c r="K125" s="274"/>
      <c r="L125" s="274"/>
      <c r="M125" s="275"/>
      <c r="N125" s="275"/>
      <c r="O125" s="275"/>
      <c r="P125" s="275"/>
      <c r="Q125" s="275"/>
      <c r="R125" s="276"/>
      <c r="S125" s="277"/>
      <c r="T125" s="274"/>
      <c r="U125" s="274"/>
      <c r="V125" s="274"/>
      <c r="W125" s="274"/>
      <c r="X125" s="274"/>
      <c r="Y125" s="274"/>
      <c r="Z125" s="275"/>
      <c r="AA125" s="275"/>
      <c r="AB125" s="275"/>
      <c r="AC125" s="275"/>
      <c r="AD125" s="275"/>
      <c r="AE125" s="275"/>
      <c r="AF125" s="275"/>
      <c r="AG125" s="275"/>
      <c r="AH125" s="274"/>
    </row>
    <row r="126" spans="3:34" x14ac:dyDescent="0.2">
      <c r="C126" s="274"/>
      <c r="D126" s="274"/>
      <c r="E126" s="274"/>
      <c r="F126" s="274"/>
      <c r="G126" s="274"/>
      <c r="H126" s="274"/>
      <c r="I126" s="274"/>
      <c r="J126" s="274"/>
      <c r="K126" s="274"/>
      <c r="L126" s="274"/>
      <c r="M126" s="275"/>
      <c r="N126" s="275"/>
      <c r="O126" s="275"/>
      <c r="P126" s="275"/>
      <c r="Q126" s="275"/>
      <c r="R126" s="276"/>
      <c r="S126" s="277"/>
      <c r="T126" s="274"/>
      <c r="U126" s="274"/>
      <c r="V126" s="274"/>
      <c r="W126" s="274"/>
      <c r="X126" s="274"/>
      <c r="Y126" s="274"/>
      <c r="Z126" s="275"/>
      <c r="AA126" s="275"/>
      <c r="AB126" s="275"/>
      <c r="AC126" s="275"/>
      <c r="AD126" s="275"/>
      <c r="AE126" s="275"/>
      <c r="AF126" s="275"/>
      <c r="AG126" s="275"/>
      <c r="AH126" s="274"/>
    </row>
    <row r="127" spans="3:34" x14ac:dyDescent="0.2">
      <c r="C127" s="274"/>
      <c r="D127" s="274"/>
      <c r="E127" s="274"/>
      <c r="F127" s="274"/>
      <c r="G127" s="274"/>
      <c r="H127" s="274"/>
      <c r="I127" s="274"/>
      <c r="J127" s="274"/>
      <c r="K127" s="274"/>
      <c r="L127" s="274"/>
      <c r="M127" s="275"/>
      <c r="N127" s="275"/>
      <c r="O127" s="275"/>
      <c r="P127" s="275"/>
      <c r="Q127" s="275"/>
      <c r="R127" s="276"/>
      <c r="S127" s="277"/>
      <c r="T127" s="274"/>
      <c r="U127" s="274"/>
      <c r="V127" s="274"/>
      <c r="W127" s="274"/>
      <c r="X127" s="274"/>
      <c r="Y127" s="274"/>
      <c r="Z127" s="275"/>
      <c r="AA127" s="275"/>
      <c r="AB127" s="275"/>
      <c r="AC127" s="275"/>
      <c r="AD127" s="275"/>
      <c r="AE127" s="275"/>
      <c r="AF127" s="275"/>
      <c r="AG127" s="275"/>
      <c r="AH127" s="274"/>
    </row>
    <row r="128" spans="3:34" x14ac:dyDescent="0.2">
      <c r="C128" s="274"/>
      <c r="D128" s="274"/>
      <c r="E128" s="274"/>
      <c r="F128" s="274"/>
      <c r="G128" s="274"/>
      <c r="H128" s="274"/>
      <c r="I128" s="274"/>
      <c r="J128" s="274"/>
      <c r="K128" s="274"/>
      <c r="L128" s="274"/>
      <c r="M128" s="275"/>
      <c r="N128" s="275"/>
      <c r="O128" s="275"/>
      <c r="P128" s="275"/>
      <c r="Q128" s="275"/>
      <c r="R128" s="276"/>
      <c r="S128" s="277"/>
      <c r="T128" s="274"/>
      <c r="U128" s="274"/>
      <c r="V128" s="274"/>
      <c r="W128" s="274"/>
      <c r="X128" s="274"/>
      <c r="Y128" s="274"/>
      <c r="Z128" s="275"/>
      <c r="AA128" s="275"/>
      <c r="AB128" s="275"/>
      <c r="AC128" s="275"/>
      <c r="AD128" s="275"/>
      <c r="AE128" s="275"/>
      <c r="AF128" s="275"/>
      <c r="AG128" s="275"/>
      <c r="AH128" s="274"/>
    </row>
    <row r="129" spans="3:34" x14ac:dyDescent="0.2">
      <c r="C129" s="274"/>
      <c r="D129" s="274"/>
      <c r="E129" s="274"/>
      <c r="F129" s="274"/>
      <c r="G129" s="274"/>
      <c r="H129" s="274"/>
      <c r="I129" s="274"/>
      <c r="J129" s="274"/>
      <c r="K129" s="274"/>
      <c r="L129" s="274"/>
      <c r="M129" s="275"/>
      <c r="N129" s="275"/>
      <c r="O129" s="275"/>
      <c r="P129" s="275"/>
      <c r="Q129" s="275"/>
      <c r="R129" s="276"/>
      <c r="S129" s="277"/>
      <c r="T129" s="274"/>
      <c r="U129" s="274"/>
      <c r="V129" s="274"/>
      <c r="W129" s="274"/>
      <c r="X129" s="274"/>
      <c r="Y129" s="274"/>
      <c r="Z129" s="275"/>
      <c r="AA129" s="275"/>
      <c r="AB129" s="275"/>
      <c r="AC129" s="275"/>
      <c r="AD129" s="275"/>
      <c r="AE129" s="275"/>
      <c r="AF129" s="275"/>
      <c r="AG129" s="275"/>
      <c r="AH129" s="274"/>
    </row>
    <row r="130" spans="3:34" x14ac:dyDescent="0.2">
      <c r="C130" s="274"/>
      <c r="D130" s="274"/>
      <c r="E130" s="274"/>
      <c r="F130" s="274"/>
      <c r="G130" s="274"/>
      <c r="H130" s="274"/>
      <c r="I130" s="274"/>
      <c r="J130" s="274"/>
      <c r="K130" s="274"/>
      <c r="L130" s="274"/>
      <c r="M130" s="275"/>
      <c r="N130" s="275"/>
      <c r="O130" s="275"/>
      <c r="P130" s="275"/>
      <c r="Q130" s="275"/>
      <c r="R130" s="276"/>
      <c r="S130" s="277"/>
      <c r="T130" s="274"/>
      <c r="U130" s="274"/>
      <c r="V130" s="274"/>
      <c r="W130" s="274"/>
      <c r="X130" s="274"/>
      <c r="Y130" s="274"/>
      <c r="Z130" s="275"/>
      <c r="AA130" s="275"/>
      <c r="AB130" s="275"/>
      <c r="AC130" s="275"/>
      <c r="AD130" s="275"/>
      <c r="AE130" s="275"/>
      <c r="AF130" s="275"/>
      <c r="AG130" s="275"/>
      <c r="AH130" s="274"/>
    </row>
    <row r="131" spans="3:34" x14ac:dyDescent="0.2">
      <c r="C131" s="274"/>
      <c r="D131" s="274"/>
      <c r="E131" s="274"/>
      <c r="F131" s="274"/>
      <c r="G131" s="274"/>
      <c r="H131" s="274"/>
      <c r="I131" s="274"/>
      <c r="J131" s="274"/>
      <c r="K131" s="274"/>
      <c r="L131" s="274"/>
      <c r="M131" s="275"/>
      <c r="N131" s="275"/>
      <c r="O131" s="275"/>
      <c r="P131" s="275"/>
      <c r="Q131" s="275"/>
      <c r="R131" s="276"/>
      <c r="S131" s="277"/>
      <c r="T131" s="274"/>
      <c r="U131" s="274"/>
      <c r="V131" s="274"/>
      <c r="W131" s="274"/>
      <c r="X131" s="274"/>
      <c r="Y131" s="274"/>
      <c r="Z131" s="275"/>
      <c r="AA131" s="275"/>
      <c r="AB131" s="275"/>
      <c r="AC131" s="275"/>
      <c r="AD131" s="275"/>
      <c r="AE131" s="275"/>
      <c r="AF131" s="275"/>
      <c r="AG131" s="275"/>
      <c r="AH131" s="274"/>
    </row>
    <row r="132" spans="3:34" x14ac:dyDescent="0.2">
      <c r="C132" s="274"/>
      <c r="D132" s="274"/>
      <c r="E132" s="274"/>
      <c r="F132" s="274"/>
      <c r="G132" s="274"/>
      <c r="H132" s="274"/>
      <c r="I132" s="274"/>
      <c r="J132" s="274"/>
      <c r="K132" s="274"/>
      <c r="L132" s="274"/>
      <c r="M132" s="275"/>
      <c r="N132" s="275"/>
      <c r="O132" s="275"/>
      <c r="P132" s="275"/>
      <c r="Q132" s="275"/>
      <c r="R132" s="276"/>
      <c r="S132" s="277"/>
      <c r="T132" s="274"/>
      <c r="U132" s="274"/>
      <c r="V132" s="274"/>
      <c r="W132" s="274"/>
      <c r="X132" s="274"/>
      <c r="Y132" s="274"/>
      <c r="Z132" s="275"/>
      <c r="AA132" s="275"/>
      <c r="AB132" s="275"/>
      <c r="AC132" s="275"/>
      <c r="AD132" s="275"/>
      <c r="AE132" s="275"/>
      <c r="AF132" s="275"/>
      <c r="AG132" s="275"/>
      <c r="AH132" s="274"/>
    </row>
    <row r="133" spans="3:34" x14ac:dyDescent="0.2">
      <c r="C133" s="274"/>
      <c r="D133" s="274"/>
      <c r="E133" s="274"/>
      <c r="F133" s="274"/>
      <c r="G133" s="274"/>
      <c r="H133" s="274"/>
      <c r="I133" s="274"/>
      <c r="J133" s="274"/>
      <c r="K133" s="274"/>
      <c r="L133" s="274"/>
      <c r="M133" s="275"/>
      <c r="N133" s="275"/>
      <c r="O133" s="275"/>
      <c r="P133" s="275"/>
      <c r="Q133" s="275"/>
      <c r="R133" s="276"/>
      <c r="S133" s="277"/>
      <c r="T133" s="274"/>
      <c r="U133" s="274"/>
      <c r="V133" s="274"/>
      <c r="W133" s="274"/>
      <c r="X133" s="274"/>
      <c r="Y133" s="274"/>
      <c r="Z133" s="275"/>
      <c r="AA133" s="275"/>
      <c r="AB133" s="275"/>
      <c r="AC133" s="275"/>
      <c r="AD133" s="275"/>
      <c r="AE133" s="275"/>
      <c r="AF133" s="275"/>
      <c r="AG133" s="275"/>
      <c r="AH133" s="274"/>
    </row>
    <row r="134" spans="3:34" x14ac:dyDescent="0.2">
      <c r="C134" s="274"/>
      <c r="D134" s="274"/>
      <c r="E134" s="274"/>
      <c r="F134" s="274"/>
      <c r="G134" s="274"/>
      <c r="H134" s="274"/>
      <c r="I134" s="274"/>
      <c r="J134" s="274"/>
      <c r="K134" s="274"/>
      <c r="L134" s="274"/>
      <c r="M134" s="275"/>
      <c r="N134" s="275"/>
      <c r="O134" s="275"/>
      <c r="P134" s="275"/>
      <c r="Q134" s="275"/>
      <c r="R134" s="276"/>
      <c r="S134" s="277"/>
      <c r="T134" s="274"/>
      <c r="U134" s="274"/>
      <c r="V134" s="274"/>
      <c r="W134" s="274"/>
      <c r="X134" s="274"/>
      <c r="Y134" s="274"/>
      <c r="Z134" s="275"/>
      <c r="AA134" s="275"/>
      <c r="AB134" s="275"/>
      <c r="AC134" s="275"/>
      <c r="AD134" s="275"/>
      <c r="AE134" s="275"/>
      <c r="AF134" s="275"/>
      <c r="AG134" s="275"/>
      <c r="AH134" s="274"/>
    </row>
    <row r="135" spans="3:34" x14ac:dyDescent="0.2">
      <c r="C135" s="274"/>
      <c r="D135" s="274"/>
      <c r="E135" s="274"/>
      <c r="F135" s="274"/>
      <c r="G135" s="274"/>
      <c r="H135" s="274"/>
      <c r="I135" s="274"/>
      <c r="J135" s="274"/>
      <c r="K135" s="274"/>
      <c r="L135" s="274"/>
      <c r="M135" s="275"/>
      <c r="N135" s="275"/>
      <c r="O135" s="275"/>
      <c r="P135" s="275"/>
      <c r="Q135" s="275"/>
      <c r="R135" s="276"/>
      <c r="S135" s="277"/>
      <c r="T135" s="274"/>
      <c r="U135" s="274"/>
      <c r="V135" s="274"/>
      <c r="W135" s="274"/>
      <c r="X135" s="274"/>
      <c r="Y135" s="274"/>
      <c r="Z135" s="275"/>
      <c r="AA135" s="275"/>
      <c r="AB135" s="275"/>
      <c r="AC135" s="275"/>
      <c r="AD135" s="275"/>
      <c r="AE135" s="275"/>
      <c r="AF135" s="275"/>
      <c r="AG135" s="275"/>
      <c r="AH135" s="274"/>
    </row>
    <row r="136" spans="3:34" x14ac:dyDescent="0.2">
      <c r="C136" s="274"/>
      <c r="D136" s="274"/>
      <c r="E136" s="274"/>
      <c r="F136" s="274"/>
      <c r="G136" s="274"/>
      <c r="H136" s="274"/>
      <c r="I136" s="274"/>
      <c r="J136" s="274"/>
      <c r="K136" s="274"/>
      <c r="L136" s="274"/>
      <c r="M136" s="275"/>
      <c r="N136" s="275"/>
      <c r="O136" s="275"/>
      <c r="P136" s="275"/>
      <c r="Q136" s="275"/>
      <c r="R136" s="276"/>
      <c r="S136" s="277"/>
      <c r="T136" s="274"/>
      <c r="U136" s="274"/>
      <c r="V136" s="274"/>
      <c r="W136" s="274"/>
      <c r="X136" s="274"/>
      <c r="Y136" s="274"/>
      <c r="Z136" s="275"/>
      <c r="AA136" s="275"/>
      <c r="AB136" s="275"/>
      <c r="AC136" s="275"/>
      <c r="AD136" s="275"/>
      <c r="AE136" s="275"/>
      <c r="AF136" s="275"/>
      <c r="AG136" s="275"/>
      <c r="AH136" s="274"/>
    </row>
    <row r="137" spans="3:34" x14ac:dyDescent="0.2">
      <c r="C137" s="274"/>
      <c r="D137" s="274"/>
      <c r="E137" s="274"/>
      <c r="F137" s="274"/>
      <c r="G137" s="274"/>
      <c r="H137" s="274"/>
      <c r="I137" s="274"/>
      <c r="J137" s="274"/>
      <c r="K137" s="274"/>
      <c r="L137" s="274"/>
      <c r="M137" s="275"/>
      <c r="N137" s="275"/>
      <c r="O137" s="275"/>
      <c r="P137" s="275"/>
      <c r="Q137" s="275"/>
      <c r="R137" s="276"/>
      <c r="S137" s="277"/>
      <c r="T137" s="274"/>
      <c r="U137" s="274"/>
      <c r="V137" s="274"/>
      <c r="W137" s="274"/>
      <c r="X137" s="274"/>
      <c r="Y137" s="274"/>
      <c r="Z137" s="275"/>
      <c r="AA137" s="275"/>
      <c r="AB137" s="275"/>
      <c r="AC137" s="275"/>
      <c r="AD137" s="275"/>
      <c r="AE137" s="275"/>
      <c r="AF137" s="275"/>
      <c r="AG137" s="275"/>
      <c r="AH137" s="274"/>
    </row>
    <row r="138" spans="3:34" x14ac:dyDescent="0.2">
      <c r="C138" s="274"/>
      <c r="D138" s="274"/>
      <c r="E138" s="274"/>
      <c r="F138" s="274"/>
      <c r="G138" s="274"/>
      <c r="H138" s="274"/>
      <c r="I138" s="274"/>
      <c r="J138" s="274"/>
      <c r="K138" s="274"/>
      <c r="L138" s="274"/>
      <c r="M138" s="275"/>
      <c r="N138" s="275"/>
      <c r="O138" s="275"/>
      <c r="P138" s="275"/>
      <c r="Q138" s="275"/>
      <c r="R138" s="276"/>
      <c r="S138" s="277"/>
      <c r="T138" s="274"/>
      <c r="U138" s="274"/>
      <c r="V138" s="274"/>
      <c r="W138" s="274"/>
      <c r="X138" s="274"/>
      <c r="Y138" s="274"/>
      <c r="Z138" s="275"/>
      <c r="AA138" s="275"/>
      <c r="AB138" s="275"/>
      <c r="AC138" s="275"/>
      <c r="AD138" s="275"/>
      <c r="AE138" s="275"/>
      <c r="AF138" s="275"/>
      <c r="AG138" s="275"/>
      <c r="AH138" s="274"/>
    </row>
    <row r="139" spans="3:34" x14ac:dyDescent="0.2">
      <c r="C139" s="274"/>
      <c r="D139" s="274"/>
      <c r="E139" s="274"/>
      <c r="F139" s="274"/>
      <c r="G139" s="274"/>
      <c r="H139" s="274"/>
      <c r="I139" s="274"/>
      <c r="J139" s="274"/>
      <c r="K139" s="274"/>
      <c r="L139" s="274"/>
      <c r="M139" s="275"/>
      <c r="N139" s="275"/>
      <c r="O139" s="275"/>
      <c r="P139" s="275"/>
      <c r="Q139" s="275"/>
      <c r="R139" s="276"/>
      <c r="S139" s="277"/>
      <c r="T139" s="274"/>
      <c r="U139" s="274"/>
      <c r="V139" s="274"/>
      <c r="W139" s="274"/>
      <c r="X139" s="274"/>
      <c r="Y139" s="274"/>
      <c r="Z139" s="275"/>
      <c r="AA139" s="275"/>
      <c r="AB139" s="275"/>
      <c r="AC139" s="275"/>
      <c r="AD139" s="275"/>
      <c r="AE139" s="275"/>
      <c r="AF139" s="275"/>
      <c r="AG139" s="275"/>
      <c r="AH139" s="274"/>
    </row>
    <row r="140" spans="3:34" x14ac:dyDescent="0.2">
      <c r="C140" s="274"/>
      <c r="D140" s="274"/>
      <c r="E140" s="274"/>
      <c r="F140" s="274"/>
      <c r="G140" s="274"/>
      <c r="H140" s="274"/>
      <c r="I140" s="274"/>
      <c r="J140" s="274"/>
      <c r="K140" s="274"/>
      <c r="L140" s="274"/>
      <c r="M140" s="275"/>
      <c r="N140" s="275"/>
      <c r="O140" s="275"/>
      <c r="P140" s="275"/>
      <c r="Q140" s="275"/>
      <c r="R140" s="276"/>
      <c r="S140" s="277"/>
      <c r="T140" s="274"/>
      <c r="U140" s="274"/>
      <c r="V140" s="274"/>
      <c r="W140" s="274"/>
      <c r="X140" s="274"/>
      <c r="Y140" s="274"/>
      <c r="Z140" s="275"/>
      <c r="AA140" s="275"/>
      <c r="AB140" s="275"/>
      <c r="AC140" s="275"/>
      <c r="AD140" s="275"/>
      <c r="AE140" s="275"/>
      <c r="AF140" s="275"/>
      <c r="AG140" s="275"/>
      <c r="AH140" s="274"/>
    </row>
    <row r="141" spans="3:34" x14ac:dyDescent="0.2">
      <c r="C141" s="274"/>
      <c r="D141" s="274"/>
      <c r="E141" s="274"/>
      <c r="F141" s="274"/>
      <c r="G141" s="274"/>
      <c r="H141" s="274"/>
      <c r="I141" s="274"/>
      <c r="J141" s="274"/>
      <c r="K141" s="274"/>
      <c r="L141" s="274"/>
      <c r="M141" s="275"/>
      <c r="N141" s="275"/>
      <c r="O141" s="275"/>
      <c r="P141" s="275"/>
      <c r="Q141" s="275"/>
      <c r="R141" s="276"/>
      <c r="S141" s="277"/>
      <c r="T141" s="274"/>
      <c r="U141" s="274"/>
      <c r="V141" s="274"/>
      <c r="W141" s="274"/>
      <c r="X141" s="274"/>
      <c r="Y141" s="274"/>
      <c r="Z141" s="275"/>
      <c r="AA141" s="275"/>
      <c r="AB141" s="275"/>
      <c r="AC141" s="275"/>
      <c r="AD141" s="275"/>
      <c r="AE141" s="275"/>
      <c r="AF141" s="275"/>
      <c r="AG141" s="275"/>
      <c r="AH141" s="274"/>
    </row>
    <row r="142" spans="3:34" x14ac:dyDescent="0.2">
      <c r="C142" s="274"/>
      <c r="D142" s="274"/>
      <c r="E142" s="274"/>
      <c r="F142" s="274"/>
      <c r="G142" s="274"/>
      <c r="H142" s="274"/>
      <c r="I142" s="274"/>
      <c r="J142" s="274"/>
      <c r="K142" s="274"/>
      <c r="L142" s="274"/>
      <c r="M142" s="275"/>
      <c r="N142" s="275"/>
      <c r="O142" s="275"/>
      <c r="P142" s="275"/>
      <c r="Q142" s="275"/>
      <c r="R142" s="276"/>
      <c r="S142" s="277"/>
      <c r="T142" s="274"/>
      <c r="U142" s="274"/>
      <c r="V142" s="274"/>
      <c r="W142" s="274"/>
      <c r="X142" s="274"/>
      <c r="Y142" s="274"/>
      <c r="Z142" s="275"/>
      <c r="AA142" s="275"/>
      <c r="AB142" s="275"/>
      <c r="AC142" s="275"/>
      <c r="AD142" s="275"/>
      <c r="AE142" s="275"/>
      <c r="AF142" s="275"/>
      <c r="AG142" s="275"/>
      <c r="AH142" s="274"/>
    </row>
    <row r="143" spans="3:34" x14ac:dyDescent="0.2">
      <c r="C143" s="274"/>
      <c r="D143" s="274"/>
      <c r="E143" s="274"/>
      <c r="F143" s="274"/>
      <c r="G143" s="274"/>
      <c r="H143" s="274"/>
      <c r="I143" s="274"/>
      <c r="J143" s="274"/>
      <c r="K143" s="274"/>
      <c r="L143" s="274"/>
      <c r="M143" s="275"/>
      <c r="N143" s="275"/>
      <c r="O143" s="275"/>
      <c r="P143" s="275"/>
      <c r="Q143" s="275"/>
      <c r="R143" s="276"/>
      <c r="S143" s="277"/>
      <c r="T143" s="274"/>
      <c r="U143" s="274"/>
      <c r="V143" s="274"/>
      <c r="W143" s="274"/>
      <c r="X143" s="274"/>
      <c r="Y143" s="274"/>
      <c r="Z143" s="275"/>
      <c r="AA143" s="275"/>
      <c r="AB143" s="275"/>
      <c r="AC143" s="275"/>
      <c r="AD143" s="275"/>
      <c r="AE143" s="275"/>
      <c r="AF143" s="275"/>
      <c r="AG143" s="275"/>
      <c r="AH143" s="274"/>
    </row>
    <row r="144" spans="3:34" x14ac:dyDescent="0.2">
      <c r="C144" s="274"/>
      <c r="D144" s="274"/>
      <c r="E144" s="274"/>
      <c r="F144" s="274"/>
      <c r="G144" s="274"/>
      <c r="H144" s="274"/>
      <c r="I144" s="274"/>
      <c r="J144" s="274"/>
      <c r="K144" s="274"/>
      <c r="L144" s="274"/>
      <c r="M144" s="275"/>
      <c r="N144" s="275"/>
      <c r="O144" s="275"/>
      <c r="P144" s="275"/>
      <c r="Q144" s="275"/>
      <c r="R144" s="276"/>
      <c r="S144" s="277"/>
      <c r="T144" s="274"/>
      <c r="U144" s="274"/>
      <c r="V144" s="274"/>
      <c r="W144" s="274"/>
      <c r="X144" s="274"/>
      <c r="Y144" s="274"/>
      <c r="Z144" s="275"/>
      <c r="AA144" s="275"/>
      <c r="AB144" s="275"/>
      <c r="AC144" s="275"/>
      <c r="AD144" s="275"/>
      <c r="AE144" s="275"/>
      <c r="AF144" s="275"/>
      <c r="AG144" s="275"/>
      <c r="AH144" s="274"/>
    </row>
    <row r="145" spans="3:34" x14ac:dyDescent="0.2">
      <c r="C145" s="274"/>
      <c r="D145" s="274"/>
      <c r="E145" s="274"/>
      <c r="F145" s="274"/>
      <c r="G145" s="274"/>
      <c r="H145" s="274"/>
      <c r="I145" s="274"/>
      <c r="J145" s="274"/>
      <c r="K145" s="274"/>
      <c r="L145" s="274"/>
      <c r="M145" s="275"/>
      <c r="N145" s="275"/>
      <c r="O145" s="275"/>
      <c r="P145" s="275"/>
      <c r="Q145" s="275"/>
      <c r="R145" s="276"/>
      <c r="S145" s="277"/>
      <c r="T145" s="274"/>
      <c r="U145" s="274"/>
      <c r="V145" s="274"/>
      <c r="W145" s="274"/>
      <c r="X145" s="274"/>
      <c r="Y145" s="274"/>
      <c r="Z145" s="275"/>
      <c r="AA145" s="275"/>
      <c r="AB145" s="275"/>
      <c r="AC145" s="275"/>
      <c r="AD145" s="275"/>
      <c r="AE145" s="275"/>
      <c r="AF145" s="275"/>
      <c r="AG145" s="275"/>
      <c r="AH145" s="274"/>
    </row>
    <row r="146" spans="3:34" x14ac:dyDescent="0.2">
      <c r="C146" s="274"/>
      <c r="D146" s="274"/>
      <c r="E146" s="274"/>
      <c r="F146" s="274"/>
      <c r="G146" s="274"/>
      <c r="H146" s="274"/>
      <c r="I146" s="274"/>
      <c r="J146" s="274"/>
      <c r="K146" s="274"/>
      <c r="L146" s="274"/>
      <c r="M146" s="275"/>
      <c r="N146" s="275"/>
      <c r="O146" s="275"/>
      <c r="P146" s="275"/>
      <c r="Q146" s="275"/>
      <c r="R146" s="276"/>
      <c r="S146" s="277"/>
      <c r="T146" s="274"/>
      <c r="U146" s="274"/>
      <c r="V146" s="274"/>
      <c r="W146" s="274"/>
      <c r="X146" s="274"/>
      <c r="Y146" s="274"/>
      <c r="Z146" s="275"/>
      <c r="AA146" s="275"/>
      <c r="AB146" s="275"/>
      <c r="AC146" s="275"/>
      <c r="AD146" s="275"/>
      <c r="AE146" s="275"/>
      <c r="AF146" s="275"/>
      <c r="AG146" s="275"/>
      <c r="AH146" s="274"/>
    </row>
    <row r="147" spans="3:34" x14ac:dyDescent="0.2">
      <c r="C147" s="274"/>
      <c r="D147" s="274"/>
      <c r="E147" s="274"/>
      <c r="F147" s="274"/>
      <c r="G147" s="274"/>
      <c r="H147" s="274"/>
      <c r="I147" s="274"/>
      <c r="J147" s="274"/>
      <c r="K147" s="274"/>
      <c r="L147" s="274"/>
      <c r="M147" s="275"/>
      <c r="N147" s="275"/>
      <c r="O147" s="275"/>
      <c r="P147" s="275"/>
      <c r="Q147" s="275"/>
      <c r="R147" s="276"/>
      <c r="S147" s="277"/>
      <c r="T147" s="274"/>
      <c r="U147" s="274"/>
      <c r="V147" s="274"/>
      <c r="W147" s="274"/>
      <c r="X147" s="274"/>
      <c r="Y147" s="274"/>
      <c r="Z147" s="275"/>
      <c r="AA147" s="275"/>
      <c r="AB147" s="275"/>
      <c r="AC147" s="275"/>
      <c r="AD147" s="275"/>
      <c r="AE147" s="275"/>
      <c r="AF147" s="275"/>
      <c r="AG147" s="275"/>
      <c r="AH147" s="274"/>
    </row>
    <row r="148" spans="3:34" x14ac:dyDescent="0.2">
      <c r="C148" s="274"/>
      <c r="D148" s="274"/>
      <c r="E148" s="274"/>
      <c r="F148" s="274"/>
      <c r="G148" s="274"/>
      <c r="H148" s="274"/>
      <c r="I148" s="274"/>
      <c r="J148" s="274"/>
      <c r="K148" s="274"/>
      <c r="L148" s="274"/>
      <c r="M148" s="275"/>
      <c r="N148" s="275"/>
      <c r="O148" s="275"/>
      <c r="P148" s="275"/>
      <c r="Q148" s="275"/>
      <c r="R148" s="276"/>
      <c r="S148" s="277"/>
      <c r="T148" s="274"/>
      <c r="U148" s="274"/>
      <c r="V148" s="274"/>
      <c r="W148" s="274"/>
      <c r="X148" s="274"/>
      <c r="Y148" s="274"/>
      <c r="Z148" s="275"/>
      <c r="AA148" s="275"/>
      <c r="AB148" s="275"/>
      <c r="AC148" s="275"/>
      <c r="AD148" s="275"/>
      <c r="AE148" s="275"/>
      <c r="AF148" s="275"/>
      <c r="AG148" s="275"/>
      <c r="AH148" s="274"/>
    </row>
    <row r="149" spans="3:34" x14ac:dyDescent="0.2">
      <c r="C149" s="274"/>
      <c r="D149" s="274"/>
      <c r="E149" s="274"/>
      <c r="F149" s="274"/>
      <c r="G149" s="274"/>
      <c r="H149" s="274"/>
      <c r="I149" s="274"/>
      <c r="J149" s="274"/>
      <c r="K149" s="274"/>
      <c r="L149" s="274"/>
      <c r="M149" s="275"/>
      <c r="N149" s="275"/>
      <c r="O149" s="275"/>
      <c r="P149" s="275"/>
      <c r="Q149" s="275"/>
      <c r="R149" s="276"/>
      <c r="S149" s="277"/>
      <c r="T149" s="274"/>
      <c r="U149" s="274"/>
      <c r="V149" s="274"/>
      <c r="W149" s="274"/>
      <c r="X149" s="274"/>
      <c r="Y149" s="274"/>
      <c r="Z149" s="275"/>
      <c r="AA149" s="275"/>
      <c r="AB149" s="275"/>
      <c r="AC149" s="275"/>
      <c r="AD149" s="275"/>
      <c r="AE149" s="275"/>
      <c r="AF149" s="275"/>
      <c r="AG149" s="275"/>
      <c r="AH149" s="274"/>
    </row>
    <row r="150" spans="3:34" x14ac:dyDescent="0.2">
      <c r="C150" s="274"/>
      <c r="D150" s="274"/>
      <c r="E150" s="274"/>
      <c r="F150" s="274"/>
      <c r="G150" s="274"/>
      <c r="H150" s="274"/>
      <c r="I150" s="274"/>
      <c r="J150" s="274"/>
      <c r="K150" s="274"/>
      <c r="L150" s="274"/>
      <c r="M150" s="275"/>
      <c r="N150" s="275"/>
      <c r="O150" s="275"/>
      <c r="P150" s="275"/>
      <c r="Q150" s="275"/>
      <c r="R150" s="276"/>
      <c r="S150" s="277"/>
      <c r="T150" s="274"/>
      <c r="U150" s="274"/>
      <c r="V150" s="274"/>
      <c r="W150" s="274"/>
      <c r="X150" s="274"/>
      <c r="Y150" s="274"/>
      <c r="Z150" s="275"/>
      <c r="AA150" s="275"/>
      <c r="AB150" s="275"/>
      <c r="AC150" s="275"/>
      <c r="AD150" s="275"/>
      <c r="AE150" s="275"/>
      <c r="AF150" s="275"/>
      <c r="AG150" s="275"/>
      <c r="AH150" s="274"/>
    </row>
    <row r="151" spans="3:34" x14ac:dyDescent="0.2">
      <c r="C151" s="274"/>
      <c r="D151" s="274"/>
      <c r="E151" s="274"/>
      <c r="F151" s="274"/>
      <c r="G151" s="274"/>
      <c r="H151" s="274"/>
      <c r="I151" s="274"/>
      <c r="J151" s="274"/>
      <c r="K151" s="274"/>
      <c r="L151" s="274"/>
      <c r="M151" s="275"/>
      <c r="N151" s="275"/>
      <c r="O151" s="275"/>
      <c r="P151" s="275"/>
      <c r="Q151" s="275"/>
      <c r="R151" s="276"/>
      <c r="S151" s="277"/>
      <c r="T151" s="274"/>
      <c r="U151" s="274"/>
      <c r="V151" s="274"/>
      <c r="W151" s="274"/>
      <c r="X151" s="274"/>
      <c r="Y151" s="274"/>
      <c r="Z151" s="275"/>
      <c r="AA151" s="275"/>
      <c r="AB151" s="275"/>
      <c r="AC151" s="275"/>
      <c r="AD151" s="275"/>
      <c r="AE151" s="275"/>
      <c r="AF151" s="275"/>
      <c r="AG151" s="275"/>
      <c r="AH151" s="274"/>
    </row>
    <row r="152" spans="3:34" x14ac:dyDescent="0.2">
      <c r="C152" s="274"/>
      <c r="D152" s="274"/>
      <c r="E152" s="274"/>
      <c r="F152" s="274"/>
      <c r="G152" s="274"/>
      <c r="H152" s="274"/>
      <c r="I152" s="274"/>
      <c r="J152" s="274"/>
      <c r="K152" s="274"/>
      <c r="L152" s="274"/>
      <c r="M152" s="275"/>
      <c r="N152" s="275"/>
      <c r="O152" s="275"/>
      <c r="P152" s="275"/>
      <c r="Q152" s="275"/>
      <c r="R152" s="276"/>
      <c r="S152" s="277"/>
      <c r="T152" s="274"/>
      <c r="U152" s="274"/>
      <c r="V152" s="274"/>
      <c r="W152" s="274"/>
      <c r="X152" s="274"/>
      <c r="Y152" s="274"/>
      <c r="Z152" s="275"/>
      <c r="AA152" s="275"/>
      <c r="AB152" s="275"/>
      <c r="AC152" s="275"/>
      <c r="AD152" s="275"/>
      <c r="AE152" s="275"/>
      <c r="AF152" s="275"/>
      <c r="AG152" s="275"/>
      <c r="AH152" s="274"/>
    </row>
    <row r="153" spans="3:34" x14ac:dyDescent="0.2">
      <c r="C153" s="274"/>
      <c r="D153" s="274"/>
      <c r="E153" s="274"/>
      <c r="F153" s="274"/>
      <c r="G153" s="274"/>
      <c r="H153" s="274"/>
      <c r="I153" s="274"/>
      <c r="J153" s="274"/>
      <c r="K153" s="274"/>
      <c r="L153" s="274"/>
      <c r="M153" s="275"/>
      <c r="N153" s="275"/>
      <c r="O153" s="275"/>
      <c r="P153" s="275"/>
      <c r="Q153" s="275"/>
      <c r="R153" s="276"/>
      <c r="S153" s="277"/>
      <c r="T153" s="274"/>
      <c r="U153" s="274"/>
      <c r="V153" s="274"/>
      <c r="W153" s="274"/>
      <c r="X153" s="274"/>
      <c r="Y153" s="274"/>
      <c r="Z153" s="275"/>
      <c r="AA153" s="275"/>
      <c r="AB153" s="275"/>
      <c r="AC153" s="275"/>
      <c r="AD153" s="275"/>
      <c r="AE153" s="275"/>
      <c r="AF153" s="275"/>
      <c r="AG153" s="275"/>
      <c r="AH153" s="274"/>
    </row>
    <row r="154" spans="3:34" x14ac:dyDescent="0.2">
      <c r="C154" s="274"/>
      <c r="D154" s="274"/>
      <c r="E154" s="274"/>
      <c r="F154" s="274"/>
      <c r="G154" s="274"/>
      <c r="H154" s="274"/>
      <c r="I154" s="274"/>
      <c r="J154" s="274"/>
      <c r="K154" s="274"/>
      <c r="L154" s="274"/>
      <c r="M154" s="275"/>
      <c r="N154" s="275"/>
      <c r="O154" s="275"/>
      <c r="P154" s="275"/>
      <c r="Q154" s="275"/>
      <c r="R154" s="276"/>
      <c r="S154" s="277"/>
      <c r="T154" s="274"/>
      <c r="U154" s="274"/>
      <c r="V154" s="274"/>
      <c r="W154" s="274"/>
      <c r="X154" s="274"/>
      <c r="Y154" s="274"/>
      <c r="Z154" s="275"/>
      <c r="AA154" s="275"/>
      <c r="AB154" s="275"/>
      <c r="AC154" s="275"/>
      <c r="AD154" s="275"/>
      <c r="AE154" s="275"/>
      <c r="AF154" s="275"/>
      <c r="AG154" s="275"/>
      <c r="AH154" s="274"/>
    </row>
    <row r="155" spans="3:34" x14ac:dyDescent="0.2">
      <c r="C155" s="274"/>
      <c r="D155" s="274"/>
      <c r="E155" s="274"/>
      <c r="F155" s="274"/>
      <c r="G155" s="274"/>
      <c r="H155" s="274"/>
      <c r="I155" s="274"/>
      <c r="J155" s="274"/>
      <c r="K155" s="274"/>
      <c r="L155" s="274"/>
      <c r="M155" s="275"/>
      <c r="N155" s="275"/>
      <c r="O155" s="275"/>
      <c r="P155" s="275"/>
      <c r="Q155" s="275"/>
      <c r="R155" s="276"/>
      <c r="S155" s="277"/>
      <c r="T155" s="274"/>
      <c r="U155" s="274"/>
      <c r="V155" s="274"/>
      <c r="W155" s="274"/>
      <c r="X155" s="274"/>
      <c r="Y155" s="274"/>
      <c r="Z155" s="275"/>
      <c r="AA155" s="275"/>
      <c r="AB155" s="275"/>
      <c r="AC155" s="275"/>
      <c r="AD155" s="275"/>
      <c r="AE155" s="275"/>
      <c r="AF155" s="275"/>
      <c r="AG155" s="275"/>
      <c r="AH155" s="274"/>
    </row>
    <row r="156" spans="3:34" x14ac:dyDescent="0.2">
      <c r="C156" s="274"/>
      <c r="D156" s="274"/>
      <c r="E156" s="274"/>
      <c r="F156" s="274"/>
      <c r="G156" s="274"/>
      <c r="H156" s="274"/>
      <c r="I156" s="274"/>
      <c r="J156" s="274"/>
      <c r="K156" s="274"/>
      <c r="L156" s="274"/>
      <c r="M156" s="275"/>
      <c r="N156" s="275"/>
      <c r="O156" s="275"/>
      <c r="P156" s="275"/>
      <c r="Q156" s="275"/>
      <c r="R156" s="276"/>
      <c r="S156" s="277"/>
      <c r="T156" s="274"/>
      <c r="U156" s="274"/>
      <c r="V156" s="274"/>
      <c r="W156" s="274"/>
      <c r="X156" s="274"/>
      <c r="Y156" s="274"/>
      <c r="Z156" s="275"/>
      <c r="AA156" s="275"/>
      <c r="AB156" s="275"/>
      <c r="AC156" s="275"/>
      <c r="AD156" s="275"/>
      <c r="AE156" s="275"/>
      <c r="AF156" s="275"/>
      <c r="AG156" s="275"/>
      <c r="AH156" s="274"/>
    </row>
    <row r="157" spans="3:34" x14ac:dyDescent="0.2">
      <c r="C157" s="274"/>
      <c r="D157" s="274"/>
      <c r="E157" s="274"/>
      <c r="F157" s="274"/>
      <c r="G157" s="274"/>
      <c r="H157" s="274"/>
      <c r="I157" s="274"/>
      <c r="J157" s="274"/>
      <c r="K157" s="274"/>
      <c r="L157" s="274"/>
      <c r="M157" s="275"/>
      <c r="N157" s="275"/>
      <c r="O157" s="275"/>
      <c r="P157" s="275"/>
      <c r="Q157" s="275"/>
      <c r="R157" s="276"/>
      <c r="S157" s="277"/>
      <c r="T157" s="274"/>
      <c r="U157" s="274"/>
      <c r="V157" s="274"/>
      <c r="W157" s="274"/>
      <c r="X157" s="274"/>
      <c r="Y157" s="274"/>
      <c r="Z157" s="275"/>
      <c r="AA157" s="275"/>
      <c r="AB157" s="275"/>
      <c r="AC157" s="275"/>
      <c r="AD157" s="275"/>
      <c r="AE157" s="275"/>
      <c r="AF157" s="275"/>
      <c r="AG157" s="275"/>
      <c r="AH157" s="274"/>
    </row>
    <row r="158" spans="3:34" x14ac:dyDescent="0.2">
      <c r="C158" s="274"/>
      <c r="D158" s="274"/>
      <c r="E158" s="274"/>
      <c r="F158" s="274"/>
      <c r="G158" s="274"/>
      <c r="H158" s="274"/>
      <c r="I158" s="274"/>
      <c r="J158" s="274"/>
      <c r="K158" s="274"/>
      <c r="L158" s="274"/>
      <c r="M158" s="275"/>
      <c r="N158" s="275"/>
      <c r="O158" s="275"/>
      <c r="P158" s="275"/>
      <c r="Q158" s="275"/>
      <c r="R158" s="276"/>
      <c r="S158" s="277"/>
      <c r="T158" s="274"/>
      <c r="U158" s="274"/>
      <c r="V158" s="274"/>
      <c r="W158" s="274"/>
      <c r="X158" s="274"/>
      <c r="Y158" s="274"/>
      <c r="Z158" s="275"/>
      <c r="AA158" s="275"/>
      <c r="AB158" s="275"/>
      <c r="AC158" s="275"/>
      <c r="AD158" s="275"/>
      <c r="AE158" s="275"/>
      <c r="AF158" s="275"/>
      <c r="AG158" s="275"/>
      <c r="AH158" s="274"/>
    </row>
    <row r="159" spans="3:34" x14ac:dyDescent="0.2">
      <c r="C159" s="274"/>
      <c r="D159" s="274"/>
      <c r="E159" s="274"/>
      <c r="F159" s="274"/>
      <c r="G159" s="274"/>
      <c r="H159" s="274"/>
      <c r="I159" s="274"/>
      <c r="J159" s="274"/>
      <c r="K159" s="274"/>
      <c r="L159" s="274"/>
      <c r="M159" s="275"/>
      <c r="N159" s="275"/>
      <c r="O159" s="275"/>
      <c r="P159" s="275"/>
      <c r="Q159" s="275"/>
      <c r="R159" s="276"/>
      <c r="S159" s="277"/>
      <c r="T159" s="274"/>
      <c r="U159" s="274"/>
      <c r="V159" s="274"/>
      <c r="W159" s="274"/>
      <c r="X159" s="274"/>
      <c r="Y159" s="274"/>
      <c r="Z159" s="275"/>
      <c r="AA159" s="275"/>
      <c r="AB159" s="275"/>
      <c r="AC159" s="275"/>
      <c r="AD159" s="275"/>
      <c r="AE159" s="275"/>
      <c r="AF159" s="275"/>
      <c r="AG159" s="275"/>
      <c r="AH159" s="274"/>
    </row>
    <row r="160" spans="3:34" x14ac:dyDescent="0.2">
      <c r="C160" s="274"/>
      <c r="D160" s="274"/>
      <c r="E160" s="274"/>
      <c r="F160" s="274"/>
      <c r="G160" s="274"/>
      <c r="H160" s="274"/>
      <c r="I160" s="274"/>
      <c r="J160" s="274"/>
      <c r="K160" s="274"/>
      <c r="L160" s="274"/>
      <c r="M160" s="275"/>
      <c r="N160" s="275"/>
      <c r="O160" s="275"/>
      <c r="P160" s="275"/>
      <c r="Q160" s="275"/>
      <c r="R160" s="276"/>
      <c r="S160" s="277"/>
      <c r="T160" s="274"/>
      <c r="U160" s="274"/>
      <c r="V160" s="274"/>
      <c r="W160" s="274"/>
      <c r="X160" s="274"/>
      <c r="Y160" s="274"/>
      <c r="Z160" s="275"/>
      <c r="AA160" s="275"/>
      <c r="AB160" s="275"/>
      <c r="AC160" s="275"/>
      <c r="AD160" s="275"/>
      <c r="AE160" s="275"/>
      <c r="AF160" s="275"/>
      <c r="AG160" s="275"/>
      <c r="AH160" s="274"/>
    </row>
    <row r="161" spans="3:34" x14ac:dyDescent="0.2">
      <c r="C161" s="274"/>
      <c r="D161" s="274"/>
      <c r="E161" s="274"/>
      <c r="F161" s="274"/>
      <c r="G161" s="274"/>
      <c r="H161" s="274"/>
      <c r="I161" s="274"/>
      <c r="J161" s="274"/>
      <c r="K161" s="274"/>
      <c r="L161" s="274"/>
      <c r="M161" s="275"/>
      <c r="N161" s="275"/>
      <c r="O161" s="275"/>
      <c r="P161" s="275"/>
      <c r="Q161" s="275"/>
      <c r="R161" s="276"/>
      <c r="S161" s="277"/>
      <c r="T161" s="274"/>
      <c r="U161" s="274"/>
      <c r="V161" s="274"/>
      <c r="W161" s="274"/>
      <c r="X161" s="274"/>
      <c r="Y161" s="274"/>
      <c r="Z161" s="275"/>
      <c r="AA161" s="275"/>
      <c r="AB161" s="275"/>
      <c r="AC161" s="275"/>
      <c r="AD161" s="275"/>
      <c r="AE161" s="275"/>
      <c r="AF161" s="275"/>
      <c r="AG161" s="275"/>
      <c r="AH161" s="274"/>
    </row>
    <row r="162" spans="3:34" x14ac:dyDescent="0.2">
      <c r="C162" s="274"/>
      <c r="D162" s="274"/>
      <c r="E162" s="274"/>
      <c r="F162" s="274"/>
      <c r="G162" s="274"/>
      <c r="H162" s="274"/>
      <c r="I162" s="274"/>
      <c r="J162" s="274"/>
      <c r="K162" s="274"/>
      <c r="L162" s="274"/>
      <c r="M162" s="275"/>
      <c r="N162" s="275"/>
      <c r="O162" s="275"/>
      <c r="P162" s="275"/>
      <c r="Q162" s="275"/>
      <c r="R162" s="276"/>
      <c r="S162" s="277"/>
      <c r="T162" s="274"/>
      <c r="U162" s="274"/>
      <c r="V162" s="274"/>
      <c r="W162" s="274"/>
      <c r="X162" s="274"/>
      <c r="Y162" s="274"/>
      <c r="Z162" s="275"/>
      <c r="AA162" s="275"/>
      <c r="AB162" s="275"/>
      <c r="AC162" s="275"/>
      <c r="AD162" s="275"/>
      <c r="AE162" s="275"/>
      <c r="AF162" s="275"/>
      <c r="AG162" s="275"/>
      <c r="AH162" s="274"/>
    </row>
    <row r="163" spans="3:34" x14ac:dyDescent="0.2">
      <c r="C163" s="274"/>
      <c r="D163" s="274"/>
      <c r="E163" s="274"/>
      <c r="F163" s="274"/>
      <c r="G163" s="274"/>
      <c r="H163" s="274"/>
      <c r="I163" s="274"/>
      <c r="J163" s="274"/>
      <c r="K163" s="274"/>
      <c r="L163" s="274"/>
      <c r="M163" s="275"/>
      <c r="N163" s="275"/>
      <c r="O163" s="275"/>
      <c r="P163" s="275"/>
      <c r="Q163" s="275"/>
      <c r="R163" s="276"/>
      <c r="S163" s="277"/>
      <c r="T163" s="274"/>
      <c r="U163" s="274"/>
      <c r="V163" s="274"/>
      <c r="W163" s="274"/>
      <c r="X163" s="274"/>
      <c r="Y163" s="274"/>
      <c r="Z163" s="275"/>
      <c r="AA163" s="275"/>
      <c r="AB163" s="275"/>
      <c r="AC163" s="275"/>
      <c r="AD163" s="275"/>
      <c r="AE163" s="275"/>
      <c r="AF163" s="275"/>
      <c r="AG163" s="275"/>
      <c r="AH163" s="274"/>
    </row>
    <row r="164" spans="3:34" x14ac:dyDescent="0.2">
      <c r="C164" s="274"/>
      <c r="D164" s="274"/>
      <c r="E164" s="274"/>
      <c r="F164" s="274"/>
      <c r="G164" s="274"/>
      <c r="H164" s="274"/>
      <c r="I164" s="274"/>
      <c r="J164" s="274"/>
      <c r="K164" s="274"/>
      <c r="L164" s="274"/>
      <c r="M164" s="275"/>
      <c r="N164" s="275"/>
      <c r="O164" s="275"/>
      <c r="P164" s="275"/>
      <c r="Q164" s="275"/>
      <c r="R164" s="276"/>
      <c r="S164" s="277"/>
      <c r="T164" s="274"/>
      <c r="U164" s="274"/>
      <c r="V164" s="274"/>
      <c r="W164" s="274"/>
      <c r="X164" s="274"/>
      <c r="Y164" s="274"/>
      <c r="Z164" s="275"/>
      <c r="AA164" s="275"/>
      <c r="AB164" s="275"/>
      <c r="AC164" s="275"/>
      <c r="AD164" s="275"/>
      <c r="AE164" s="275"/>
      <c r="AF164" s="275"/>
      <c r="AG164" s="275"/>
      <c r="AH164" s="274"/>
    </row>
    <row r="165" spans="3:34" x14ac:dyDescent="0.2">
      <c r="C165" s="274"/>
      <c r="D165" s="274"/>
      <c r="E165" s="274"/>
      <c r="F165" s="274"/>
      <c r="G165" s="274"/>
      <c r="H165" s="274"/>
      <c r="I165" s="274"/>
      <c r="J165" s="274"/>
      <c r="K165" s="274"/>
      <c r="L165" s="274"/>
      <c r="M165" s="275"/>
      <c r="N165" s="275"/>
      <c r="O165" s="275"/>
      <c r="P165" s="275"/>
      <c r="Q165" s="275"/>
      <c r="R165" s="276"/>
      <c r="S165" s="277"/>
      <c r="T165" s="274"/>
      <c r="U165" s="274"/>
      <c r="V165" s="274"/>
      <c r="W165" s="274"/>
      <c r="X165" s="274"/>
      <c r="Y165" s="274"/>
      <c r="Z165" s="275"/>
      <c r="AA165" s="275"/>
      <c r="AB165" s="275"/>
      <c r="AC165" s="275"/>
      <c r="AD165" s="275"/>
      <c r="AE165" s="275"/>
      <c r="AF165" s="275"/>
      <c r="AG165" s="275"/>
      <c r="AH165" s="274"/>
    </row>
    <row r="166" spans="3:34" x14ac:dyDescent="0.2">
      <c r="C166" s="274"/>
      <c r="D166" s="274"/>
      <c r="E166" s="274"/>
      <c r="F166" s="274"/>
      <c r="G166" s="274"/>
      <c r="H166" s="274"/>
      <c r="I166" s="274"/>
      <c r="J166" s="274"/>
      <c r="K166" s="274"/>
      <c r="L166" s="274"/>
      <c r="M166" s="275"/>
      <c r="N166" s="275"/>
      <c r="O166" s="275"/>
      <c r="P166" s="275"/>
      <c r="Q166" s="275"/>
      <c r="R166" s="276"/>
      <c r="S166" s="277"/>
      <c r="T166" s="274"/>
      <c r="U166" s="274"/>
      <c r="V166" s="274"/>
      <c r="W166" s="274"/>
      <c r="X166" s="274"/>
      <c r="Y166" s="274"/>
      <c r="Z166" s="275"/>
      <c r="AA166" s="275"/>
      <c r="AB166" s="275"/>
      <c r="AC166" s="275"/>
      <c r="AD166" s="275"/>
      <c r="AE166" s="275"/>
      <c r="AF166" s="275"/>
      <c r="AG166" s="275"/>
      <c r="AH166" s="274"/>
    </row>
    <row r="167" spans="3:34" x14ac:dyDescent="0.2">
      <c r="C167" s="274"/>
      <c r="D167" s="274"/>
      <c r="E167" s="274"/>
      <c r="F167" s="274"/>
      <c r="G167" s="274"/>
      <c r="H167" s="274"/>
      <c r="I167" s="274"/>
      <c r="J167" s="274"/>
      <c r="K167" s="274"/>
      <c r="L167" s="274"/>
      <c r="M167" s="275"/>
      <c r="N167" s="275"/>
      <c r="O167" s="275"/>
      <c r="P167" s="275"/>
      <c r="Q167" s="275"/>
      <c r="R167" s="276"/>
      <c r="S167" s="277"/>
      <c r="T167" s="274"/>
      <c r="U167" s="274"/>
      <c r="V167" s="274"/>
      <c r="W167" s="274"/>
      <c r="X167" s="274"/>
      <c r="Y167" s="274"/>
      <c r="Z167" s="275"/>
      <c r="AA167" s="275"/>
      <c r="AB167" s="275"/>
      <c r="AC167" s="275"/>
      <c r="AD167" s="275"/>
      <c r="AE167" s="275"/>
      <c r="AF167" s="275"/>
      <c r="AG167" s="275"/>
      <c r="AH167" s="274"/>
    </row>
    <row r="168" spans="3:34" x14ac:dyDescent="0.2">
      <c r="C168" s="274"/>
      <c r="D168" s="274"/>
      <c r="E168" s="274"/>
      <c r="F168" s="274"/>
      <c r="G168" s="274"/>
      <c r="H168" s="274"/>
      <c r="I168" s="274"/>
      <c r="J168" s="274"/>
      <c r="K168" s="274"/>
      <c r="L168" s="274"/>
      <c r="M168" s="275"/>
      <c r="N168" s="275"/>
      <c r="O168" s="275"/>
      <c r="P168" s="275"/>
      <c r="Q168" s="275"/>
      <c r="R168" s="276"/>
      <c r="S168" s="277"/>
      <c r="T168" s="274"/>
      <c r="U168" s="274"/>
      <c r="V168" s="274"/>
      <c r="W168" s="274"/>
      <c r="X168" s="274"/>
      <c r="Y168" s="274"/>
      <c r="Z168" s="275"/>
      <c r="AA168" s="275"/>
      <c r="AB168" s="275"/>
      <c r="AC168" s="275"/>
      <c r="AD168" s="275"/>
      <c r="AE168" s="275"/>
      <c r="AF168" s="275"/>
      <c r="AG168" s="275"/>
      <c r="AH168" s="274"/>
    </row>
    <row r="169" spans="3:34" x14ac:dyDescent="0.2">
      <c r="C169" s="274"/>
      <c r="D169" s="274"/>
      <c r="E169" s="274"/>
      <c r="F169" s="274"/>
      <c r="G169" s="274"/>
      <c r="H169" s="274"/>
      <c r="I169" s="274"/>
      <c r="J169" s="274"/>
      <c r="K169" s="274"/>
      <c r="L169" s="274"/>
      <c r="M169" s="275"/>
      <c r="N169" s="275"/>
      <c r="O169" s="275"/>
      <c r="P169" s="275"/>
      <c r="Q169" s="275"/>
      <c r="R169" s="276"/>
      <c r="S169" s="277"/>
      <c r="T169" s="274"/>
      <c r="U169" s="274"/>
      <c r="V169" s="274"/>
      <c r="W169" s="274"/>
      <c r="X169" s="274"/>
      <c r="Y169" s="274"/>
      <c r="Z169" s="275"/>
      <c r="AA169" s="275"/>
      <c r="AB169" s="275"/>
      <c r="AC169" s="275"/>
      <c r="AD169" s="275"/>
      <c r="AE169" s="275"/>
      <c r="AF169" s="275"/>
      <c r="AG169" s="275"/>
      <c r="AH169" s="274"/>
    </row>
    <row r="170" spans="3:34" x14ac:dyDescent="0.2">
      <c r="C170" s="274"/>
      <c r="D170" s="274"/>
      <c r="E170" s="274"/>
      <c r="F170" s="274"/>
      <c r="G170" s="274"/>
      <c r="H170" s="274"/>
      <c r="I170" s="274"/>
      <c r="J170" s="274"/>
      <c r="K170" s="274"/>
      <c r="L170" s="274"/>
      <c r="M170" s="275"/>
      <c r="N170" s="275"/>
      <c r="O170" s="275"/>
      <c r="P170" s="275"/>
      <c r="Q170" s="275"/>
      <c r="R170" s="276"/>
      <c r="S170" s="277"/>
      <c r="T170" s="274"/>
      <c r="U170" s="274"/>
      <c r="V170" s="274"/>
      <c r="W170" s="274"/>
      <c r="X170" s="274"/>
      <c r="Y170" s="274"/>
      <c r="Z170" s="275"/>
      <c r="AA170" s="275"/>
      <c r="AB170" s="275"/>
      <c r="AC170" s="275"/>
      <c r="AD170" s="275"/>
      <c r="AE170" s="275"/>
      <c r="AF170" s="275"/>
      <c r="AG170" s="275"/>
      <c r="AH170" s="274"/>
    </row>
    <row r="171" spans="3:34" x14ac:dyDescent="0.2">
      <c r="C171" s="274"/>
      <c r="D171" s="274"/>
      <c r="E171" s="274"/>
      <c r="F171" s="274"/>
      <c r="G171" s="274"/>
      <c r="H171" s="274"/>
      <c r="I171" s="274"/>
      <c r="J171" s="274"/>
      <c r="K171" s="274"/>
      <c r="L171" s="274"/>
      <c r="M171" s="275"/>
      <c r="N171" s="275"/>
      <c r="O171" s="275"/>
      <c r="P171" s="275"/>
      <c r="Q171" s="275"/>
      <c r="R171" s="276"/>
      <c r="S171" s="277"/>
      <c r="T171" s="274"/>
      <c r="U171" s="274"/>
      <c r="V171" s="274"/>
      <c r="W171" s="274"/>
      <c r="X171" s="274"/>
      <c r="Y171" s="274"/>
      <c r="Z171" s="275"/>
      <c r="AA171" s="275"/>
      <c r="AB171" s="275"/>
      <c r="AC171" s="275"/>
      <c r="AD171" s="275"/>
      <c r="AE171" s="275"/>
      <c r="AF171" s="275"/>
      <c r="AG171" s="275"/>
      <c r="AH171" s="274"/>
    </row>
    <row r="172" spans="3:34" x14ac:dyDescent="0.2">
      <c r="C172" s="274"/>
      <c r="D172" s="274"/>
      <c r="E172" s="274"/>
      <c r="F172" s="274"/>
      <c r="G172" s="274"/>
      <c r="H172" s="274"/>
      <c r="I172" s="274"/>
      <c r="J172" s="274"/>
      <c r="K172" s="274"/>
      <c r="L172" s="274"/>
      <c r="M172" s="275"/>
      <c r="N172" s="275"/>
      <c r="O172" s="275"/>
      <c r="P172" s="275"/>
      <c r="Q172" s="275"/>
      <c r="R172" s="276"/>
      <c r="S172" s="277"/>
      <c r="T172" s="274"/>
      <c r="U172" s="274"/>
      <c r="V172" s="274"/>
      <c r="W172" s="274"/>
      <c r="X172" s="274"/>
      <c r="Y172" s="274"/>
      <c r="Z172" s="275"/>
      <c r="AA172" s="275"/>
      <c r="AB172" s="275"/>
      <c r="AC172" s="275"/>
      <c r="AD172" s="275"/>
      <c r="AE172" s="275"/>
      <c r="AF172" s="275"/>
      <c r="AG172" s="275"/>
      <c r="AH172" s="274"/>
    </row>
    <row r="173" spans="3:34" x14ac:dyDescent="0.2">
      <c r="C173" s="274"/>
      <c r="D173" s="274"/>
      <c r="E173" s="274"/>
      <c r="F173" s="274"/>
      <c r="G173" s="274"/>
      <c r="H173" s="274"/>
      <c r="I173" s="274"/>
      <c r="J173" s="274"/>
      <c r="K173" s="274"/>
      <c r="L173" s="274"/>
      <c r="M173" s="275"/>
      <c r="N173" s="275"/>
      <c r="O173" s="275"/>
      <c r="P173" s="275"/>
      <c r="Q173" s="275"/>
      <c r="R173" s="276"/>
      <c r="S173" s="277"/>
      <c r="T173" s="274"/>
      <c r="U173" s="274"/>
      <c r="V173" s="274"/>
      <c r="W173" s="274"/>
      <c r="X173" s="274"/>
      <c r="Y173" s="274"/>
      <c r="Z173" s="275"/>
      <c r="AA173" s="275"/>
      <c r="AB173" s="275"/>
      <c r="AC173" s="275"/>
      <c r="AD173" s="275"/>
      <c r="AE173" s="275"/>
      <c r="AF173" s="275"/>
      <c r="AG173" s="275"/>
      <c r="AH173" s="274"/>
    </row>
    <row r="174" spans="3:34" x14ac:dyDescent="0.2">
      <c r="C174" s="274"/>
      <c r="D174" s="274"/>
      <c r="E174" s="274"/>
      <c r="F174" s="274"/>
      <c r="G174" s="274"/>
      <c r="H174" s="274"/>
      <c r="I174" s="274"/>
      <c r="J174" s="274"/>
      <c r="K174" s="274"/>
      <c r="L174" s="274"/>
      <c r="M174" s="275"/>
      <c r="N174" s="275"/>
      <c r="O174" s="275"/>
      <c r="P174" s="275"/>
      <c r="Q174" s="275"/>
      <c r="R174" s="276"/>
      <c r="S174" s="277"/>
      <c r="T174" s="274"/>
      <c r="U174" s="274"/>
      <c r="V174" s="274"/>
      <c r="W174" s="274"/>
      <c r="X174" s="274"/>
      <c r="Y174" s="274"/>
      <c r="Z174" s="275"/>
      <c r="AA174" s="275"/>
      <c r="AB174" s="275"/>
      <c r="AC174" s="275"/>
      <c r="AD174" s="275"/>
      <c r="AE174" s="275"/>
      <c r="AF174" s="275"/>
      <c r="AG174" s="275"/>
      <c r="AH174" s="274"/>
    </row>
    <row r="175" spans="3:34" x14ac:dyDescent="0.2">
      <c r="C175" s="274"/>
      <c r="D175" s="274"/>
      <c r="E175" s="274"/>
      <c r="F175" s="274"/>
      <c r="G175" s="274"/>
      <c r="H175" s="274"/>
      <c r="I175" s="274"/>
      <c r="J175" s="274"/>
      <c r="K175" s="274"/>
      <c r="L175" s="274"/>
      <c r="M175" s="275"/>
      <c r="N175" s="275"/>
      <c r="O175" s="275"/>
      <c r="P175" s="275"/>
      <c r="Q175" s="275"/>
      <c r="R175" s="276"/>
      <c r="S175" s="277"/>
      <c r="T175" s="274"/>
      <c r="U175" s="274"/>
      <c r="V175" s="274"/>
      <c r="W175" s="274"/>
      <c r="X175" s="274"/>
      <c r="Y175" s="274"/>
      <c r="Z175" s="275"/>
      <c r="AA175" s="275"/>
      <c r="AB175" s="275"/>
      <c r="AC175" s="275"/>
      <c r="AD175" s="275"/>
      <c r="AE175" s="275"/>
      <c r="AF175" s="275"/>
      <c r="AG175" s="275"/>
      <c r="AH175" s="274"/>
    </row>
    <row r="176" spans="3:34" x14ac:dyDescent="0.2">
      <c r="C176" s="274"/>
      <c r="D176" s="274"/>
      <c r="E176" s="274"/>
      <c r="F176" s="274"/>
      <c r="G176" s="274"/>
      <c r="H176" s="274"/>
      <c r="I176" s="274"/>
      <c r="J176" s="274"/>
      <c r="K176" s="274"/>
      <c r="L176" s="274"/>
      <c r="M176" s="275"/>
      <c r="N176" s="275"/>
      <c r="O176" s="275"/>
      <c r="P176" s="275"/>
      <c r="Q176" s="275"/>
      <c r="R176" s="276"/>
      <c r="S176" s="277"/>
      <c r="T176" s="274"/>
      <c r="U176" s="274"/>
      <c r="V176" s="274"/>
      <c r="W176" s="274"/>
      <c r="X176" s="274"/>
      <c r="Y176" s="274"/>
      <c r="Z176" s="275"/>
      <c r="AA176" s="275"/>
      <c r="AB176" s="275"/>
      <c r="AC176" s="275"/>
      <c r="AD176" s="275"/>
      <c r="AE176" s="275"/>
      <c r="AF176" s="275"/>
      <c r="AG176" s="275"/>
      <c r="AH176" s="274"/>
    </row>
    <row r="177" spans="3:34" x14ac:dyDescent="0.2">
      <c r="C177" s="274"/>
      <c r="D177" s="274"/>
      <c r="E177" s="274"/>
      <c r="F177" s="274"/>
      <c r="G177" s="274"/>
      <c r="H177" s="274"/>
      <c r="I177" s="274"/>
      <c r="J177" s="274"/>
      <c r="K177" s="274"/>
      <c r="L177" s="274"/>
      <c r="M177" s="275"/>
      <c r="N177" s="275"/>
      <c r="O177" s="275"/>
      <c r="P177" s="275"/>
      <c r="Q177" s="275"/>
      <c r="R177" s="276"/>
      <c r="S177" s="277"/>
      <c r="T177" s="274"/>
      <c r="U177" s="274"/>
      <c r="V177" s="274"/>
      <c r="W177" s="274"/>
      <c r="X177" s="274"/>
      <c r="Y177" s="274"/>
      <c r="Z177" s="275"/>
      <c r="AA177" s="275"/>
      <c r="AB177" s="275"/>
      <c r="AC177" s="275"/>
      <c r="AD177" s="275"/>
      <c r="AE177" s="275"/>
      <c r="AF177" s="275"/>
      <c r="AG177" s="275"/>
      <c r="AH177" s="274"/>
    </row>
    <row r="178" spans="3:34" x14ac:dyDescent="0.2">
      <c r="C178" s="274"/>
      <c r="D178" s="274"/>
      <c r="E178" s="274"/>
      <c r="F178" s="274"/>
      <c r="G178" s="274"/>
      <c r="H178" s="274"/>
      <c r="I178" s="274"/>
      <c r="J178" s="274"/>
      <c r="K178" s="274"/>
      <c r="L178" s="274"/>
      <c r="M178" s="275"/>
      <c r="N178" s="275"/>
      <c r="O178" s="275"/>
      <c r="P178" s="275"/>
      <c r="Q178" s="275"/>
      <c r="R178" s="276"/>
      <c r="S178" s="277"/>
      <c r="T178" s="274"/>
      <c r="U178" s="274"/>
      <c r="V178" s="274"/>
      <c r="W178" s="274"/>
      <c r="X178" s="274"/>
      <c r="Y178" s="274"/>
      <c r="Z178" s="275"/>
      <c r="AA178" s="275"/>
      <c r="AB178" s="275"/>
      <c r="AC178" s="275"/>
      <c r="AD178" s="275"/>
      <c r="AE178" s="275"/>
      <c r="AF178" s="275"/>
      <c r="AG178" s="275"/>
      <c r="AH178" s="274"/>
    </row>
    <row r="179" spans="3:34" x14ac:dyDescent="0.2">
      <c r="C179" s="274"/>
      <c r="D179" s="274"/>
      <c r="E179" s="274"/>
      <c r="F179" s="274"/>
      <c r="G179" s="274"/>
      <c r="H179" s="274"/>
      <c r="I179" s="274"/>
      <c r="J179" s="274"/>
      <c r="K179" s="274"/>
      <c r="L179" s="274"/>
      <c r="M179" s="275"/>
      <c r="N179" s="275"/>
      <c r="O179" s="275"/>
      <c r="P179" s="275"/>
      <c r="Q179" s="275"/>
      <c r="R179" s="276"/>
      <c r="S179" s="277"/>
      <c r="T179" s="274"/>
      <c r="U179" s="274"/>
      <c r="V179" s="274"/>
      <c r="W179" s="274"/>
      <c r="X179" s="274"/>
      <c r="Y179" s="274"/>
      <c r="Z179" s="275"/>
      <c r="AA179" s="275"/>
      <c r="AB179" s="275"/>
      <c r="AC179" s="275"/>
      <c r="AD179" s="275"/>
      <c r="AE179" s="275"/>
      <c r="AF179" s="275"/>
      <c r="AG179" s="275"/>
      <c r="AH179" s="274"/>
    </row>
    <row r="180" spans="3:34" x14ac:dyDescent="0.2">
      <c r="C180" s="274"/>
      <c r="D180" s="274"/>
      <c r="E180" s="274"/>
      <c r="F180" s="274"/>
      <c r="G180" s="274"/>
      <c r="H180" s="274"/>
      <c r="I180" s="274"/>
      <c r="J180" s="274"/>
      <c r="K180" s="274"/>
      <c r="L180" s="274"/>
      <c r="M180" s="275"/>
      <c r="N180" s="275"/>
      <c r="O180" s="275"/>
      <c r="P180" s="275"/>
      <c r="Q180" s="275"/>
      <c r="R180" s="276"/>
      <c r="S180" s="277"/>
      <c r="T180" s="274"/>
      <c r="U180" s="274"/>
      <c r="V180" s="274"/>
      <c r="W180" s="274"/>
      <c r="X180" s="274"/>
      <c r="Y180" s="274"/>
      <c r="Z180" s="275"/>
      <c r="AA180" s="275"/>
      <c r="AB180" s="275"/>
      <c r="AC180" s="275"/>
      <c r="AD180" s="275"/>
      <c r="AE180" s="275"/>
      <c r="AF180" s="275"/>
      <c r="AG180" s="275"/>
      <c r="AH180" s="274"/>
    </row>
    <row r="181" spans="3:34" x14ac:dyDescent="0.2">
      <c r="C181" s="274"/>
      <c r="D181" s="274"/>
      <c r="E181" s="274"/>
      <c r="F181" s="274"/>
      <c r="G181" s="274"/>
      <c r="H181" s="274"/>
      <c r="I181" s="274"/>
      <c r="J181" s="274"/>
      <c r="K181" s="274"/>
      <c r="L181" s="274"/>
      <c r="M181" s="275"/>
      <c r="N181" s="275"/>
      <c r="O181" s="275"/>
      <c r="P181" s="275"/>
      <c r="Q181" s="275"/>
      <c r="R181" s="276"/>
      <c r="S181" s="277"/>
      <c r="T181" s="274"/>
      <c r="U181" s="274"/>
      <c r="V181" s="274"/>
      <c r="W181" s="274"/>
      <c r="X181" s="274"/>
      <c r="Y181" s="274"/>
      <c r="Z181" s="275"/>
      <c r="AA181" s="275"/>
      <c r="AB181" s="275"/>
      <c r="AC181" s="275"/>
      <c r="AD181" s="275"/>
      <c r="AE181" s="275"/>
      <c r="AF181" s="275"/>
      <c r="AG181" s="275"/>
      <c r="AH181" s="274"/>
    </row>
    <row r="182" spans="3:34" x14ac:dyDescent="0.2">
      <c r="C182" s="274"/>
      <c r="D182" s="274"/>
      <c r="E182" s="274"/>
      <c r="F182" s="274"/>
      <c r="G182" s="274"/>
      <c r="H182" s="274"/>
      <c r="I182" s="274"/>
      <c r="J182" s="274"/>
      <c r="K182" s="274"/>
      <c r="L182" s="274"/>
      <c r="M182" s="275"/>
      <c r="N182" s="275"/>
      <c r="O182" s="275"/>
      <c r="P182" s="275"/>
      <c r="Q182" s="275"/>
      <c r="R182" s="276"/>
      <c r="S182" s="277"/>
      <c r="T182" s="274"/>
      <c r="U182" s="274"/>
      <c r="V182" s="274"/>
      <c r="W182" s="274"/>
      <c r="X182" s="274"/>
      <c r="Y182" s="274"/>
      <c r="Z182" s="275"/>
      <c r="AA182" s="275"/>
      <c r="AB182" s="275"/>
      <c r="AC182" s="275"/>
      <c r="AD182" s="275"/>
      <c r="AE182" s="275"/>
      <c r="AF182" s="275"/>
      <c r="AG182" s="275"/>
      <c r="AH182" s="274"/>
    </row>
    <row r="183" spans="3:34" x14ac:dyDescent="0.2">
      <c r="C183" s="274"/>
      <c r="D183" s="274"/>
      <c r="E183" s="274"/>
      <c r="F183" s="274"/>
      <c r="G183" s="274"/>
      <c r="H183" s="274"/>
      <c r="I183" s="274"/>
      <c r="J183" s="274"/>
      <c r="K183" s="274"/>
      <c r="L183" s="274"/>
      <c r="M183" s="275"/>
      <c r="N183" s="275"/>
      <c r="O183" s="275"/>
      <c r="P183" s="275"/>
      <c r="Q183" s="275"/>
      <c r="R183" s="276"/>
      <c r="S183" s="277"/>
      <c r="T183" s="274"/>
      <c r="U183" s="274"/>
      <c r="V183" s="274"/>
      <c r="W183" s="274"/>
      <c r="X183" s="274"/>
      <c r="Y183" s="274"/>
      <c r="Z183" s="275"/>
      <c r="AA183" s="275"/>
      <c r="AB183" s="275"/>
      <c r="AC183" s="275"/>
      <c r="AD183" s="275"/>
      <c r="AE183" s="275"/>
      <c r="AF183" s="275"/>
      <c r="AG183" s="275"/>
      <c r="AH183" s="274"/>
    </row>
    <row r="184" spans="3:34" x14ac:dyDescent="0.2">
      <c r="C184" s="274"/>
      <c r="D184" s="274"/>
      <c r="E184" s="274"/>
      <c r="F184" s="274"/>
      <c r="G184" s="274"/>
      <c r="H184" s="274"/>
      <c r="I184" s="274"/>
      <c r="J184" s="274"/>
      <c r="K184" s="274"/>
      <c r="L184" s="274"/>
      <c r="M184" s="275"/>
      <c r="N184" s="275"/>
      <c r="O184" s="275"/>
      <c r="P184" s="275"/>
      <c r="Q184" s="275"/>
      <c r="R184" s="276"/>
      <c r="S184" s="277"/>
      <c r="T184" s="274"/>
      <c r="U184" s="274"/>
      <c r="V184" s="274"/>
      <c r="W184" s="274"/>
      <c r="X184" s="274"/>
      <c r="Y184" s="274"/>
      <c r="Z184" s="275"/>
      <c r="AA184" s="275"/>
      <c r="AB184" s="275"/>
      <c r="AC184" s="275"/>
      <c r="AD184" s="275"/>
      <c r="AE184" s="275"/>
      <c r="AF184" s="275"/>
      <c r="AG184" s="275"/>
      <c r="AH184" s="274"/>
    </row>
    <row r="185" spans="3:34" x14ac:dyDescent="0.2">
      <c r="C185" s="274"/>
      <c r="D185" s="274"/>
      <c r="E185" s="274"/>
      <c r="F185" s="274"/>
      <c r="G185" s="274"/>
      <c r="H185" s="274"/>
      <c r="I185" s="274"/>
      <c r="J185" s="274"/>
      <c r="K185" s="274"/>
      <c r="L185" s="274"/>
      <c r="M185" s="275"/>
      <c r="N185" s="275"/>
      <c r="O185" s="275"/>
      <c r="P185" s="275"/>
      <c r="Q185" s="275"/>
      <c r="R185" s="276"/>
      <c r="S185" s="277"/>
      <c r="T185" s="274"/>
      <c r="U185" s="274"/>
      <c r="V185" s="274"/>
      <c r="W185" s="274"/>
      <c r="X185" s="274"/>
      <c r="Y185" s="274"/>
      <c r="Z185" s="275"/>
      <c r="AA185" s="275"/>
      <c r="AB185" s="275"/>
      <c r="AC185" s="275"/>
      <c r="AD185" s="275"/>
      <c r="AE185" s="275"/>
      <c r="AF185" s="275"/>
      <c r="AG185" s="275"/>
      <c r="AH185" s="274"/>
    </row>
    <row r="186" spans="3:34" x14ac:dyDescent="0.2">
      <c r="C186" s="274"/>
      <c r="D186" s="274"/>
      <c r="E186" s="274"/>
      <c r="F186" s="274"/>
      <c r="G186" s="274"/>
      <c r="H186" s="274"/>
      <c r="I186" s="274"/>
      <c r="J186" s="274"/>
      <c r="K186" s="274"/>
      <c r="L186" s="274"/>
      <c r="M186" s="275"/>
      <c r="N186" s="275"/>
      <c r="O186" s="275"/>
      <c r="P186" s="275"/>
      <c r="Q186" s="275"/>
      <c r="R186" s="276"/>
      <c r="S186" s="277"/>
      <c r="T186" s="274"/>
      <c r="U186" s="274"/>
      <c r="V186" s="274"/>
      <c r="W186" s="274"/>
      <c r="X186" s="274"/>
      <c r="Y186" s="274"/>
      <c r="Z186" s="275"/>
      <c r="AA186" s="275"/>
      <c r="AB186" s="275"/>
      <c r="AC186" s="275"/>
      <c r="AD186" s="275"/>
      <c r="AE186" s="275"/>
      <c r="AF186" s="275"/>
      <c r="AG186" s="275"/>
      <c r="AH186" s="274"/>
    </row>
    <row r="187" spans="3:34" x14ac:dyDescent="0.2">
      <c r="C187" s="274"/>
      <c r="D187" s="274"/>
      <c r="E187" s="274"/>
      <c r="F187" s="274"/>
      <c r="G187" s="274"/>
      <c r="H187" s="274"/>
      <c r="I187" s="274"/>
      <c r="J187" s="274"/>
      <c r="K187" s="274"/>
      <c r="L187" s="274"/>
      <c r="M187" s="275"/>
      <c r="N187" s="275"/>
      <c r="O187" s="275"/>
      <c r="P187" s="275"/>
      <c r="Q187" s="275"/>
      <c r="R187" s="276"/>
      <c r="S187" s="277"/>
      <c r="T187" s="274"/>
      <c r="U187" s="274"/>
      <c r="V187" s="274"/>
      <c r="W187" s="274"/>
      <c r="X187" s="274"/>
      <c r="Y187" s="274"/>
      <c r="Z187" s="275"/>
      <c r="AA187" s="275"/>
      <c r="AB187" s="275"/>
      <c r="AC187" s="275"/>
      <c r="AD187" s="275"/>
      <c r="AE187" s="275"/>
      <c r="AF187" s="275"/>
      <c r="AG187" s="275"/>
      <c r="AH187" s="274"/>
    </row>
    <row r="188" spans="3:34" x14ac:dyDescent="0.2">
      <c r="C188" s="274"/>
      <c r="D188" s="274"/>
      <c r="E188" s="274"/>
      <c r="F188" s="274"/>
      <c r="G188" s="274"/>
      <c r="H188" s="274"/>
      <c r="I188" s="274"/>
      <c r="J188" s="274"/>
      <c r="K188" s="274"/>
      <c r="L188" s="274"/>
      <c r="M188" s="275"/>
      <c r="N188" s="275"/>
      <c r="O188" s="275"/>
      <c r="P188" s="275"/>
      <c r="Q188" s="275"/>
      <c r="R188" s="276"/>
      <c r="S188" s="277"/>
      <c r="T188" s="274"/>
      <c r="U188" s="274"/>
      <c r="V188" s="274"/>
      <c r="W188" s="274"/>
      <c r="X188" s="274"/>
      <c r="Y188" s="274"/>
      <c r="Z188" s="275"/>
      <c r="AA188" s="275"/>
      <c r="AB188" s="275"/>
      <c r="AC188" s="275"/>
      <c r="AD188" s="275"/>
      <c r="AE188" s="275"/>
      <c r="AF188" s="275"/>
      <c r="AG188" s="275"/>
      <c r="AH188" s="274"/>
    </row>
    <row r="189" spans="3:34" x14ac:dyDescent="0.2">
      <c r="C189" s="274"/>
      <c r="D189" s="274"/>
      <c r="E189" s="274"/>
      <c r="F189" s="274"/>
      <c r="G189" s="274"/>
      <c r="H189" s="274"/>
      <c r="I189" s="274"/>
      <c r="J189" s="274"/>
      <c r="K189" s="274"/>
      <c r="L189" s="274"/>
      <c r="M189" s="275"/>
      <c r="N189" s="275"/>
      <c r="O189" s="275"/>
      <c r="P189" s="275"/>
      <c r="Q189" s="275"/>
      <c r="R189" s="276"/>
      <c r="S189" s="277"/>
      <c r="T189" s="274"/>
      <c r="U189" s="274"/>
      <c r="V189" s="274"/>
      <c r="W189" s="274"/>
      <c r="X189" s="274"/>
      <c r="Y189" s="274"/>
      <c r="Z189" s="275"/>
      <c r="AA189" s="275"/>
      <c r="AB189" s="275"/>
      <c r="AC189" s="275"/>
      <c r="AD189" s="275"/>
      <c r="AE189" s="275"/>
      <c r="AF189" s="275"/>
      <c r="AG189" s="275"/>
      <c r="AH189" s="274"/>
    </row>
    <row r="190" spans="3:34" x14ac:dyDescent="0.2">
      <c r="C190" s="274"/>
      <c r="D190" s="274"/>
      <c r="E190" s="274"/>
      <c r="F190" s="274"/>
      <c r="G190" s="274"/>
      <c r="H190" s="274"/>
      <c r="I190" s="274"/>
      <c r="J190" s="274"/>
      <c r="K190" s="274"/>
      <c r="L190" s="274"/>
      <c r="M190" s="275"/>
      <c r="N190" s="275"/>
      <c r="O190" s="275"/>
      <c r="P190" s="275"/>
      <c r="Q190" s="275"/>
      <c r="R190" s="276"/>
      <c r="S190" s="277"/>
      <c r="T190" s="274"/>
      <c r="U190" s="274"/>
      <c r="V190" s="274"/>
      <c r="W190" s="274"/>
      <c r="X190" s="274"/>
      <c r="Y190" s="274"/>
      <c r="Z190" s="275"/>
      <c r="AA190" s="275"/>
      <c r="AB190" s="275"/>
      <c r="AC190" s="275"/>
      <c r="AD190" s="275"/>
      <c r="AE190" s="275"/>
      <c r="AF190" s="275"/>
      <c r="AG190" s="275"/>
      <c r="AH190" s="274"/>
    </row>
    <row r="191" spans="3:34" x14ac:dyDescent="0.2">
      <c r="C191" s="274"/>
      <c r="D191" s="274"/>
      <c r="E191" s="274"/>
      <c r="F191" s="274"/>
      <c r="G191" s="274"/>
      <c r="H191" s="274"/>
      <c r="I191" s="274"/>
      <c r="J191" s="274"/>
      <c r="K191" s="274"/>
      <c r="L191" s="274"/>
      <c r="M191" s="275"/>
      <c r="N191" s="275"/>
      <c r="O191" s="275"/>
      <c r="P191" s="275"/>
      <c r="Q191" s="275"/>
      <c r="R191" s="276"/>
      <c r="S191" s="277"/>
      <c r="T191" s="274"/>
      <c r="U191" s="274"/>
      <c r="V191" s="274"/>
      <c r="W191" s="274"/>
      <c r="X191" s="274"/>
      <c r="Y191" s="274"/>
      <c r="Z191" s="275"/>
      <c r="AA191" s="275"/>
      <c r="AB191" s="275"/>
      <c r="AC191" s="275"/>
      <c r="AD191" s="275"/>
      <c r="AE191" s="275"/>
      <c r="AF191" s="275"/>
      <c r="AG191" s="275"/>
      <c r="AH191" s="274"/>
    </row>
    <row r="192" spans="3:34" x14ac:dyDescent="0.2">
      <c r="C192" s="274"/>
      <c r="D192" s="274"/>
      <c r="E192" s="274"/>
      <c r="F192" s="274"/>
      <c r="G192" s="274"/>
      <c r="H192" s="274"/>
      <c r="I192" s="274"/>
      <c r="J192" s="274"/>
      <c r="K192" s="274"/>
      <c r="L192" s="274"/>
      <c r="M192" s="275"/>
      <c r="N192" s="275"/>
      <c r="O192" s="275"/>
      <c r="P192" s="275"/>
      <c r="Q192" s="275"/>
      <c r="R192" s="276"/>
      <c r="S192" s="277"/>
      <c r="T192" s="274"/>
      <c r="U192" s="274"/>
      <c r="V192" s="274"/>
      <c r="W192" s="274"/>
      <c r="X192" s="274"/>
      <c r="Y192" s="274"/>
      <c r="Z192" s="275"/>
      <c r="AA192" s="275"/>
      <c r="AB192" s="275"/>
      <c r="AC192" s="275"/>
      <c r="AD192" s="275"/>
      <c r="AE192" s="275"/>
      <c r="AF192" s="275"/>
      <c r="AG192" s="275"/>
      <c r="AH192" s="274"/>
    </row>
    <row r="193" spans="3:34" x14ac:dyDescent="0.2">
      <c r="C193" s="274"/>
      <c r="D193" s="274"/>
      <c r="E193" s="274"/>
      <c r="F193" s="274"/>
      <c r="G193" s="274"/>
      <c r="H193" s="274"/>
      <c r="I193" s="274"/>
      <c r="J193" s="274"/>
      <c r="K193" s="274"/>
      <c r="L193" s="274"/>
      <c r="M193" s="275"/>
      <c r="N193" s="275"/>
      <c r="O193" s="275"/>
      <c r="P193" s="275"/>
      <c r="Q193" s="275"/>
      <c r="R193" s="276"/>
      <c r="S193" s="277"/>
      <c r="T193" s="274"/>
      <c r="U193" s="274"/>
      <c r="V193" s="274"/>
      <c r="W193" s="274"/>
      <c r="X193" s="274"/>
      <c r="Y193" s="274"/>
      <c r="Z193" s="275"/>
      <c r="AA193" s="275"/>
      <c r="AB193" s="275"/>
      <c r="AC193" s="275"/>
      <c r="AD193" s="275"/>
      <c r="AE193" s="275"/>
      <c r="AF193" s="275"/>
      <c r="AG193" s="275"/>
      <c r="AH193" s="274"/>
    </row>
    <row r="194" spans="3:34" x14ac:dyDescent="0.2">
      <c r="C194" s="274"/>
      <c r="D194" s="274"/>
      <c r="E194" s="274"/>
      <c r="F194" s="274"/>
      <c r="G194" s="274"/>
      <c r="H194" s="274"/>
      <c r="I194" s="274"/>
      <c r="J194" s="274"/>
      <c r="K194" s="274"/>
      <c r="L194" s="274"/>
      <c r="M194" s="275"/>
      <c r="N194" s="275"/>
      <c r="O194" s="275"/>
      <c r="P194" s="275"/>
      <c r="Q194" s="275"/>
      <c r="R194" s="276"/>
      <c r="S194" s="277"/>
      <c r="T194" s="274"/>
      <c r="U194" s="274"/>
      <c r="V194" s="274"/>
      <c r="W194" s="274"/>
      <c r="X194" s="274"/>
      <c r="Y194" s="274"/>
      <c r="Z194" s="275"/>
      <c r="AA194" s="275"/>
      <c r="AB194" s="275"/>
      <c r="AC194" s="275"/>
      <c r="AD194" s="275"/>
      <c r="AE194" s="275"/>
      <c r="AF194" s="275"/>
      <c r="AG194" s="275"/>
      <c r="AH194" s="274"/>
    </row>
    <row r="195" spans="3:34" x14ac:dyDescent="0.2">
      <c r="C195" s="274"/>
      <c r="D195" s="274"/>
      <c r="E195" s="274"/>
      <c r="F195" s="274"/>
      <c r="G195" s="274"/>
      <c r="H195" s="274"/>
      <c r="I195" s="274"/>
      <c r="J195" s="274"/>
      <c r="K195" s="274"/>
      <c r="L195" s="274"/>
      <c r="M195" s="275"/>
      <c r="N195" s="275"/>
      <c r="O195" s="275"/>
      <c r="P195" s="275"/>
      <c r="Q195" s="275"/>
      <c r="R195" s="276"/>
      <c r="S195" s="277"/>
      <c r="T195" s="274"/>
      <c r="U195" s="274"/>
      <c r="V195" s="274"/>
      <c r="W195" s="274"/>
      <c r="X195" s="274"/>
      <c r="Y195" s="274"/>
      <c r="Z195" s="275"/>
      <c r="AA195" s="275"/>
      <c r="AB195" s="275"/>
      <c r="AC195" s="275"/>
      <c r="AD195" s="275"/>
      <c r="AE195" s="275"/>
      <c r="AF195" s="275"/>
      <c r="AG195" s="275"/>
      <c r="AH195" s="274"/>
    </row>
    <row r="196" spans="3:34" x14ac:dyDescent="0.2">
      <c r="C196" s="274"/>
      <c r="D196" s="274"/>
      <c r="E196" s="274"/>
      <c r="F196" s="274"/>
      <c r="G196" s="274"/>
      <c r="H196" s="274"/>
      <c r="I196" s="274"/>
      <c r="J196" s="274"/>
      <c r="K196" s="274"/>
      <c r="L196" s="274"/>
      <c r="M196" s="275"/>
      <c r="N196" s="275"/>
      <c r="O196" s="275"/>
      <c r="P196" s="275"/>
      <c r="Q196" s="275"/>
      <c r="R196" s="276"/>
      <c r="S196" s="277"/>
      <c r="T196" s="274"/>
      <c r="U196" s="274"/>
      <c r="V196" s="274"/>
      <c r="W196" s="274"/>
      <c r="X196" s="274"/>
      <c r="Y196" s="274"/>
      <c r="Z196" s="275"/>
      <c r="AA196" s="275"/>
      <c r="AB196" s="275"/>
      <c r="AC196" s="275"/>
      <c r="AD196" s="275"/>
      <c r="AE196" s="275"/>
      <c r="AF196" s="275"/>
      <c r="AG196" s="275"/>
      <c r="AH196" s="274"/>
    </row>
    <row r="197" spans="3:34" x14ac:dyDescent="0.2">
      <c r="C197" s="274"/>
      <c r="D197" s="274"/>
      <c r="E197" s="274"/>
      <c r="F197" s="274"/>
      <c r="G197" s="274"/>
      <c r="H197" s="274"/>
      <c r="I197" s="274"/>
      <c r="J197" s="274"/>
      <c r="K197" s="274"/>
      <c r="L197" s="274"/>
      <c r="M197" s="275"/>
      <c r="N197" s="275"/>
      <c r="O197" s="275"/>
      <c r="P197" s="275"/>
      <c r="Q197" s="275"/>
      <c r="R197" s="276"/>
      <c r="S197" s="277"/>
      <c r="T197" s="274"/>
      <c r="U197" s="274"/>
      <c r="V197" s="274"/>
      <c r="W197" s="274"/>
      <c r="X197" s="274"/>
      <c r="Y197" s="274"/>
      <c r="Z197" s="275"/>
      <c r="AA197" s="275"/>
      <c r="AB197" s="275"/>
      <c r="AC197" s="275"/>
      <c r="AD197" s="275"/>
      <c r="AE197" s="275"/>
      <c r="AF197" s="275"/>
      <c r="AG197" s="275"/>
      <c r="AH197" s="274"/>
    </row>
    <row r="198" spans="3:34" x14ac:dyDescent="0.2">
      <c r="C198" s="274"/>
      <c r="D198" s="274"/>
      <c r="E198" s="274"/>
      <c r="F198" s="274"/>
      <c r="G198" s="274"/>
      <c r="H198" s="274"/>
      <c r="I198" s="274"/>
      <c r="J198" s="274"/>
      <c r="K198" s="274"/>
      <c r="L198" s="274"/>
      <c r="M198" s="275"/>
      <c r="N198" s="275"/>
      <c r="O198" s="275"/>
      <c r="P198" s="275"/>
      <c r="Q198" s="275"/>
      <c r="R198" s="276"/>
      <c r="S198" s="277"/>
      <c r="T198" s="274"/>
      <c r="U198" s="274"/>
      <c r="V198" s="274"/>
      <c r="W198" s="274"/>
      <c r="X198" s="274"/>
      <c r="Y198" s="274"/>
      <c r="Z198" s="275"/>
      <c r="AA198" s="275"/>
      <c r="AB198" s="275"/>
      <c r="AC198" s="275"/>
      <c r="AD198" s="275"/>
      <c r="AE198" s="275"/>
      <c r="AF198" s="275"/>
      <c r="AG198" s="275"/>
      <c r="AH198" s="274"/>
    </row>
    <row r="199" spans="3:34" x14ac:dyDescent="0.2">
      <c r="C199" s="274"/>
      <c r="D199" s="274"/>
      <c r="E199" s="274"/>
      <c r="F199" s="274"/>
      <c r="G199" s="274"/>
      <c r="H199" s="274"/>
      <c r="I199" s="274"/>
      <c r="J199" s="274"/>
      <c r="K199" s="274"/>
      <c r="L199" s="274"/>
      <c r="M199" s="275"/>
      <c r="N199" s="275"/>
      <c r="O199" s="275"/>
      <c r="P199" s="275"/>
      <c r="Q199" s="275"/>
      <c r="R199" s="276"/>
      <c r="S199" s="277"/>
      <c r="T199" s="274"/>
      <c r="U199" s="274"/>
      <c r="V199" s="274"/>
      <c r="W199" s="274"/>
      <c r="X199" s="274"/>
      <c r="Y199" s="274"/>
      <c r="Z199" s="275"/>
      <c r="AA199" s="275"/>
      <c r="AB199" s="275"/>
      <c r="AC199" s="275"/>
      <c r="AD199" s="275"/>
      <c r="AE199" s="275"/>
      <c r="AF199" s="275"/>
      <c r="AG199" s="275"/>
      <c r="AH199" s="274"/>
    </row>
    <row r="200" spans="3:34" x14ac:dyDescent="0.2">
      <c r="C200" s="274"/>
      <c r="D200" s="274"/>
      <c r="E200" s="274"/>
      <c r="F200" s="274"/>
      <c r="G200" s="274"/>
      <c r="H200" s="274"/>
      <c r="I200" s="274"/>
      <c r="J200" s="274"/>
      <c r="K200" s="274"/>
      <c r="L200" s="274"/>
      <c r="M200" s="275"/>
      <c r="N200" s="275"/>
      <c r="O200" s="275"/>
      <c r="P200" s="275"/>
      <c r="Q200" s="275"/>
      <c r="R200" s="276"/>
      <c r="S200" s="277"/>
      <c r="T200" s="274"/>
      <c r="U200" s="274"/>
      <c r="V200" s="274"/>
      <c r="W200" s="274"/>
      <c r="X200" s="274"/>
      <c r="Y200" s="274"/>
      <c r="Z200" s="275"/>
      <c r="AA200" s="275"/>
      <c r="AB200" s="275"/>
      <c r="AC200" s="275"/>
      <c r="AD200" s="275"/>
      <c r="AE200" s="275"/>
      <c r="AF200" s="275"/>
      <c r="AG200" s="275"/>
      <c r="AH200" s="274"/>
    </row>
    <row r="201" spans="3:34" x14ac:dyDescent="0.2">
      <c r="C201" s="274"/>
      <c r="D201" s="274"/>
      <c r="E201" s="274"/>
      <c r="F201" s="274"/>
      <c r="G201" s="274"/>
      <c r="H201" s="274"/>
      <c r="I201" s="274"/>
      <c r="J201" s="274"/>
      <c r="K201" s="274"/>
      <c r="L201" s="274"/>
      <c r="M201" s="275"/>
      <c r="N201" s="275"/>
      <c r="O201" s="275"/>
      <c r="P201" s="275"/>
      <c r="Q201" s="275"/>
      <c r="R201" s="276"/>
      <c r="S201" s="277"/>
      <c r="T201" s="274"/>
      <c r="U201" s="274"/>
      <c r="V201" s="274"/>
      <c r="W201" s="274"/>
      <c r="X201" s="274"/>
      <c r="Y201" s="274"/>
      <c r="Z201" s="275"/>
      <c r="AA201" s="275"/>
      <c r="AB201" s="275"/>
      <c r="AC201" s="275"/>
      <c r="AD201" s="275"/>
      <c r="AE201" s="275"/>
      <c r="AF201" s="275"/>
      <c r="AG201" s="275"/>
      <c r="AH201" s="274"/>
    </row>
    <row r="202" spans="3:34" x14ac:dyDescent="0.2">
      <c r="C202" s="274"/>
      <c r="D202" s="274"/>
      <c r="E202" s="274"/>
      <c r="F202" s="274"/>
      <c r="G202" s="274"/>
      <c r="H202" s="274"/>
      <c r="I202" s="274"/>
      <c r="J202" s="274"/>
      <c r="K202" s="274"/>
      <c r="L202" s="274"/>
      <c r="M202" s="275"/>
      <c r="N202" s="275"/>
      <c r="O202" s="275"/>
      <c r="P202" s="275"/>
      <c r="Q202" s="275"/>
      <c r="R202" s="276"/>
      <c r="S202" s="277"/>
      <c r="T202" s="274"/>
      <c r="U202" s="274"/>
      <c r="V202" s="274"/>
      <c r="W202" s="274"/>
      <c r="X202" s="274"/>
      <c r="Y202" s="274"/>
      <c r="Z202" s="275"/>
      <c r="AA202" s="275"/>
      <c r="AB202" s="275"/>
      <c r="AC202" s="275"/>
      <c r="AD202" s="275"/>
      <c r="AE202" s="275"/>
      <c r="AF202" s="275"/>
      <c r="AG202" s="275"/>
      <c r="AH202" s="274"/>
    </row>
    <row r="203" spans="3:34" x14ac:dyDescent="0.2">
      <c r="C203" s="274"/>
      <c r="D203" s="274"/>
      <c r="E203" s="274"/>
      <c r="F203" s="274"/>
      <c r="G203" s="274"/>
      <c r="H203" s="274"/>
      <c r="I203" s="274"/>
      <c r="J203" s="274"/>
      <c r="K203" s="274"/>
      <c r="L203" s="274"/>
      <c r="M203" s="275"/>
      <c r="N203" s="275"/>
      <c r="O203" s="275"/>
      <c r="P203" s="275"/>
      <c r="Q203" s="275"/>
      <c r="R203" s="276"/>
      <c r="S203" s="277"/>
      <c r="T203" s="274"/>
      <c r="U203" s="274"/>
      <c r="V203" s="274"/>
      <c r="W203" s="274"/>
      <c r="X203" s="274"/>
      <c r="Y203" s="274"/>
      <c r="Z203" s="275"/>
      <c r="AA203" s="275"/>
      <c r="AB203" s="275"/>
      <c r="AC203" s="275"/>
      <c r="AD203" s="275"/>
      <c r="AE203" s="275"/>
      <c r="AF203" s="275"/>
      <c r="AG203" s="275"/>
      <c r="AH203" s="274"/>
    </row>
    <row r="204" spans="3:34" x14ac:dyDescent="0.2">
      <c r="C204" s="274"/>
      <c r="D204" s="274"/>
      <c r="E204" s="274"/>
      <c r="F204" s="274"/>
      <c r="G204" s="274"/>
      <c r="H204" s="274"/>
      <c r="I204" s="274"/>
      <c r="J204" s="274"/>
      <c r="K204" s="274"/>
      <c r="L204" s="274"/>
      <c r="M204" s="275"/>
      <c r="N204" s="275"/>
      <c r="O204" s="275"/>
      <c r="P204" s="275"/>
      <c r="Q204" s="275"/>
      <c r="R204" s="276"/>
      <c r="S204" s="277"/>
      <c r="T204" s="274"/>
      <c r="U204" s="274"/>
      <c r="V204" s="274"/>
      <c r="W204" s="274"/>
      <c r="X204" s="274"/>
      <c r="Y204" s="274"/>
      <c r="Z204" s="275"/>
      <c r="AA204" s="275"/>
      <c r="AB204" s="275"/>
      <c r="AC204" s="275"/>
      <c r="AD204" s="275"/>
      <c r="AE204" s="275"/>
      <c r="AF204" s="275"/>
      <c r="AG204" s="275"/>
      <c r="AH204" s="274"/>
    </row>
    <row r="205" spans="3:34" x14ac:dyDescent="0.2">
      <c r="C205" s="274"/>
      <c r="D205" s="274"/>
      <c r="E205" s="274"/>
      <c r="F205" s="274"/>
      <c r="G205" s="274"/>
      <c r="H205" s="274"/>
      <c r="I205" s="274"/>
      <c r="J205" s="274"/>
      <c r="K205" s="274"/>
      <c r="L205" s="274"/>
      <c r="M205" s="275"/>
      <c r="N205" s="275"/>
      <c r="O205" s="275"/>
      <c r="P205" s="275"/>
      <c r="Q205" s="275"/>
      <c r="R205" s="276"/>
      <c r="S205" s="277"/>
      <c r="T205" s="274"/>
      <c r="U205" s="274"/>
      <c r="V205" s="274"/>
      <c r="W205" s="274"/>
      <c r="X205" s="274"/>
      <c r="Y205" s="274"/>
      <c r="Z205" s="275"/>
      <c r="AA205" s="275"/>
      <c r="AB205" s="275"/>
      <c r="AC205" s="275"/>
      <c r="AD205" s="275"/>
      <c r="AE205" s="275"/>
      <c r="AF205" s="275"/>
      <c r="AG205" s="275"/>
      <c r="AH205" s="274"/>
    </row>
    <row r="206" spans="3:34" x14ac:dyDescent="0.2">
      <c r="C206" s="274"/>
      <c r="D206" s="274"/>
      <c r="E206" s="274"/>
      <c r="F206" s="274"/>
      <c r="G206" s="274"/>
      <c r="H206" s="274"/>
      <c r="I206" s="274"/>
      <c r="J206" s="274"/>
      <c r="K206" s="274"/>
      <c r="L206" s="274"/>
      <c r="M206" s="275"/>
      <c r="N206" s="275"/>
      <c r="O206" s="275"/>
      <c r="P206" s="275"/>
      <c r="Q206" s="275"/>
      <c r="R206" s="276"/>
      <c r="S206" s="277"/>
      <c r="T206" s="274"/>
      <c r="U206" s="274"/>
      <c r="V206" s="274"/>
      <c r="W206" s="274"/>
      <c r="X206" s="274"/>
      <c r="Y206" s="274"/>
      <c r="Z206" s="275"/>
      <c r="AA206" s="275"/>
      <c r="AB206" s="275"/>
      <c r="AC206" s="275"/>
      <c r="AD206" s="275"/>
      <c r="AE206" s="275"/>
      <c r="AF206" s="275"/>
      <c r="AG206" s="275"/>
      <c r="AH206" s="274"/>
    </row>
    <row r="207" spans="3:34" x14ac:dyDescent="0.2">
      <c r="C207" s="274"/>
      <c r="D207" s="274"/>
      <c r="E207" s="274"/>
      <c r="F207" s="274"/>
      <c r="G207" s="274"/>
      <c r="H207" s="274"/>
      <c r="I207" s="274"/>
      <c r="J207" s="274"/>
      <c r="K207" s="274"/>
      <c r="L207" s="274"/>
      <c r="M207" s="275"/>
      <c r="N207" s="275"/>
      <c r="O207" s="275"/>
      <c r="P207" s="275"/>
      <c r="Q207" s="275"/>
      <c r="R207" s="276"/>
      <c r="S207" s="277"/>
      <c r="T207" s="274"/>
      <c r="U207" s="274"/>
      <c r="V207" s="274"/>
      <c r="W207" s="274"/>
      <c r="X207" s="274"/>
      <c r="Y207" s="274"/>
      <c r="Z207" s="275"/>
      <c r="AA207" s="275"/>
      <c r="AB207" s="275"/>
      <c r="AC207" s="275"/>
      <c r="AD207" s="275"/>
      <c r="AE207" s="275"/>
      <c r="AF207" s="275"/>
      <c r="AG207" s="275"/>
      <c r="AH207" s="274"/>
    </row>
    <row r="208" spans="3:34" x14ac:dyDescent="0.2">
      <c r="C208" s="274"/>
      <c r="D208" s="274"/>
      <c r="E208" s="274"/>
      <c r="F208" s="274"/>
      <c r="G208" s="274"/>
      <c r="H208" s="274"/>
      <c r="I208" s="274"/>
      <c r="J208" s="274"/>
      <c r="K208" s="274"/>
      <c r="L208" s="274"/>
      <c r="M208" s="275"/>
      <c r="N208" s="275"/>
      <c r="O208" s="275"/>
      <c r="P208" s="275"/>
      <c r="Q208" s="275"/>
      <c r="R208" s="276"/>
      <c r="S208" s="277"/>
      <c r="T208" s="274"/>
      <c r="U208" s="274"/>
      <c r="V208" s="274"/>
      <c r="W208" s="274"/>
      <c r="X208" s="274"/>
      <c r="Y208" s="274"/>
      <c r="Z208" s="275"/>
      <c r="AA208" s="275"/>
      <c r="AB208" s="275"/>
      <c r="AC208" s="275"/>
      <c r="AD208" s="275"/>
      <c r="AE208" s="275"/>
      <c r="AF208" s="275"/>
      <c r="AG208" s="275"/>
      <c r="AH208" s="274"/>
    </row>
    <row r="209" spans="3:34" x14ac:dyDescent="0.2">
      <c r="C209" s="274"/>
      <c r="D209" s="274"/>
      <c r="E209" s="274"/>
      <c r="F209" s="274"/>
      <c r="G209" s="274"/>
      <c r="H209" s="274"/>
      <c r="I209" s="274"/>
      <c r="J209" s="274"/>
      <c r="K209" s="274"/>
      <c r="L209" s="274"/>
      <c r="M209" s="275"/>
      <c r="N209" s="275"/>
      <c r="O209" s="275"/>
      <c r="P209" s="275"/>
      <c r="Q209" s="275"/>
      <c r="R209" s="276"/>
      <c r="S209" s="277"/>
      <c r="T209" s="274"/>
      <c r="U209" s="274"/>
      <c r="V209" s="274"/>
      <c r="W209" s="274"/>
      <c r="X209" s="274"/>
      <c r="Y209" s="274"/>
      <c r="Z209" s="275"/>
      <c r="AA209" s="275"/>
      <c r="AB209" s="275"/>
      <c r="AC209" s="275"/>
      <c r="AD209" s="275"/>
      <c r="AE209" s="275"/>
      <c r="AF209" s="275"/>
      <c r="AG209" s="275"/>
      <c r="AH209" s="274"/>
    </row>
    <row r="210" spans="3:34" x14ac:dyDescent="0.2">
      <c r="C210" s="274"/>
      <c r="D210" s="274"/>
      <c r="E210" s="274"/>
      <c r="F210" s="274"/>
      <c r="G210" s="274"/>
      <c r="H210" s="274"/>
      <c r="I210" s="274"/>
      <c r="J210" s="274"/>
      <c r="K210" s="274"/>
      <c r="L210" s="274"/>
      <c r="M210" s="275"/>
      <c r="N210" s="275"/>
      <c r="O210" s="275"/>
      <c r="P210" s="275"/>
      <c r="Q210" s="275"/>
      <c r="R210" s="276"/>
      <c r="S210" s="277"/>
      <c r="T210" s="274"/>
      <c r="U210" s="274"/>
      <c r="V210" s="274"/>
      <c r="W210" s="274"/>
      <c r="X210" s="274"/>
      <c r="Y210" s="274"/>
      <c r="Z210" s="275"/>
      <c r="AA210" s="275"/>
      <c r="AB210" s="275"/>
      <c r="AC210" s="275"/>
      <c r="AD210" s="275"/>
      <c r="AE210" s="275"/>
      <c r="AF210" s="275"/>
      <c r="AG210" s="275"/>
      <c r="AH210" s="274"/>
    </row>
    <row r="211" spans="3:34" x14ac:dyDescent="0.2">
      <c r="C211" s="274"/>
      <c r="D211" s="274"/>
      <c r="E211" s="274"/>
      <c r="F211" s="274"/>
      <c r="G211" s="274"/>
      <c r="H211" s="274"/>
      <c r="I211" s="274"/>
      <c r="J211" s="274"/>
      <c r="K211" s="274"/>
      <c r="L211" s="274"/>
      <c r="M211" s="275"/>
      <c r="N211" s="275"/>
      <c r="O211" s="275"/>
      <c r="P211" s="275"/>
      <c r="Q211" s="275"/>
      <c r="R211" s="276"/>
      <c r="S211" s="277"/>
      <c r="T211" s="274"/>
      <c r="U211" s="274"/>
      <c r="V211" s="274"/>
      <c r="W211" s="274"/>
      <c r="X211" s="274"/>
      <c r="Y211" s="274"/>
      <c r="Z211" s="275"/>
      <c r="AA211" s="275"/>
      <c r="AB211" s="275"/>
      <c r="AC211" s="275"/>
      <c r="AD211" s="275"/>
      <c r="AE211" s="275"/>
      <c r="AF211" s="275"/>
      <c r="AG211" s="275"/>
      <c r="AH211" s="274"/>
    </row>
    <row r="212" spans="3:34" x14ac:dyDescent="0.2">
      <c r="C212" s="274"/>
      <c r="D212" s="274"/>
      <c r="E212" s="274"/>
      <c r="F212" s="274"/>
      <c r="G212" s="274"/>
      <c r="H212" s="274"/>
      <c r="I212" s="274"/>
      <c r="J212" s="274"/>
      <c r="K212" s="274"/>
      <c r="L212" s="274"/>
      <c r="M212" s="275"/>
      <c r="N212" s="275"/>
      <c r="O212" s="275"/>
      <c r="P212" s="275"/>
      <c r="Q212" s="275"/>
      <c r="R212" s="276"/>
      <c r="S212" s="277"/>
      <c r="T212" s="274"/>
      <c r="U212" s="274"/>
      <c r="V212" s="274"/>
      <c r="W212" s="274"/>
      <c r="X212" s="274"/>
      <c r="Y212" s="274"/>
      <c r="Z212" s="275"/>
      <c r="AA212" s="275"/>
      <c r="AB212" s="275"/>
      <c r="AC212" s="275"/>
      <c r="AD212" s="275"/>
      <c r="AE212" s="275"/>
      <c r="AF212" s="275"/>
      <c r="AG212" s="275"/>
      <c r="AH212" s="274"/>
    </row>
    <row r="213" spans="3:34" x14ac:dyDescent="0.2">
      <c r="C213" s="274"/>
      <c r="D213" s="274"/>
      <c r="E213" s="274"/>
      <c r="F213" s="274"/>
      <c r="G213" s="274"/>
      <c r="H213" s="274"/>
      <c r="I213" s="274"/>
      <c r="J213" s="274"/>
      <c r="K213" s="274"/>
      <c r="L213" s="274"/>
      <c r="M213" s="275"/>
      <c r="N213" s="275"/>
      <c r="O213" s="275"/>
      <c r="P213" s="275"/>
      <c r="Q213" s="275"/>
      <c r="R213" s="276"/>
      <c r="S213" s="277"/>
      <c r="T213" s="274"/>
      <c r="U213" s="274"/>
      <c r="V213" s="274"/>
      <c r="W213" s="274"/>
      <c r="X213" s="274"/>
      <c r="Y213" s="274"/>
      <c r="Z213" s="275"/>
      <c r="AA213" s="275"/>
      <c r="AB213" s="275"/>
      <c r="AC213" s="275"/>
      <c r="AD213" s="275"/>
      <c r="AE213" s="275"/>
      <c r="AF213" s="275"/>
      <c r="AG213" s="275"/>
      <c r="AH213" s="274"/>
    </row>
    <row r="214" spans="3:34" x14ac:dyDescent="0.2">
      <c r="C214" s="274"/>
      <c r="D214" s="274"/>
      <c r="E214" s="274"/>
      <c r="F214" s="274"/>
      <c r="G214" s="274"/>
      <c r="H214" s="274"/>
      <c r="I214" s="274"/>
      <c r="J214" s="274"/>
      <c r="K214" s="274"/>
      <c r="L214" s="274"/>
      <c r="M214" s="275"/>
      <c r="N214" s="275"/>
      <c r="O214" s="275"/>
      <c r="P214" s="275"/>
      <c r="Q214" s="275"/>
      <c r="R214" s="276"/>
      <c r="S214" s="277"/>
      <c r="T214" s="274"/>
      <c r="U214" s="274"/>
      <c r="V214" s="274"/>
      <c r="W214" s="274"/>
      <c r="X214" s="274"/>
      <c r="Y214" s="274"/>
      <c r="Z214" s="275"/>
      <c r="AA214" s="275"/>
      <c r="AB214" s="275"/>
      <c r="AC214" s="275"/>
      <c r="AD214" s="275"/>
      <c r="AE214" s="275"/>
      <c r="AF214" s="275"/>
      <c r="AG214" s="275"/>
      <c r="AH214" s="274"/>
    </row>
    <row r="215" spans="3:34" x14ac:dyDescent="0.2">
      <c r="C215" s="274"/>
      <c r="D215" s="274"/>
      <c r="E215" s="274"/>
      <c r="F215" s="274"/>
      <c r="G215" s="274"/>
      <c r="H215" s="274"/>
      <c r="I215" s="274"/>
      <c r="J215" s="274"/>
      <c r="K215" s="274"/>
      <c r="L215" s="274"/>
      <c r="M215" s="275"/>
      <c r="N215" s="275"/>
      <c r="O215" s="275"/>
      <c r="P215" s="275"/>
      <c r="Q215" s="275"/>
      <c r="R215" s="276"/>
      <c r="S215" s="277"/>
      <c r="T215" s="274"/>
      <c r="U215" s="274"/>
      <c r="V215" s="274"/>
      <c r="W215" s="274"/>
      <c r="X215" s="274"/>
      <c r="Y215" s="274"/>
      <c r="Z215" s="275"/>
      <c r="AA215" s="275"/>
      <c r="AB215" s="275"/>
      <c r="AC215" s="275"/>
      <c r="AD215" s="275"/>
      <c r="AE215" s="275"/>
      <c r="AF215" s="275"/>
      <c r="AG215" s="275"/>
      <c r="AH215" s="274"/>
    </row>
    <row r="216" spans="3:34" x14ac:dyDescent="0.2">
      <c r="C216" s="274"/>
      <c r="D216" s="274"/>
      <c r="E216" s="274"/>
      <c r="F216" s="274"/>
      <c r="G216" s="274"/>
      <c r="H216" s="274"/>
      <c r="I216" s="274"/>
      <c r="J216" s="274"/>
      <c r="K216" s="274"/>
      <c r="L216" s="274"/>
      <c r="M216" s="275"/>
      <c r="N216" s="275"/>
      <c r="O216" s="275"/>
      <c r="P216" s="275"/>
      <c r="Q216" s="275"/>
      <c r="R216" s="276"/>
      <c r="S216" s="277"/>
      <c r="T216" s="274"/>
      <c r="U216" s="274"/>
      <c r="V216" s="274"/>
      <c r="W216" s="274"/>
      <c r="X216" s="274"/>
      <c r="Y216" s="274"/>
      <c r="Z216" s="275"/>
      <c r="AA216" s="275"/>
      <c r="AB216" s="275"/>
      <c r="AC216" s="275"/>
      <c r="AD216" s="275"/>
      <c r="AE216" s="275"/>
      <c r="AF216" s="275"/>
      <c r="AG216" s="275"/>
      <c r="AH216" s="274"/>
    </row>
    <row r="217" spans="3:34" x14ac:dyDescent="0.2">
      <c r="C217" s="274"/>
      <c r="D217" s="274"/>
      <c r="E217" s="274"/>
      <c r="F217" s="274"/>
      <c r="G217" s="274"/>
      <c r="H217" s="274"/>
      <c r="I217" s="274"/>
      <c r="J217" s="274"/>
      <c r="K217" s="274"/>
      <c r="L217" s="274"/>
      <c r="M217" s="275"/>
      <c r="N217" s="275"/>
      <c r="O217" s="275"/>
      <c r="P217" s="275"/>
      <c r="Q217" s="275"/>
      <c r="R217" s="276"/>
      <c r="S217" s="277"/>
      <c r="T217" s="274"/>
      <c r="U217" s="274"/>
      <c r="V217" s="274"/>
      <c r="W217" s="274"/>
      <c r="X217" s="274"/>
      <c r="Y217" s="274"/>
      <c r="Z217" s="275"/>
      <c r="AA217" s="275"/>
      <c r="AB217" s="275"/>
      <c r="AC217" s="275"/>
      <c r="AD217" s="275"/>
      <c r="AE217" s="275"/>
      <c r="AF217" s="275"/>
      <c r="AG217" s="275"/>
      <c r="AH217" s="274"/>
    </row>
    <row r="218" spans="3:34" x14ac:dyDescent="0.2">
      <c r="C218" s="274"/>
      <c r="D218" s="274"/>
      <c r="E218" s="274"/>
      <c r="F218" s="274"/>
      <c r="G218" s="274"/>
      <c r="H218" s="274"/>
      <c r="I218" s="274"/>
      <c r="J218" s="274"/>
      <c r="K218" s="274"/>
      <c r="L218" s="274"/>
      <c r="M218" s="275"/>
      <c r="N218" s="275"/>
      <c r="O218" s="275"/>
      <c r="P218" s="275"/>
      <c r="Q218" s="275"/>
      <c r="R218" s="276"/>
      <c r="S218" s="277"/>
      <c r="T218" s="274"/>
      <c r="U218" s="274"/>
      <c r="V218" s="274"/>
      <c r="W218" s="274"/>
      <c r="X218" s="274"/>
      <c r="Y218" s="274"/>
      <c r="Z218" s="275"/>
      <c r="AA218" s="275"/>
      <c r="AB218" s="275"/>
      <c r="AC218" s="275"/>
      <c r="AD218" s="275"/>
      <c r="AE218" s="275"/>
      <c r="AF218" s="275"/>
      <c r="AG218" s="275"/>
      <c r="AH218" s="274"/>
    </row>
    <row r="219" spans="3:34" x14ac:dyDescent="0.2">
      <c r="C219" s="274"/>
      <c r="D219" s="274"/>
      <c r="E219" s="274"/>
      <c r="F219" s="274"/>
      <c r="G219" s="274"/>
      <c r="H219" s="274"/>
      <c r="I219" s="274"/>
      <c r="J219" s="274"/>
      <c r="K219" s="274"/>
      <c r="L219" s="274"/>
      <c r="M219" s="275"/>
      <c r="N219" s="275"/>
      <c r="O219" s="275"/>
      <c r="P219" s="275"/>
      <c r="Q219" s="275"/>
      <c r="R219" s="276"/>
      <c r="S219" s="277"/>
      <c r="T219" s="274"/>
      <c r="U219" s="274"/>
      <c r="V219" s="274"/>
      <c r="W219" s="274"/>
      <c r="X219" s="274"/>
      <c r="Y219" s="274"/>
      <c r="Z219" s="275"/>
      <c r="AA219" s="275"/>
      <c r="AB219" s="275"/>
      <c r="AC219" s="275"/>
      <c r="AD219" s="275"/>
      <c r="AE219" s="275"/>
      <c r="AF219" s="275"/>
      <c r="AG219" s="275"/>
      <c r="AH219" s="274"/>
    </row>
    <row r="220" spans="3:34" x14ac:dyDescent="0.2">
      <c r="C220" s="274"/>
      <c r="D220" s="274"/>
      <c r="E220" s="274"/>
      <c r="F220" s="274"/>
      <c r="G220" s="274"/>
      <c r="H220" s="274"/>
      <c r="I220" s="274"/>
      <c r="J220" s="274"/>
      <c r="K220" s="274"/>
      <c r="L220" s="274"/>
      <c r="M220" s="275"/>
      <c r="N220" s="275"/>
      <c r="O220" s="275"/>
      <c r="P220" s="275"/>
      <c r="Q220" s="275"/>
      <c r="R220" s="276"/>
      <c r="S220" s="277"/>
      <c r="T220" s="274"/>
      <c r="U220" s="274"/>
      <c r="V220" s="274"/>
      <c r="W220" s="274"/>
      <c r="X220" s="274"/>
      <c r="Y220" s="274"/>
      <c r="Z220" s="275"/>
      <c r="AA220" s="275"/>
      <c r="AB220" s="275"/>
      <c r="AC220" s="275"/>
      <c r="AD220" s="275"/>
      <c r="AE220" s="275"/>
      <c r="AF220" s="275"/>
      <c r="AG220" s="275"/>
      <c r="AH220" s="274"/>
    </row>
    <row r="221" spans="3:34" x14ac:dyDescent="0.2">
      <c r="C221" s="274"/>
      <c r="D221" s="274"/>
      <c r="E221" s="274"/>
      <c r="F221" s="274"/>
      <c r="G221" s="274"/>
      <c r="H221" s="274"/>
      <c r="I221" s="274"/>
      <c r="J221" s="274"/>
      <c r="K221" s="274"/>
      <c r="L221" s="274"/>
      <c r="M221" s="275"/>
      <c r="N221" s="275"/>
      <c r="O221" s="275"/>
      <c r="P221" s="275"/>
      <c r="Q221" s="275"/>
      <c r="R221" s="276"/>
      <c r="S221" s="277"/>
      <c r="T221" s="274"/>
      <c r="U221" s="274"/>
      <c r="V221" s="274"/>
      <c r="W221" s="274"/>
      <c r="X221" s="274"/>
      <c r="Y221" s="274"/>
      <c r="Z221" s="275"/>
      <c r="AA221" s="275"/>
      <c r="AB221" s="275"/>
      <c r="AC221" s="275"/>
      <c r="AD221" s="275"/>
      <c r="AE221" s="275"/>
      <c r="AF221" s="275"/>
      <c r="AG221" s="275"/>
      <c r="AH221" s="274"/>
    </row>
    <row r="222" spans="3:34" x14ac:dyDescent="0.2">
      <c r="C222" s="274"/>
      <c r="D222" s="274"/>
      <c r="E222" s="274"/>
      <c r="F222" s="274"/>
      <c r="G222" s="274"/>
      <c r="H222" s="274"/>
      <c r="I222" s="274"/>
      <c r="J222" s="274"/>
      <c r="K222" s="274"/>
      <c r="L222" s="274"/>
      <c r="M222" s="275"/>
      <c r="N222" s="275"/>
      <c r="O222" s="275"/>
      <c r="P222" s="275"/>
      <c r="Q222" s="275"/>
      <c r="R222" s="276"/>
      <c r="S222" s="277"/>
      <c r="T222" s="274"/>
      <c r="U222" s="274"/>
      <c r="V222" s="274"/>
      <c r="W222" s="274"/>
      <c r="X222" s="274"/>
      <c r="Y222" s="274"/>
      <c r="Z222" s="275"/>
      <c r="AA222" s="275"/>
      <c r="AB222" s="275"/>
      <c r="AC222" s="275"/>
      <c r="AD222" s="275"/>
      <c r="AE222" s="275"/>
      <c r="AF222" s="275"/>
      <c r="AG222" s="275"/>
      <c r="AH222" s="274"/>
    </row>
    <row r="223" spans="3:34" x14ac:dyDescent="0.2">
      <c r="C223" s="274"/>
      <c r="D223" s="274"/>
      <c r="E223" s="274"/>
      <c r="F223" s="274"/>
      <c r="G223" s="274"/>
      <c r="H223" s="274"/>
      <c r="I223" s="274"/>
      <c r="J223" s="274"/>
      <c r="K223" s="274"/>
      <c r="L223" s="274"/>
      <c r="M223" s="275"/>
      <c r="N223" s="275"/>
      <c r="O223" s="275"/>
      <c r="P223" s="275"/>
      <c r="Q223" s="275"/>
      <c r="R223" s="276"/>
      <c r="S223" s="277"/>
      <c r="T223" s="274"/>
      <c r="U223" s="274"/>
      <c r="V223" s="274"/>
      <c r="W223" s="274"/>
      <c r="X223" s="274"/>
      <c r="Y223" s="274"/>
      <c r="Z223" s="275"/>
      <c r="AA223" s="275"/>
      <c r="AB223" s="275"/>
      <c r="AC223" s="275"/>
      <c r="AD223" s="275"/>
      <c r="AE223" s="275"/>
      <c r="AF223" s="275"/>
      <c r="AG223" s="275"/>
      <c r="AH223" s="274"/>
    </row>
    <row r="224" spans="3:34" x14ac:dyDescent="0.2">
      <c r="C224" s="274"/>
      <c r="D224" s="274"/>
      <c r="E224" s="274"/>
      <c r="F224" s="274"/>
      <c r="G224" s="274"/>
      <c r="H224" s="274"/>
      <c r="I224" s="274"/>
      <c r="J224" s="274"/>
      <c r="K224" s="274"/>
      <c r="L224" s="274"/>
      <c r="M224" s="275"/>
      <c r="N224" s="275"/>
      <c r="O224" s="275"/>
      <c r="P224" s="275"/>
      <c r="Q224" s="275"/>
      <c r="R224" s="276"/>
      <c r="S224" s="277"/>
      <c r="T224" s="274"/>
      <c r="U224" s="274"/>
      <c r="V224" s="274"/>
      <c r="W224" s="274"/>
      <c r="X224" s="274"/>
      <c r="Y224" s="274"/>
      <c r="Z224" s="275"/>
      <c r="AA224" s="275"/>
      <c r="AB224" s="275"/>
      <c r="AC224" s="275"/>
      <c r="AD224" s="275"/>
      <c r="AE224" s="275"/>
      <c r="AF224" s="275"/>
      <c r="AG224" s="275"/>
      <c r="AH224" s="274"/>
    </row>
    <row r="225" spans="3:34" x14ac:dyDescent="0.2">
      <c r="C225" s="274"/>
      <c r="D225" s="274"/>
      <c r="E225" s="274"/>
      <c r="F225" s="274"/>
      <c r="G225" s="274"/>
      <c r="H225" s="274"/>
      <c r="I225" s="274"/>
      <c r="J225" s="274"/>
      <c r="K225" s="274"/>
      <c r="L225" s="274"/>
      <c r="M225" s="275"/>
      <c r="N225" s="275"/>
      <c r="O225" s="275"/>
      <c r="P225" s="275"/>
      <c r="Q225" s="275"/>
      <c r="R225" s="276"/>
      <c r="S225" s="277"/>
      <c r="T225" s="274"/>
      <c r="U225" s="274"/>
      <c r="V225" s="274"/>
      <c r="W225" s="274"/>
      <c r="X225" s="274"/>
      <c r="Y225" s="274"/>
      <c r="Z225" s="275"/>
      <c r="AA225" s="275"/>
      <c r="AB225" s="275"/>
      <c r="AC225" s="275"/>
      <c r="AD225" s="275"/>
      <c r="AE225" s="275"/>
      <c r="AF225" s="275"/>
      <c r="AG225" s="275"/>
      <c r="AH225" s="274"/>
    </row>
    <row r="226" spans="3:34" x14ac:dyDescent="0.2">
      <c r="C226" s="274"/>
      <c r="D226" s="274"/>
      <c r="E226" s="274"/>
      <c r="F226" s="274"/>
      <c r="G226" s="274"/>
      <c r="H226" s="274"/>
      <c r="I226" s="274"/>
      <c r="J226" s="274"/>
      <c r="K226" s="274"/>
      <c r="L226" s="274"/>
      <c r="M226" s="275"/>
      <c r="N226" s="275"/>
      <c r="O226" s="275"/>
      <c r="P226" s="275"/>
      <c r="Q226" s="275"/>
      <c r="R226" s="276"/>
      <c r="S226" s="277"/>
      <c r="T226" s="274"/>
      <c r="U226" s="274"/>
      <c r="V226" s="274"/>
      <c r="W226" s="274"/>
      <c r="X226" s="274"/>
      <c r="Y226" s="274"/>
      <c r="Z226" s="275"/>
      <c r="AA226" s="275"/>
      <c r="AB226" s="275"/>
      <c r="AC226" s="275"/>
      <c r="AD226" s="275"/>
      <c r="AE226" s="275"/>
      <c r="AF226" s="275"/>
      <c r="AG226" s="275"/>
      <c r="AH226" s="274"/>
    </row>
    <row r="227" spans="3:34" x14ac:dyDescent="0.2">
      <c r="C227" s="274"/>
      <c r="D227" s="274"/>
      <c r="E227" s="274"/>
      <c r="F227" s="274"/>
      <c r="G227" s="274"/>
      <c r="H227" s="274"/>
      <c r="I227" s="274"/>
      <c r="J227" s="274"/>
      <c r="K227" s="274"/>
      <c r="L227" s="274"/>
      <c r="M227" s="275"/>
      <c r="N227" s="275"/>
      <c r="O227" s="275"/>
      <c r="P227" s="275"/>
      <c r="Q227" s="275"/>
      <c r="R227" s="276"/>
      <c r="S227" s="277"/>
      <c r="T227" s="274"/>
      <c r="U227" s="274"/>
      <c r="V227" s="274"/>
      <c r="W227" s="274"/>
      <c r="X227" s="274"/>
      <c r="Y227" s="274"/>
      <c r="Z227" s="275"/>
      <c r="AA227" s="275"/>
      <c r="AB227" s="275"/>
      <c r="AC227" s="275"/>
      <c r="AD227" s="275"/>
      <c r="AE227" s="275"/>
      <c r="AF227" s="275"/>
      <c r="AG227" s="275"/>
      <c r="AH227" s="274"/>
    </row>
    <row r="228" spans="3:34" x14ac:dyDescent="0.2">
      <c r="C228" s="274"/>
      <c r="D228" s="274"/>
      <c r="E228" s="274"/>
      <c r="F228" s="274"/>
      <c r="G228" s="274"/>
      <c r="H228" s="274"/>
      <c r="I228" s="274"/>
      <c r="J228" s="274"/>
      <c r="K228" s="274"/>
      <c r="L228" s="274"/>
      <c r="M228" s="275"/>
      <c r="N228" s="275"/>
      <c r="O228" s="275"/>
      <c r="P228" s="275"/>
      <c r="Q228" s="275"/>
      <c r="R228" s="276"/>
      <c r="S228" s="277"/>
      <c r="T228" s="274"/>
      <c r="U228" s="274"/>
      <c r="V228" s="274"/>
      <c r="W228" s="274"/>
      <c r="X228" s="274"/>
      <c r="Y228" s="274"/>
      <c r="Z228" s="275"/>
      <c r="AA228" s="275"/>
      <c r="AB228" s="275"/>
      <c r="AC228" s="275"/>
      <c r="AD228" s="275"/>
      <c r="AE228" s="275"/>
      <c r="AF228" s="275"/>
      <c r="AG228" s="275"/>
      <c r="AH228" s="274"/>
    </row>
    <row r="229" spans="3:34" x14ac:dyDescent="0.2">
      <c r="C229" s="274"/>
      <c r="D229" s="274"/>
      <c r="E229" s="274"/>
      <c r="F229" s="274"/>
      <c r="G229" s="274"/>
      <c r="H229" s="274"/>
      <c r="I229" s="274"/>
      <c r="J229" s="274"/>
      <c r="K229" s="274"/>
      <c r="L229" s="274"/>
      <c r="M229" s="275"/>
      <c r="N229" s="275"/>
      <c r="O229" s="275"/>
      <c r="P229" s="275"/>
      <c r="Q229" s="275"/>
      <c r="R229" s="276"/>
      <c r="S229" s="277"/>
      <c r="T229" s="274"/>
      <c r="U229" s="274"/>
      <c r="V229" s="274"/>
      <c r="W229" s="274"/>
      <c r="X229" s="274"/>
      <c r="Y229" s="274"/>
      <c r="Z229" s="275"/>
      <c r="AA229" s="275"/>
      <c r="AB229" s="275"/>
      <c r="AC229" s="275"/>
      <c r="AD229" s="275"/>
      <c r="AE229" s="275"/>
      <c r="AF229" s="275"/>
      <c r="AG229" s="275"/>
      <c r="AH229" s="274"/>
    </row>
    <row r="230" spans="3:34" x14ac:dyDescent="0.2">
      <c r="C230" s="274"/>
      <c r="D230" s="274"/>
      <c r="E230" s="274"/>
      <c r="F230" s="274"/>
      <c r="G230" s="274"/>
      <c r="H230" s="274"/>
      <c r="I230" s="274"/>
      <c r="J230" s="274"/>
      <c r="K230" s="274"/>
      <c r="L230" s="274"/>
      <c r="M230" s="275"/>
      <c r="N230" s="275"/>
      <c r="O230" s="275"/>
      <c r="P230" s="275"/>
      <c r="Q230" s="275"/>
      <c r="R230" s="276"/>
      <c r="S230" s="277"/>
      <c r="T230" s="274"/>
      <c r="U230" s="274"/>
      <c r="V230" s="274"/>
      <c r="W230" s="274"/>
      <c r="X230" s="274"/>
      <c r="Y230" s="274"/>
      <c r="Z230" s="275"/>
      <c r="AA230" s="275"/>
      <c r="AB230" s="275"/>
      <c r="AC230" s="275"/>
      <c r="AD230" s="275"/>
      <c r="AE230" s="275"/>
      <c r="AF230" s="275"/>
      <c r="AG230" s="275"/>
      <c r="AH230" s="274"/>
    </row>
    <row r="231" spans="3:34" x14ac:dyDescent="0.2">
      <c r="C231" s="274"/>
      <c r="D231" s="274"/>
      <c r="E231" s="274"/>
      <c r="F231" s="274"/>
      <c r="G231" s="274"/>
      <c r="H231" s="274"/>
      <c r="I231" s="274"/>
      <c r="J231" s="274"/>
      <c r="K231" s="274"/>
      <c r="L231" s="274"/>
      <c r="M231" s="275"/>
      <c r="N231" s="275"/>
      <c r="O231" s="275"/>
      <c r="P231" s="275"/>
      <c r="Q231" s="275"/>
      <c r="R231" s="276"/>
      <c r="S231" s="277"/>
      <c r="T231" s="274"/>
      <c r="U231" s="274"/>
      <c r="V231" s="274"/>
      <c r="W231" s="274"/>
      <c r="X231" s="274"/>
      <c r="Y231" s="274"/>
      <c r="Z231" s="275"/>
      <c r="AA231" s="275"/>
      <c r="AB231" s="275"/>
      <c r="AC231" s="275"/>
      <c r="AD231" s="275"/>
      <c r="AE231" s="275"/>
      <c r="AF231" s="275"/>
      <c r="AG231" s="275"/>
      <c r="AH231" s="274"/>
    </row>
    <row r="232" spans="3:34" x14ac:dyDescent="0.2">
      <c r="C232" s="274"/>
      <c r="D232" s="274"/>
      <c r="E232" s="274"/>
      <c r="F232" s="274"/>
      <c r="G232" s="274"/>
      <c r="H232" s="274"/>
      <c r="I232" s="274"/>
      <c r="J232" s="274"/>
      <c r="K232" s="274"/>
      <c r="L232" s="274"/>
      <c r="M232" s="275"/>
      <c r="N232" s="275"/>
      <c r="O232" s="275"/>
      <c r="P232" s="275"/>
      <c r="Q232" s="275"/>
      <c r="R232" s="276"/>
      <c r="S232" s="277"/>
      <c r="T232" s="274"/>
      <c r="U232" s="274"/>
      <c r="V232" s="274"/>
      <c r="W232" s="274"/>
      <c r="X232" s="274"/>
      <c r="Y232" s="274"/>
      <c r="Z232" s="275"/>
      <c r="AA232" s="275"/>
      <c r="AB232" s="275"/>
      <c r="AC232" s="275"/>
      <c r="AD232" s="275"/>
      <c r="AE232" s="275"/>
      <c r="AF232" s="275"/>
      <c r="AG232" s="275"/>
      <c r="AH232" s="274"/>
    </row>
    <row r="233" spans="3:34" x14ac:dyDescent="0.2">
      <c r="C233" s="274"/>
      <c r="D233" s="274"/>
      <c r="E233" s="274"/>
      <c r="F233" s="274"/>
      <c r="G233" s="274"/>
      <c r="H233" s="274"/>
      <c r="I233" s="274"/>
      <c r="J233" s="274"/>
      <c r="K233" s="274"/>
      <c r="L233" s="274"/>
      <c r="M233" s="275"/>
      <c r="N233" s="275"/>
      <c r="O233" s="275"/>
      <c r="P233" s="275"/>
      <c r="Q233" s="275"/>
      <c r="R233" s="276"/>
      <c r="S233" s="277"/>
      <c r="T233" s="274"/>
      <c r="U233" s="274"/>
      <c r="V233" s="274"/>
      <c r="W233" s="274"/>
      <c r="X233" s="274"/>
      <c r="Y233" s="274"/>
      <c r="Z233" s="275"/>
      <c r="AA233" s="275"/>
      <c r="AB233" s="275"/>
      <c r="AC233" s="275"/>
      <c r="AD233" s="275"/>
      <c r="AE233" s="275"/>
      <c r="AF233" s="275"/>
      <c r="AG233" s="275"/>
      <c r="AH233" s="274"/>
    </row>
    <row r="234" spans="3:34" x14ac:dyDescent="0.2">
      <c r="C234" s="274"/>
      <c r="D234" s="274"/>
      <c r="E234" s="274"/>
      <c r="F234" s="274"/>
      <c r="G234" s="274"/>
      <c r="H234" s="274"/>
      <c r="I234" s="274"/>
      <c r="J234" s="274"/>
      <c r="K234" s="274"/>
      <c r="L234" s="274"/>
      <c r="M234" s="275"/>
      <c r="N234" s="275"/>
      <c r="O234" s="275"/>
      <c r="P234" s="275"/>
      <c r="Q234" s="275"/>
      <c r="R234" s="276"/>
      <c r="S234" s="277"/>
      <c r="T234" s="274"/>
      <c r="U234" s="274"/>
      <c r="V234" s="274"/>
      <c r="W234" s="274"/>
      <c r="X234" s="274"/>
      <c r="Y234" s="274"/>
      <c r="Z234" s="275"/>
      <c r="AA234" s="275"/>
      <c r="AB234" s="275"/>
      <c r="AC234" s="275"/>
      <c r="AD234" s="275"/>
      <c r="AE234" s="275"/>
      <c r="AF234" s="275"/>
      <c r="AG234" s="275"/>
      <c r="AH234" s="274"/>
    </row>
    <row r="235" spans="3:34" x14ac:dyDescent="0.2">
      <c r="C235" s="274"/>
      <c r="D235" s="274"/>
      <c r="E235" s="274"/>
      <c r="F235" s="274"/>
      <c r="G235" s="274"/>
      <c r="H235" s="274"/>
      <c r="I235" s="274"/>
      <c r="J235" s="274"/>
      <c r="K235" s="274"/>
      <c r="L235" s="274"/>
      <c r="M235" s="275"/>
      <c r="N235" s="275"/>
      <c r="O235" s="275"/>
      <c r="P235" s="275"/>
      <c r="Q235" s="275"/>
      <c r="R235" s="276"/>
      <c r="S235" s="277"/>
      <c r="T235" s="274"/>
      <c r="U235" s="274"/>
      <c r="V235" s="274"/>
      <c r="W235" s="274"/>
      <c r="X235" s="274"/>
      <c r="Y235" s="274"/>
      <c r="Z235" s="275"/>
      <c r="AA235" s="275"/>
      <c r="AB235" s="275"/>
      <c r="AC235" s="275"/>
      <c r="AD235" s="275"/>
      <c r="AE235" s="275"/>
      <c r="AF235" s="275"/>
      <c r="AG235" s="275"/>
      <c r="AH235" s="274"/>
    </row>
    <row r="236" spans="3:34" x14ac:dyDescent="0.2">
      <c r="C236" s="274"/>
      <c r="D236" s="274"/>
      <c r="E236" s="274"/>
      <c r="F236" s="274"/>
      <c r="G236" s="274"/>
      <c r="H236" s="274"/>
      <c r="I236" s="274"/>
      <c r="J236" s="274"/>
      <c r="K236" s="274"/>
      <c r="L236" s="274"/>
      <c r="M236" s="275"/>
      <c r="N236" s="275"/>
      <c r="O236" s="275"/>
      <c r="P236" s="275"/>
      <c r="Q236" s="275"/>
      <c r="R236" s="276"/>
      <c r="S236" s="277"/>
      <c r="T236" s="274"/>
      <c r="U236" s="274"/>
      <c r="V236" s="274"/>
      <c r="W236" s="274"/>
      <c r="X236" s="274"/>
      <c r="Y236" s="274"/>
      <c r="Z236" s="275"/>
      <c r="AA236" s="275"/>
      <c r="AB236" s="275"/>
      <c r="AC236" s="275"/>
      <c r="AD236" s="275"/>
      <c r="AE236" s="275"/>
      <c r="AF236" s="275"/>
      <c r="AG236" s="275"/>
      <c r="AH236" s="274"/>
    </row>
    <row r="237" spans="3:34" x14ac:dyDescent="0.2">
      <c r="C237" s="274"/>
      <c r="D237" s="274"/>
      <c r="E237" s="274"/>
      <c r="F237" s="274"/>
      <c r="G237" s="274"/>
      <c r="H237" s="274"/>
      <c r="I237" s="274"/>
      <c r="J237" s="274"/>
      <c r="K237" s="274"/>
      <c r="L237" s="274"/>
      <c r="M237" s="275"/>
      <c r="N237" s="275"/>
      <c r="O237" s="275"/>
      <c r="P237" s="275"/>
      <c r="Q237" s="275"/>
      <c r="R237" s="276"/>
      <c r="S237" s="277"/>
      <c r="T237" s="274"/>
      <c r="U237" s="274"/>
      <c r="V237" s="274"/>
      <c r="W237" s="274"/>
      <c r="X237" s="274"/>
      <c r="Y237" s="274"/>
      <c r="Z237" s="275"/>
      <c r="AA237" s="275"/>
      <c r="AB237" s="275"/>
      <c r="AC237" s="275"/>
      <c r="AD237" s="275"/>
      <c r="AE237" s="275"/>
      <c r="AF237" s="275"/>
      <c r="AG237" s="275"/>
      <c r="AH237" s="274"/>
    </row>
    <row r="238" spans="3:34" x14ac:dyDescent="0.2">
      <c r="C238" s="274"/>
      <c r="D238" s="274"/>
      <c r="E238" s="274"/>
      <c r="F238" s="274"/>
      <c r="G238" s="274"/>
      <c r="H238" s="274"/>
      <c r="I238" s="274"/>
      <c r="J238" s="274"/>
      <c r="K238" s="274"/>
      <c r="L238" s="274"/>
      <c r="M238" s="275"/>
      <c r="N238" s="275"/>
      <c r="O238" s="275"/>
      <c r="P238" s="275"/>
      <c r="Q238" s="275"/>
      <c r="R238" s="276"/>
      <c r="S238" s="277"/>
      <c r="T238" s="274"/>
      <c r="U238" s="274"/>
      <c r="V238" s="274"/>
      <c r="W238" s="274"/>
      <c r="X238" s="274"/>
      <c r="Y238" s="274"/>
      <c r="Z238" s="275"/>
      <c r="AA238" s="275"/>
      <c r="AB238" s="275"/>
      <c r="AC238" s="275"/>
      <c r="AD238" s="275"/>
      <c r="AE238" s="275"/>
      <c r="AF238" s="275"/>
      <c r="AG238" s="275"/>
      <c r="AH238" s="274"/>
    </row>
    <row r="239" spans="3:34" x14ac:dyDescent="0.2">
      <c r="C239" s="274"/>
      <c r="D239" s="274"/>
      <c r="E239" s="274"/>
      <c r="F239" s="274"/>
      <c r="G239" s="274"/>
      <c r="H239" s="274"/>
      <c r="I239" s="274"/>
      <c r="J239" s="274"/>
      <c r="K239" s="274"/>
      <c r="L239" s="274"/>
      <c r="M239" s="275"/>
      <c r="N239" s="275"/>
      <c r="O239" s="275"/>
      <c r="P239" s="275"/>
      <c r="Q239" s="275"/>
      <c r="R239" s="276"/>
      <c r="S239" s="277"/>
      <c r="T239" s="274"/>
      <c r="U239" s="274"/>
      <c r="V239" s="274"/>
      <c r="W239" s="274"/>
      <c r="X239" s="274"/>
      <c r="Y239" s="274"/>
      <c r="Z239" s="275"/>
      <c r="AA239" s="275"/>
      <c r="AB239" s="275"/>
      <c r="AC239" s="275"/>
      <c r="AD239" s="275"/>
      <c r="AE239" s="275"/>
      <c r="AF239" s="275"/>
      <c r="AG239" s="275"/>
      <c r="AH239" s="274"/>
    </row>
    <row r="240" spans="3:34" x14ac:dyDescent="0.2">
      <c r="C240" s="274"/>
      <c r="D240" s="274"/>
      <c r="E240" s="274"/>
      <c r="F240" s="274"/>
      <c r="G240" s="274"/>
      <c r="H240" s="274"/>
      <c r="I240" s="274"/>
      <c r="J240" s="274"/>
      <c r="K240" s="274"/>
      <c r="L240" s="274"/>
      <c r="M240" s="275"/>
      <c r="N240" s="275"/>
      <c r="O240" s="275"/>
      <c r="P240" s="275"/>
      <c r="Q240" s="275"/>
      <c r="R240" s="276"/>
      <c r="S240" s="277"/>
      <c r="T240" s="274"/>
      <c r="U240" s="274"/>
      <c r="V240" s="274"/>
      <c r="W240" s="274"/>
      <c r="X240" s="274"/>
      <c r="Y240" s="274"/>
      <c r="Z240" s="275"/>
      <c r="AA240" s="275"/>
      <c r="AB240" s="275"/>
      <c r="AC240" s="275"/>
      <c r="AD240" s="275"/>
      <c r="AE240" s="275"/>
      <c r="AF240" s="275"/>
      <c r="AG240" s="275"/>
      <c r="AH240" s="274"/>
    </row>
    <row r="241" spans="3:34" x14ac:dyDescent="0.2">
      <c r="C241" s="274"/>
      <c r="D241" s="274"/>
      <c r="E241" s="274"/>
      <c r="F241" s="274"/>
      <c r="G241" s="274"/>
      <c r="H241" s="274"/>
      <c r="I241" s="274"/>
      <c r="J241" s="274"/>
      <c r="K241" s="274"/>
      <c r="L241" s="274"/>
      <c r="M241" s="275"/>
      <c r="N241" s="275"/>
      <c r="O241" s="275"/>
      <c r="P241" s="275"/>
      <c r="Q241" s="275"/>
      <c r="R241" s="276"/>
      <c r="S241" s="277"/>
      <c r="T241" s="274"/>
      <c r="U241" s="274"/>
      <c r="V241" s="274"/>
      <c r="W241" s="274"/>
      <c r="X241" s="274"/>
      <c r="Y241" s="274"/>
      <c r="Z241" s="275"/>
      <c r="AA241" s="275"/>
      <c r="AB241" s="275"/>
      <c r="AC241" s="275"/>
      <c r="AD241" s="275"/>
      <c r="AE241" s="275"/>
      <c r="AF241" s="275"/>
      <c r="AG241" s="275"/>
      <c r="AH241" s="274"/>
    </row>
    <row r="242" spans="3:34" x14ac:dyDescent="0.2">
      <c r="C242" s="274"/>
      <c r="D242" s="274"/>
      <c r="E242" s="274"/>
      <c r="F242" s="274"/>
      <c r="G242" s="274"/>
      <c r="H242" s="274"/>
      <c r="I242" s="274"/>
      <c r="J242" s="274"/>
      <c r="K242" s="274"/>
      <c r="L242" s="274"/>
      <c r="M242" s="275"/>
      <c r="N242" s="275"/>
      <c r="O242" s="275"/>
      <c r="P242" s="275"/>
      <c r="Q242" s="275"/>
      <c r="R242" s="276"/>
      <c r="S242" s="277"/>
      <c r="T242" s="274"/>
      <c r="U242" s="274"/>
      <c r="V242" s="274"/>
      <c r="W242" s="274"/>
      <c r="X242" s="274"/>
      <c r="Y242" s="274"/>
      <c r="Z242" s="275"/>
      <c r="AA242" s="275"/>
      <c r="AB242" s="275"/>
      <c r="AC242" s="275"/>
      <c r="AD242" s="275"/>
      <c r="AE242" s="275"/>
      <c r="AF242" s="275"/>
      <c r="AG242" s="275"/>
      <c r="AH242" s="274"/>
    </row>
    <row r="243" spans="3:34" x14ac:dyDescent="0.2">
      <c r="C243" s="274"/>
      <c r="D243" s="274"/>
      <c r="E243" s="274"/>
      <c r="F243" s="274"/>
      <c r="G243" s="274"/>
      <c r="H243" s="274"/>
      <c r="I243" s="274"/>
      <c r="J243" s="274"/>
      <c r="K243" s="274"/>
      <c r="L243" s="274"/>
      <c r="M243" s="275"/>
      <c r="N243" s="275"/>
      <c r="O243" s="275"/>
      <c r="P243" s="275"/>
      <c r="Q243" s="275"/>
      <c r="R243" s="276"/>
      <c r="S243" s="277"/>
      <c r="T243" s="274"/>
      <c r="U243" s="274"/>
      <c r="V243" s="274"/>
      <c r="W243" s="274"/>
      <c r="X243" s="274"/>
      <c r="Y243" s="274"/>
      <c r="Z243" s="275"/>
      <c r="AA243" s="275"/>
      <c r="AB243" s="275"/>
      <c r="AC243" s="275"/>
      <c r="AD243" s="275"/>
      <c r="AE243" s="275"/>
      <c r="AF243" s="275"/>
      <c r="AG243" s="275"/>
      <c r="AH243" s="274"/>
    </row>
    <row r="244" spans="3:34" x14ac:dyDescent="0.2">
      <c r="C244" s="274"/>
      <c r="D244" s="274"/>
      <c r="E244" s="274"/>
      <c r="F244" s="274"/>
      <c r="G244" s="274"/>
      <c r="H244" s="274"/>
      <c r="I244" s="274"/>
      <c r="J244" s="274"/>
      <c r="K244" s="274"/>
      <c r="L244" s="274"/>
      <c r="M244" s="275"/>
      <c r="N244" s="275"/>
      <c r="O244" s="275"/>
      <c r="P244" s="275"/>
      <c r="Q244" s="275"/>
      <c r="R244" s="276"/>
      <c r="S244" s="277"/>
      <c r="T244" s="274"/>
      <c r="U244" s="274"/>
      <c r="V244" s="274"/>
      <c r="W244" s="274"/>
      <c r="X244" s="274"/>
      <c r="Y244" s="274"/>
      <c r="Z244" s="275"/>
      <c r="AA244" s="275"/>
      <c r="AB244" s="275"/>
      <c r="AC244" s="275"/>
      <c r="AD244" s="275"/>
      <c r="AE244" s="275"/>
      <c r="AF244" s="275"/>
      <c r="AG244" s="275"/>
      <c r="AH244" s="274"/>
    </row>
    <row r="245" spans="3:34" x14ac:dyDescent="0.2">
      <c r="C245" s="274"/>
      <c r="D245" s="274"/>
      <c r="E245" s="274"/>
      <c r="F245" s="274"/>
      <c r="G245" s="274"/>
      <c r="H245" s="274"/>
      <c r="I245" s="274"/>
      <c r="J245" s="274"/>
      <c r="K245" s="274"/>
      <c r="L245" s="274"/>
      <c r="M245" s="275"/>
      <c r="N245" s="275"/>
      <c r="O245" s="275"/>
      <c r="P245" s="275"/>
      <c r="Q245" s="275"/>
      <c r="R245" s="276"/>
      <c r="S245" s="277"/>
      <c r="T245" s="274"/>
      <c r="U245" s="274"/>
      <c r="V245" s="274"/>
      <c r="W245" s="274"/>
      <c r="X245" s="274"/>
      <c r="Y245" s="274"/>
      <c r="Z245" s="275"/>
      <c r="AA245" s="275"/>
      <c r="AB245" s="275"/>
      <c r="AC245" s="275"/>
      <c r="AD245" s="275"/>
      <c r="AE245" s="275"/>
      <c r="AF245" s="275"/>
      <c r="AG245" s="275"/>
      <c r="AH245" s="274"/>
    </row>
    <row r="246" spans="3:34" x14ac:dyDescent="0.2">
      <c r="C246" s="274"/>
      <c r="D246" s="274"/>
      <c r="E246" s="274"/>
      <c r="F246" s="274"/>
      <c r="G246" s="274"/>
      <c r="H246" s="274"/>
      <c r="I246" s="274"/>
      <c r="J246" s="274"/>
      <c r="K246" s="274"/>
      <c r="L246" s="274"/>
      <c r="M246" s="275"/>
      <c r="N246" s="275"/>
      <c r="O246" s="275"/>
      <c r="P246" s="275"/>
      <c r="Q246" s="275"/>
      <c r="R246" s="276"/>
      <c r="S246" s="277"/>
      <c r="T246" s="274"/>
      <c r="U246" s="274"/>
      <c r="V246" s="274"/>
      <c r="W246" s="274"/>
      <c r="X246" s="274"/>
      <c r="Y246" s="274"/>
      <c r="Z246" s="275"/>
      <c r="AA246" s="275"/>
      <c r="AB246" s="275"/>
      <c r="AC246" s="275"/>
      <c r="AD246" s="275"/>
      <c r="AE246" s="275"/>
      <c r="AF246" s="275"/>
      <c r="AG246" s="275"/>
      <c r="AH246" s="274"/>
    </row>
    <row r="247" spans="3:34" x14ac:dyDescent="0.2">
      <c r="C247" s="274"/>
      <c r="D247" s="274"/>
      <c r="E247" s="274"/>
      <c r="F247" s="274"/>
      <c r="G247" s="274"/>
      <c r="H247" s="274"/>
      <c r="I247" s="274"/>
      <c r="J247" s="274"/>
      <c r="K247" s="274"/>
      <c r="L247" s="274"/>
      <c r="M247" s="275"/>
      <c r="N247" s="275"/>
      <c r="O247" s="275"/>
      <c r="P247" s="275"/>
      <c r="Q247" s="275"/>
      <c r="R247" s="276"/>
      <c r="S247" s="277"/>
      <c r="T247" s="274"/>
      <c r="U247" s="274"/>
      <c r="V247" s="274"/>
      <c r="W247" s="274"/>
      <c r="X247" s="274"/>
      <c r="Y247" s="274"/>
      <c r="Z247" s="275"/>
      <c r="AA247" s="275"/>
      <c r="AB247" s="275"/>
      <c r="AC247" s="275"/>
      <c r="AD247" s="275"/>
      <c r="AE247" s="275"/>
      <c r="AF247" s="275"/>
      <c r="AG247" s="275"/>
      <c r="AH247" s="274"/>
    </row>
    <row r="248" spans="3:34" x14ac:dyDescent="0.2">
      <c r="C248" s="274"/>
      <c r="D248" s="274"/>
      <c r="E248" s="274"/>
      <c r="F248" s="274"/>
      <c r="G248" s="274"/>
      <c r="H248" s="274"/>
      <c r="I248" s="274"/>
      <c r="J248" s="274"/>
      <c r="K248" s="274"/>
      <c r="L248" s="274"/>
      <c r="M248" s="275"/>
      <c r="N248" s="275"/>
      <c r="O248" s="275"/>
      <c r="P248" s="275"/>
      <c r="Q248" s="275"/>
      <c r="R248" s="276"/>
      <c r="S248" s="277"/>
      <c r="T248" s="274"/>
      <c r="U248" s="274"/>
      <c r="V248" s="274"/>
      <c r="W248" s="274"/>
      <c r="X248" s="274"/>
      <c r="Y248" s="274"/>
      <c r="Z248" s="275"/>
      <c r="AA248" s="275"/>
      <c r="AB248" s="275"/>
      <c r="AC248" s="275"/>
      <c r="AD248" s="275"/>
      <c r="AE248" s="275"/>
      <c r="AF248" s="275"/>
      <c r="AG248" s="275"/>
      <c r="AH248" s="274"/>
    </row>
    <row r="249" spans="3:34" x14ac:dyDescent="0.2">
      <c r="C249" s="274"/>
      <c r="D249" s="274"/>
      <c r="E249" s="274"/>
      <c r="F249" s="274"/>
      <c r="G249" s="274"/>
      <c r="H249" s="274"/>
      <c r="I249" s="274"/>
      <c r="J249" s="274"/>
      <c r="K249" s="274"/>
      <c r="L249" s="274"/>
      <c r="M249" s="275"/>
      <c r="N249" s="275"/>
      <c r="O249" s="275"/>
      <c r="P249" s="275"/>
      <c r="Q249" s="275"/>
      <c r="R249" s="276"/>
      <c r="S249" s="277"/>
      <c r="T249" s="274"/>
      <c r="U249" s="274"/>
      <c r="V249" s="274"/>
      <c r="W249" s="274"/>
      <c r="X249" s="274"/>
      <c r="Y249" s="274"/>
      <c r="Z249" s="275"/>
      <c r="AA249" s="275"/>
      <c r="AB249" s="275"/>
      <c r="AC249" s="275"/>
      <c r="AD249" s="275"/>
      <c r="AE249" s="275"/>
      <c r="AF249" s="275"/>
      <c r="AG249" s="275"/>
      <c r="AH249" s="274"/>
    </row>
    <row r="250" spans="3:34" x14ac:dyDescent="0.2">
      <c r="C250" s="274"/>
      <c r="D250" s="274"/>
      <c r="E250" s="274"/>
      <c r="F250" s="274"/>
      <c r="G250" s="274"/>
      <c r="H250" s="274"/>
      <c r="I250" s="274"/>
      <c r="J250" s="274"/>
      <c r="K250" s="274"/>
      <c r="L250" s="274"/>
      <c r="M250" s="275"/>
      <c r="N250" s="275"/>
      <c r="O250" s="275"/>
      <c r="P250" s="275"/>
      <c r="Q250" s="275"/>
      <c r="R250" s="276"/>
      <c r="S250" s="277"/>
      <c r="T250" s="274"/>
      <c r="U250" s="274"/>
      <c r="V250" s="274"/>
      <c r="W250" s="274"/>
      <c r="X250" s="274"/>
      <c r="Y250" s="274"/>
      <c r="Z250" s="275"/>
      <c r="AA250" s="275"/>
      <c r="AB250" s="275"/>
      <c r="AC250" s="275"/>
      <c r="AD250" s="275"/>
      <c r="AE250" s="275"/>
      <c r="AF250" s="275"/>
      <c r="AG250" s="275"/>
      <c r="AH250" s="274"/>
    </row>
    <row r="251" spans="3:34" x14ac:dyDescent="0.2">
      <c r="C251" s="274"/>
      <c r="D251" s="274"/>
      <c r="E251" s="274"/>
      <c r="F251" s="274"/>
      <c r="G251" s="274"/>
      <c r="H251" s="274"/>
      <c r="I251" s="274"/>
      <c r="J251" s="274"/>
      <c r="K251" s="274"/>
      <c r="L251" s="274"/>
      <c r="M251" s="275"/>
      <c r="N251" s="275"/>
      <c r="O251" s="275"/>
      <c r="P251" s="275"/>
      <c r="Q251" s="275"/>
      <c r="R251" s="276"/>
      <c r="S251" s="277"/>
      <c r="T251" s="274"/>
      <c r="U251" s="274"/>
      <c r="V251" s="274"/>
      <c r="W251" s="274"/>
      <c r="X251" s="274"/>
      <c r="Y251" s="274"/>
      <c r="Z251" s="275"/>
      <c r="AA251" s="275"/>
      <c r="AB251" s="275"/>
      <c r="AC251" s="275"/>
      <c r="AD251" s="275"/>
      <c r="AE251" s="275"/>
      <c r="AF251" s="275"/>
      <c r="AG251" s="275"/>
      <c r="AH251" s="274"/>
    </row>
    <row r="252" spans="3:34" x14ac:dyDescent="0.2">
      <c r="C252" s="274"/>
      <c r="D252" s="274"/>
      <c r="E252" s="274"/>
      <c r="F252" s="274"/>
      <c r="G252" s="274"/>
      <c r="H252" s="274"/>
      <c r="I252" s="274"/>
      <c r="J252" s="274"/>
      <c r="K252" s="274"/>
      <c r="L252" s="274"/>
      <c r="M252" s="275"/>
      <c r="N252" s="275"/>
      <c r="O252" s="275"/>
      <c r="P252" s="275"/>
      <c r="Q252" s="275"/>
      <c r="R252" s="276"/>
      <c r="S252" s="277"/>
      <c r="T252" s="274"/>
      <c r="U252" s="274"/>
      <c r="V252" s="274"/>
      <c r="W252" s="274"/>
      <c r="X252" s="274"/>
      <c r="Y252" s="274"/>
      <c r="Z252" s="275"/>
      <c r="AA252" s="275"/>
      <c r="AB252" s="275"/>
      <c r="AC252" s="275"/>
      <c r="AD252" s="275"/>
      <c r="AE252" s="275"/>
      <c r="AF252" s="275"/>
      <c r="AG252" s="275"/>
      <c r="AH252" s="274"/>
    </row>
    <row r="253" spans="3:34" x14ac:dyDescent="0.2">
      <c r="C253" s="274"/>
      <c r="D253" s="274"/>
      <c r="E253" s="274"/>
      <c r="F253" s="274"/>
      <c r="G253" s="274"/>
      <c r="H253" s="274"/>
      <c r="I253" s="274"/>
      <c r="J253" s="274"/>
      <c r="K253" s="274"/>
      <c r="L253" s="274"/>
      <c r="M253" s="275"/>
      <c r="N253" s="275"/>
      <c r="O253" s="275"/>
      <c r="P253" s="275"/>
      <c r="Q253" s="275"/>
      <c r="R253" s="276"/>
      <c r="S253" s="277"/>
      <c r="T253" s="274"/>
      <c r="U253" s="274"/>
      <c r="V253" s="274"/>
      <c r="W253" s="274"/>
      <c r="X253" s="274"/>
      <c r="Y253" s="274"/>
      <c r="Z253" s="275"/>
      <c r="AA253" s="275"/>
      <c r="AB253" s="275"/>
      <c r="AC253" s="275"/>
      <c r="AD253" s="275"/>
      <c r="AE253" s="275"/>
      <c r="AF253" s="275"/>
      <c r="AG253" s="275"/>
      <c r="AH253" s="274"/>
    </row>
    <row r="254" spans="3:34" x14ac:dyDescent="0.2">
      <c r="C254" s="274"/>
      <c r="D254" s="274"/>
      <c r="E254" s="274"/>
      <c r="F254" s="274"/>
      <c r="G254" s="274"/>
      <c r="H254" s="274"/>
      <c r="I254" s="274"/>
      <c r="J254" s="274"/>
      <c r="K254" s="274"/>
      <c r="L254" s="274"/>
      <c r="M254" s="275"/>
      <c r="N254" s="275"/>
      <c r="O254" s="275"/>
      <c r="P254" s="275"/>
      <c r="Q254" s="275"/>
      <c r="R254" s="276"/>
      <c r="S254" s="277"/>
      <c r="T254" s="274"/>
      <c r="U254" s="274"/>
      <c r="V254" s="274"/>
      <c r="W254" s="274"/>
      <c r="X254" s="274"/>
      <c r="Y254" s="274"/>
      <c r="Z254" s="275"/>
      <c r="AA254" s="275"/>
      <c r="AB254" s="275"/>
      <c r="AC254" s="275"/>
      <c r="AD254" s="275"/>
      <c r="AE254" s="275"/>
      <c r="AF254" s="275"/>
      <c r="AG254" s="275"/>
      <c r="AH254" s="274"/>
    </row>
    <row r="255" spans="3:34" x14ac:dyDescent="0.2">
      <c r="C255" s="274"/>
      <c r="D255" s="274"/>
      <c r="E255" s="274"/>
      <c r="F255" s="274"/>
      <c r="G255" s="274"/>
      <c r="H255" s="274"/>
      <c r="I255" s="274"/>
      <c r="J255" s="274"/>
      <c r="K255" s="274"/>
      <c r="L255" s="274"/>
      <c r="M255" s="275"/>
      <c r="N255" s="275"/>
      <c r="O255" s="275"/>
      <c r="P255" s="275"/>
      <c r="Q255" s="275"/>
      <c r="R255" s="276"/>
      <c r="S255" s="277"/>
      <c r="T255" s="274"/>
      <c r="U255" s="274"/>
      <c r="V255" s="274"/>
      <c r="W255" s="274"/>
      <c r="X255" s="274"/>
      <c r="Y255" s="274"/>
      <c r="Z255" s="275"/>
      <c r="AA255" s="275"/>
      <c r="AB255" s="275"/>
      <c r="AC255" s="275"/>
      <c r="AD255" s="275"/>
      <c r="AE255" s="275"/>
      <c r="AF255" s="275"/>
      <c r="AG255" s="275"/>
      <c r="AH255" s="274"/>
    </row>
    <row r="256" spans="3:34" x14ac:dyDescent="0.2">
      <c r="C256" s="274"/>
      <c r="D256" s="274"/>
      <c r="E256" s="274"/>
      <c r="F256" s="274"/>
      <c r="G256" s="274"/>
      <c r="H256" s="274"/>
      <c r="I256" s="274"/>
      <c r="J256" s="274"/>
      <c r="K256" s="274"/>
      <c r="L256" s="274"/>
      <c r="M256" s="275"/>
      <c r="N256" s="275"/>
      <c r="O256" s="275"/>
      <c r="P256" s="275"/>
      <c r="Q256" s="275"/>
      <c r="R256" s="276"/>
      <c r="S256" s="277"/>
      <c r="T256" s="274"/>
      <c r="U256" s="274"/>
      <c r="V256" s="274"/>
      <c r="W256" s="274"/>
      <c r="X256" s="274"/>
      <c r="Y256" s="274"/>
      <c r="Z256" s="275"/>
      <c r="AA256" s="275"/>
      <c r="AB256" s="275"/>
      <c r="AC256" s="275"/>
      <c r="AD256" s="275"/>
      <c r="AE256" s="275"/>
      <c r="AF256" s="275"/>
      <c r="AG256" s="275"/>
      <c r="AH256" s="274"/>
    </row>
    <row r="257" spans="3:34" x14ac:dyDescent="0.2">
      <c r="C257" s="274"/>
      <c r="D257" s="274"/>
      <c r="E257" s="274"/>
      <c r="F257" s="274"/>
      <c r="G257" s="274"/>
      <c r="H257" s="274"/>
      <c r="I257" s="274"/>
      <c r="J257" s="274"/>
      <c r="K257" s="274"/>
      <c r="L257" s="274"/>
      <c r="M257" s="275"/>
      <c r="N257" s="275"/>
      <c r="O257" s="275"/>
      <c r="P257" s="275"/>
      <c r="Q257" s="275"/>
      <c r="R257" s="276"/>
      <c r="S257" s="277"/>
      <c r="T257" s="274"/>
      <c r="U257" s="274"/>
      <c r="V257" s="274"/>
      <c r="W257" s="274"/>
      <c r="X257" s="274"/>
      <c r="Y257" s="274"/>
      <c r="Z257" s="275"/>
      <c r="AA257" s="275"/>
      <c r="AB257" s="275"/>
      <c r="AC257" s="275"/>
      <c r="AD257" s="275"/>
      <c r="AE257" s="275"/>
      <c r="AF257" s="275"/>
      <c r="AG257" s="275"/>
      <c r="AH257" s="274"/>
    </row>
    <row r="258" spans="3:34" x14ac:dyDescent="0.2">
      <c r="C258" s="274"/>
      <c r="D258" s="274"/>
      <c r="E258" s="274"/>
      <c r="F258" s="274"/>
      <c r="G258" s="274"/>
      <c r="H258" s="274"/>
      <c r="I258" s="274"/>
      <c r="J258" s="274"/>
      <c r="K258" s="274"/>
      <c r="L258" s="274"/>
      <c r="M258" s="275"/>
      <c r="N258" s="275"/>
      <c r="O258" s="275"/>
      <c r="P258" s="275"/>
      <c r="Q258" s="275"/>
      <c r="R258" s="276"/>
      <c r="S258" s="277"/>
      <c r="T258" s="274"/>
      <c r="U258" s="274"/>
      <c r="V258" s="274"/>
      <c r="W258" s="274"/>
      <c r="X258" s="274"/>
      <c r="Y258" s="274"/>
      <c r="Z258" s="275"/>
      <c r="AA258" s="275"/>
      <c r="AB258" s="275"/>
      <c r="AC258" s="275"/>
      <c r="AD258" s="275"/>
      <c r="AE258" s="275"/>
      <c r="AF258" s="275"/>
      <c r="AG258" s="275"/>
      <c r="AH258" s="274"/>
    </row>
    <row r="259" spans="3:34" x14ac:dyDescent="0.2">
      <c r="C259" s="274"/>
      <c r="D259" s="274"/>
      <c r="E259" s="274"/>
      <c r="F259" s="274"/>
      <c r="G259" s="274"/>
      <c r="H259" s="274"/>
      <c r="I259" s="274"/>
      <c r="J259" s="274"/>
      <c r="K259" s="274"/>
      <c r="L259" s="274"/>
      <c r="M259" s="275"/>
      <c r="N259" s="275"/>
      <c r="O259" s="275"/>
      <c r="P259" s="275"/>
      <c r="Q259" s="275"/>
      <c r="R259" s="276"/>
      <c r="S259" s="277"/>
      <c r="T259" s="274"/>
      <c r="U259" s="274"/>
      <c r="V259" s="274"/>
      <c r="W259" s="274"/>
      <c r="X259" s="274"/>
      <c r="Y259" s="274"/>
      <c r="Z259" s="275"/>
      <c r="AA259" s="275"/>
      <c r="AB259" s="275"/>
      <c r="AC259" s="275"/>
      <c r="AD259" s="275"/>
      <c r="AE259" s="275"/>
      <c r="AF259" s="275"/>
      <c r="AG259" s="275"/>
      <c r="AH259" s="274"/>
    </row>
    <row r="260" spans="3:34" x14ac:dyDescent="0.2">
      <c r="C260" s="274"/>
      <c r="D260" s="274"/>
      <c r="E260" s="274"/>
      <c r="F260" s="274"/>
      <c r="G260" s="274"/>
      <c r="H260" s="274"/>
      <c r="I260" s="274"/>
      <c r="J260" s="274"/>
      <c r="K260" s="274"/>
      <c r="L260" s="274"/>
      <c r="M260" s="275"/>
      <c r="N260" s="275"/>
      <c r="O260" s="275"/>
      <c r="P260" s="275"/>
      <c r="Q260" s="275"/>
      <c r="R260" s="276"/>
      <c r="S260" s="277"/>
      <c r="T260" s="274"/>
      <c r="U260" s="274"/>
      <c r="V260" s="274"/>
      <c r="W260" s="274"/>
      <c r="X260" s="274"/>
      <c r="Y260" s="274"/>
      <c r="Z260" s="275"/>
      <c r="AA260" s="275"/>
      <c r="AB260" s="275"/>
      <c r="AC260" s="275"/>
      <c r="AD260" s="275"/>
      <c r="AE260" s="275"/>
      <c r="AF260" s="275"/>
      <c r="AG260" s="275"/>
      <c r="AH260" s="274"/>
    </row>
    <row r="261" spans="3:34" x14ac:dyDescent="0.2">
      <c r="C261" s="274"/>
      <c r="D261" s="274"/>
      <c r="E261" s="274"/>
      <c r="F261" s="274"/>
      <c r="G261" s="274"/>
      <c r="H261" s="274"/>
      <c r="I261" s="274"/>
      <c r="J261" s="274"/>
      <c r="K261" s="274"/>
      <c r="L261" s="274"/>
      <c r="M261" s="275"/>
      <c r="N261" s="275"/>
      <c r="O261" s="275"/>
      <c r="P261" s="275"/>
      <c r="Q261" s="275"/>
      <c r="R261" s="276"/>
      <c r="S261" s="277"/>
      <c r="T261" s="274"/>
      <c r="U261" s="274"/>
      <c r="V261" s="274"/>
      <c r="W261" s="274"/>
      <c r="X261" s="274"/>
      <c r="Y261" s="274"/>
      <c r="Z261" s="275"/>
      <c r="AA261" s="275"/>
      <c r="AB261" s="275"/>
      <c r="AC261" s="275"/>
      <c r="AD261" s="275"/>
      <c r="AE261" s="275"/>
      <c r="AF261" s="275"/>
      <c r="AG261" s="275"/>
      <c r="AH261" s="274"/>
    </row>
    <row r="262" spans="3:34" x14ac:dyDescent="0.2">
      <c r="C262" s="274"/>
      <c r="D262" s="274"/>
      <c r="E262" s="274"/>
      <c r="F262" s="274"/>
      <c r="G262" s="274"/>
      <c r="H262" s="274"/>
      <c r="I262" s="274"/>
      <c r="J262" s="274"/>
      <c r="K262" s="274"/>
      <c r="L262" s="274"/>
      <c r="M262" s="275"/>
      <c r="N262" s="275"/>
      <c r="O262" s="275"/>
      <c r="P262" s="275"/>
      <c r="Q262" s="275"/>
      <c r="R262" s="276"/>
      <c r="S262" s="277"/>
      <c r="T262" s="274"/>
      <c r="U262" s="274"/>
      <c r="V262" s="274"/>
      <c r="W262" s="274"/>
      <c r="X262" s="274"/>
      <c r="Y262" s="274"/>
      <c r="Z262" s="275"/>
      <c r="AA262" s="275"/>
      <c r="AB262" s="275"/>
      <c r="AC262" s="275"/>
      <c r="AD262" s="275"/>
      <c r="AE262" s="275"/>
      <c r="AF262" s="275"/>
      <c r="AG262" s="275"/>
      <c r="AH262" s="274"/>
    </row>
    <row r="263" spans="3:34" x14ac:dyDescent="0.2">
      <c r="C263" s="274"/>
      <c r="D263" s="274"/>
      <c r="E263" s="274"/>
      <c r="F263" s="274"/>
      <c r="G263" s="274"/>
      <c r="H263" s="274"/>
      <c r="I263" s="274"/>
      <c r="J263" s="274"/>
      <c r="K263" s="274"/>
      <c r="L263" s="274"/>
      <c r="M263" s="275"/>
      <c r="N263" s="275"/>
      <c r="O263" s="275"/>
      <c r="P263" s="275"/>
      <c r="Q263" s="275"/>
      <c r="R263" s="276"/>
      <c r="S263" s="277"/>
      <c r="T263" s="274"/>
      <c r="U263" s="274"/>
      <c r="V263" s="274"/>
      <c r="W263" s="274"/>
      <c r="X263" s="274"/>
      <c r="Y263" s="274"/>
      <c r="Z263" s="275"/>
      <c r="AA263" s="275"/>
      <c r="AB263" s="275"/>
      <c r="AC263" s="275"/>
      <c r="AD263" s="275"/>
      <c r="AE263" s="275"/>
      <c r="AF263" s="275"/>
      <c r="AG263" s="275"/>
      <c r="AH263" s="274"/>
    </row>
    <row r="264" spans="3:34" x14ac:dyDescent="0.2">
      <c r="C264" s="274"/>
      <c r="D264" s="274"/>
      <c r="E264" s="274"/>
      <c r="F264" s="274"/>
      <c r="G264" s="274"/>
      <c r="H264" s="274"/>
      <c r="I264" s="274"/>
      <c r="J264" s="274"/>
      <c r="K264" s="274"/>
      <c r="L264" s="274"/>
      <c r="M264" s="275"/>
      <c r="N264" s="275"/>
      <c r="O264" s="275"/>
      <c r="P264" s="275"/>
      <c r="Q264" s="275"/>
      <c r="R264" s="276"/>
      <c r="S264" s="277"/>
      <c r="T264" s="274"/>
      <c r="U264" s="274"/>
      <c r="V264" s="274"/>
      <c r="W264" s="274"/>
      <c r="X264" s="274"/>
      <c r="Y264" s="274"/>
      <c r="Z264" s="275"/>
      <c r="AA264" s="275"/>
      <c r="AB264" s="275"/>
      <c r="AC264" s="275"/>
      <c r="AD264" s="275"/>
      <c r="AE264" s="275"/>
      <c r="AF264" s="275"/>
      <c r="AG264" s="275"/>
      <c r="AH264" s="274"/>
    </row>
    <row r="265" spans="3:34" x14ac:dyDescent="0.2">
      <c r="C265" s="274"/>
      <c r="D265" s="274"/>
      <c r="E265" s="274"/>
      <c r="F265" s="274"/>
      <c r="G265" s="274"/>
      <c r="H265" s="274"/>
      <c r="I265" s="274"/>
      <c r="J265" s="274"/>
      <c r="K265" s="274"/>
      <c r="L265" s="274"/>
      <c r="M265" s="275"/>
      <c r="N265" s="275"/>
      <c r="O265" s="275"/>
      <c r="P265" s="275"/>
      <c r="Q265" s="275"/>
      <c r="R265" s="276"/>
      <c r="S265" s="277"/>
      <c r="T265" s="274"/>
      <c r="U265" s="274"/>
      <c r="V265" s="274"/>
      <c r="W265" s="274"/>
      <c r="X265" s="274"/>
      <c r="Y265" s="274"/>
      <c r="Z265" s="275"/>
      <c r="AA265" s="275"/>
      <c r="AB265" s="275"/>
      <c r="AC265" s="275"/>
      <c r="AD265" s="275"/>
      <c r="AE265" s="275"/>
      <c r="AF265" s="275"/>
      <c r="AG265" s="275"/>
      <c r="AH265" s="274"/>
    </row>
    <row r="266" spans="3:34" x14ac:dyDescent="0.2">
      <c r="C266" s="274"/>
      <c r="D266" s="274"/>
      <c r="E266" s="274"/>
      <c r="F266" s="274"/>
      <c r="G266" s="274"/>
      <c r="H266" s="274"/>
      <c r="I266" s="274"/>
      <c r="J266" s="274"/>
      <c r="K266" s="274"/>
      <c r="L266" s="274"/>
      <c r="M266" s="275"/>
      <c r="N266" s="275"/>
      <c r="O266" s="275"/>
      <c r="P266" s="275"/>
      <c r="Q266" s="275"/>
      <c r="R266" s="276"/>
      <c r="S266" s="277"/>
      <c r="T266" s="274"/>
      <c r="U266" s="274"/>
      <c r="V266" s="274"/>
      <c r="W266" s="274"/>
      <c r="X266" s="274"/>
      <c r="Y266" s="274"/>
      <c r="Z266" s="275"/>
      <c r="AA266" s="275"/>
      <c r="AB266" s="275"/>
      <c r="AC266" s="275"/>
      <c r="AD266" s="275"/>
      <c r="AE266" s="275"/>
      <c r="AF266" s="275"/>
      <c r="AG266" s="275"/>
      <c r="AH266" s="274"/>
    </row>
    <row r="267" spans="3:34" x14ac:dyDescent="0.2">
      <c r="C267" s="274"/>
      <c r="D267" s="274"/>
      <c r="E267" s="274"/>
      <c r="F267" s="274"/>
      <c r="G267" s="274"/>
      <c r="H267" s="274"/>
      <c r="I267" s="274"/>
      <c r="J267" s="274"/>
      <c r="K267" s="274"/>
      <c r="L267" s="274"/>
      <c r="M267" s="275"/>
      <c r="N267" s="275"/>
      <c r="O267" s="275"/>
      <c r="P267" s="275"/>
      <c r="Q267" s="275"/>
      <c r="R267" s="276"/>
      <c r="S267" s="277"/>
      <c r="T267" s="274"/>
      <c r="U267" s="274"/>
      <c r="V267" s="274"/>
      <c r="W267" s="274"/>
      <c r="X267" s="274"/>
      <c r="Y267" s="274"/>
      <c r="Z267" s="275"/>
      <c r="AA267" s="275"/>
      <c r="AB267" s="275"/>
      <c r="AC267" s="275"/>
      <c r="AD267" s="275"/>
      <c r="AE267" s="275"/>
      <c r="AF267" s="275"/>
      <c r="AG267" s="275"/>
      <c r="AH267" s="274"/>
    </row>
    <row r="268" spans="3:34" x14ac:dyDescent="0.2">
      <c r="C268" s="274"/>
      <c r="D268" s="274"/>
      <c r="E268" s="274"/>
      <c r="F268" s="274"/>
      <c r="G268" s="274"/>
      <c r="H268" s="274"/>
      <c r="I268" s="274"/>
      <c r="J268" s="274"/>
      <c r="K268" s="274"/>
      <c r="L268" s="274"/>
      <c r="M268" s="275"/>
      <c r="N268" s="275"/>
      <c r="O268" s="275"/>
      <c r="P268" s="275"/>
      <c r="Q268" s="275"/>
      <c r="R268" s="276"/>
      <c r="S268" s="277"/>
      <c r="T268" s="274"/>
      <c r="U268" s="274"/>
      <c r="V268" s="274"/>
      <c r="W268" s="274"/>
      <c r="X268" s="274"/>
      <c r="Y268" s="274"/>
      <c r="Z268" s="275"/>
      <c r="AA268" s="275"/>
      <c r="AB268" s="275"/>
      <c r="AC268" s="275"/>
      <c r="AD268" s="275"/>
      <c r="AE268" s="275"/>
      <c r="AF268" s="275"/>
      <c r="AG268" s="275"/>
      <c r="AH268" s="274"/>
    </row>
    <row r="269" spans="3:34" x14ac:dyDescent="0.2">
      <c r="C269" s="274"/>
      <c r="D269" s="274"/>
      <c r="E269" s="274"/>
      <c r="F269" s="274"/>
      <c r="G269" s="274"/>
      <c r="H269" s="274"/>
      <c r="I269" s="274"/>
      <c r="J269" s="274"/>
      <c r="K269" s="274"/>
      <c r="L269" s="274"/>
      <c r="M269" s="275"/>
      <c r="N269" s="275"/>
      <c r="O269" s="275"/>
      <c r="P269" s="275"/>
      <c r="Q269" s="275"/>
      <c r="R269" s="276"/>
      <c r="S269" s="277"/>
      <c r="T269" s="274"/>
      <c r="U269" s="274"/>
      <c r="V269" s="274"/>
      <c r="W269" s="274"/>
      <c r="X269" s="274"/>
      <c r="Y269" s="274"/>
      <c r="Z269" s="275"/>
      <c r="AA269" s="275"/>
      <c r="AB269" s="275"/>
      <c r="AC269" s="275"/>
      <c r="AD269" s="275"/>
      <c r="AE269" s="275"/>
      <c r="AF269" s="275"/>
      <c r="AG269" s="275"/>
      <c r="AH269" s="274"/>
    </row>
    <row r="270" spans="3:34" x14ac:dyDescent="0.2">
      <c r="C270" s="274"/>
      <c r="D270" s="274"/>
      <c r="E270" s="274"/>
      <c r="F270" s="274"/>
      <c r="G270" s="274"/>
      <c r="H270" s="274"/>
      <c r="I270" s="274"/>
      <c r="J270" s="274"/>
      <c r="K270" s="274"/>
      <c r="L270" s="274"/>
      <c r="M270" s="275"/>
      <c r="N270" s="275"/>
      <c r="O270" s="275"/>
      <c r="P270" s="275"/>
      <c r="Q270" s="275"/>
      <c r="R270" s="276"/>
      <c r="S270" s="277"/>
      <c r="T270" s="274"/>
      <c r="U270" s="274"/>
      <c r="V270" s="274"/>
      <c r="W270" s="274"/>
      <c r="X270" s="274"/>
      <c r="Y270" s="274"/>
      <c r="Z270" s="275"/>
      <c r="AA270" s="275"/>
      <c r="AB270" s="275"/>
      <c r="AC270" s="275"/>
      <c r="AD270" s="275"/>
      <c r="AE270" s="275"/>
      <c r="AF270" s="275"/>
      <c r="AG270" s="275"/>
      <c r="AH270" s="274"/>
    </row>
    <row r="271" spans="3:34" x14ac:dyDescent="0.2">
      <c r="C271" s="274"/>
      <c r="D271" s="274"/>
      <c r="E271" s="274"/>
      <c r="F271" s="274"/>
      <c r="G271" s="274"/>
      <c r="H271" s="274"/>
      <c r="I271" s="274"/>
      <c r="J271" s="274"/>
      <c r="K271" s="274"/>
      <c r="L271" s="274"/>
      <c r="M271" s="275"/>
      <c r="N271" s="275"/>
      <c r="O271" s="275"/>
      <c r="P271" s="275"/>
      <c r="Q271" s="275"/>
      <c r="R271" s="276"/>
      <c r="S271" s="277"/>
      <c r="T271" s="274"/>
      <c r="U271" s="274"/>
      <c r="V271" s="274"/>
      <c r="W271" s="274"/>
      <c r="X271" s="274"/>
      <c r="Y271" s="274"/>
      <c r="Z271" s="275"/>
      <c r="AA271" s="275"/>
      <c r="AB271" s="275"/>
      <c r="AC271" s="275"/>
      <c r="AD271" s="275"/>
      <c r="AE271" s="275"/>
      <c r="AF271" s="275"/>
      <c r="AG271" s="275"/>
      <c r="AH271" s="274"/>
    </row>
    <row r="272" spans="3:34" x14ac:dyDescent="0.2">
      <c r="C272" s="274"/>
      <c r="D272" s="274"/>
      <c r="E272" s="274"/>
      <c r="F272" s="274"/>
      <c r="G272" s="274"/>
      <c r="H272" s="274"/>
      <c r="I272" s="274"/>
      <c r="J272" s="274"/>
      <c r="K272" s="274"/>
      <c r="L272" s="274"/>
      <c r="M272" s="275"/>
      <c r="N272" s="275"/>
      <c r="O272" s="275"/>
      <c r="P272" s="275"/>
      <c r="Q272" s="275"/>
      <c r="R272" s="276"/>
      <c r="S272" s="277"/>
      <c r="T272" s="274"/>
      <c r="U272" s="274"/>
      <c r="V272" s="274"/>
      <c r="W272" s="274"/>
      <c r="X272" s="274"/>
      <c r="Y272" s="274"/>
      <c r="Z272" s="275"/>
      <c r="AA272" s="275"/>
      <c r="AB272" s="275"/>
      <c r="AC272" s="275"/>
      <c r="AD272" s="275"/>
      <c r="AE272" s="275"/>
      <c r="AF272" s="275"/>
      <c r="AG272" s="275"/>
      <c r="AH272" s="274"/>
    </row>
    <row r="273" spans="3:34" x14ac:dyDescent="0.2">
      <c r="C273" s="274"/>
      <c r="D273" s="274"/>
      <c r="E273" s="274"/>
      <c r="F273" s="274"/>
      <c r="G273" s="274"/>
      <c r="H273" s="274"/>
      <c r="I273" s="274"/>
      <c r="J273" s="274"/>
      <c r="K273" s="274"/>
      <c r="L273" s="274"/>
      <c r="M273" s="275"/>
      <c r="N273" s="275"/>
      <c r="O273" s="275"/>
      <c r="P273" s="275"/>
      <c r="Q273" s="275"/>
      <c r="R273" s="276"/>
      <c r="S273" s="277"/>
      <c r="T273" s="274"/>
      <c r="U273" s="274"/>
      <c r="V273" s="274"/>
      <c r="W273" s="274"/>
      <c r="X273" s="274"/>
      <c r="Y273" s="274"/>
      <c r="Z273" s="275"/>
      <c r="AA273" s="275"/>
      <c r="AB273" s="275"/>
      <c r="AC273" s="275"/>
      <c r="AD273" s="275"/>
      <c r="AE273" s="275"/>
      <c r="AF273" s="275"/>
      <c r="AG273" s="275"/>
      <c r="AH273" s="274"/>
    </row>
    <row r="274" spans="3:34" x14ac:dyDescent="0.2">
      <c r="C274" s="274"/>
      <c r="D274" s="274"/>
      <c r="E274" s="274"/>
      <c r="F274" s="274"/>
      <c r="G274" s="274"/>
      <c r="H274" s="274"/>
      <c r="I274" s="274"/>
      <c r="J274" s="274"/>
      <c r="K274" s="274"/>
      <c r="L274" s="274"/>
      <c r="M274" s="275"/>
      <c r="N274" s="275"/>
      <c r="O274" s="275"/>
      <c r="P274" s="275"/>
      <c r="Q274" s="275"/>
      <c r="R274" s="276"/>
      <c r="S274" s="277"/>
      <c r="T274" s="274"/>
      <c r="U274" s="274"/>
      <c r="V274" s="274"/>
      <c r="W274" s="274"/>
      <c r="X274" s="274"/>
      <c r="Y274" s="274"/>
      <c r="Z274" s="275"/>
      <c r="AA274" s="275"/>
      <c r="AB274" s="275"/>
      <c r="AC274" s="275"/>
      <c r="AD274" s="275"/>
      <c r="AE274" s="275"/>
      <c r="AF274" s="275"/>
      <c r="AG274" s="275"/>
      <c r="AH274" s="274"/>
    </row>
    <row r="275" spans="3:34" x14ac:dyDescent="0.2">
      <c r="C275" s="274"/>
      <c r="D275" s="274"/>
      <c r="E275" s="274"/>
      <c r="F275" s="274"/>
      <c r="G275" s="274"/>
      <c r="H275" s="274"/>
      <c r="I275" s="274"/>
      <c r="J275" s="274"/>
      <c r="K275" s="274"/>
      <c r="L275" s="274"/>
      <c r="M275" s="275"/>
      <c r="N275" s="275"/>
      <c r="O275" s="275"/>
      <c r="P275" s="275"/>
      <c r="Q275" s="275"/>
      <c r="R275" s="276"/>
      <c r="S275" s="277"/>
      <c r="T275" s="274"/>
      <c r="U275" s="274"/>
      <c r="V275" s="274"/>
      <c r="W275" s="274"/>
      <c r="X275" s="274"/>
      <c r="Y275" s="274"/>
      <c r="Z275" s="275"/>
      <c r="AA275" s="275"/>
      <c r="AB275" s="275"/>
      <c r="AC275" s="275"/>
      <c r="AD275" s="275"/>
      <c r="AE275" s="275"/>
      <c r="AF275" s="275"/>
      <c r="AG275" s="275"/>
      <c r="AH275" s="274"/>
    </row>
    <row r="276" spans="3:34" x14ac:dyDescent="0.2">
      <c r="C276" s="274"/>
      <c r="D276" s="274"/>
      <c r="E276" s="274"/>
      <c r="F276" s="274"/>
      <c r="G276" s="274"/>
      <c r="H276" s="274"/>
      <c r="I276" s="274"/>
      <c r="J276" s="274"/>
      <c r="K276" s="274"/>
      <c r="L276" s="274"/>
      <c r="M276" s="275"/>
      <c r="N276" s="275"/>
      <c r="O276" s="275"/>
      <c r="P276" s="275"/>
      <c r="Q276" s="275"/>
      <c r="R276" s="276"/>
      <c r="S276" s="277"/>
      <c r="T276" s="274"/>
      <c r="U276" s="274"/>
      <c r="V276" s="274"/>
      <c r="W276" s="274"/>
      <c r="X276" s="274"/>
      <c r="Y276" s="274"/>
      <c r="Z276" s="275"/>
      <c r="AA276" s="275"/>
      <c r="AB276" s="275"/>
      <c r="AC276" s="275"/>
      <c r="AD276" s="275"/>
      <c r="AE276" s="275"/>
      <c r="AF276" s="275"/>
      <c r="AG276" s="275"/>
      <c r="AH276" s="274"/>
    </row>
    <row r="277" spans="3:34" x14ac:dyDescent="0.2">
      <c r="C277" s="274"/>
      <c r="D277" s="274"/>
      <c r="E277" s="274"/>
      <c r="F277" s="274"/>
      <c r="G277" s="274"/>
      <c r="H277" s="274"/>
      <c r="I277" s="274"/>
      <c r="J277" s="274"/>
      <c r="K277" s="274"/>
      <c r="L277" s="274"/>
      <c r="M277" s="275"/>
      <c r="N277" s="275"/>
      <c r="O277" s="275"/>
      <c r="P277" s="275"/>
      <c r="Q277" s="275"/>
      <c r="R277" s="276"/>
      <c r="S277" s="277"/>
      <c r="T277" s="274"/>
      <c r="U277" s="274"/>
      <c r="V277" s="274"/>
      <c r="W277" s="274"/>
      <c r="X277" s="274"/>
      <c r="Y277" s="274"/>
      <c r="Z277" s="275"/>
      <c r="AA277" s="275"/>
      <c r="AB277" s="275"/>
      <c r="AC277" s="275"/>
      <c r="AD277" s="275"/>
      <c r="AE277" s="275"/>
      <c r="AF277" s="275"/>
      <c r="AG277" s="275"/>
      <c r="AH277" s="274"/>
    </row>
    <row r="278" spans="3:34" x14ac:dyDescent="0.2">
      <c r="C278" s="274"/>
      <c r="D278" s="274"/>
      <c r="E278" s="274"/>
      <c r="F278" s="274"/>
      <c r="G278" s="274"/>
      <c r="H278" s="274"/>
      <c r="I278" s="274"/>
      <c r="J278" s="274"/>
      <c r="K278" s="274"/>
      <c r="L278" s="274"/>
      <c r="M278" s="275"/>
      <c r="N278" s="275"/>
      <c r="O278" s="275"/>
      <c r="P278" s="275"/>
      <c r="Q278" s="275"/>
      <c r="R278" s="276"/>
      <c r="S278" s="277"/>
      <c r="T278" s="274"/>
      <c r="U278" s="274"/>
      <c r="V278" s="274"/>
      <c r="W278" s="274"/>
      <c r="X278" s="274"/>
      <c r="Y278" s="274"/>
      <c r="Z278" s="275"/>
      <c r="AA278" s="275"/>
      <c r="AB278" s="275"/>
      <c r="AC278" s="275"/>
      <c r="AD278" s="275"/>
      <c r="AE278" s="275"/>
      <c r="AF278" s="275"/>
      <c r="AG278" s="275"/>
      <c r="AH278" s="274"/>
    </row>
    <row r="279" spans="3:34" x14ac:dyDescent="0.2">
      <c r="C279" s="274"/>
      <c r="D279" s="274"/>
      <c r="E279" s="274"/>
      <c r="F279" s="274"/>
      <c r="G279" s="274"/>
      <c r="H279" s="274"/>
      <c r="I279" s="274"/>
      <c r="J279" s="274"/>
      <c r="K279" s="274"/>
      <c r="L279" s="274"/>
      <c r="M279" s="275"/>
      <c r="N279" s="275"/>
      <c r="O279" s="275"/>
      <c r="P279" s="275"/>
      <c r="Q279" s="275"/>
      <c r="R279" s="276"/>
      <c r="S279" s="277"/>
      <c r="T279" s="274"/>
      <c r="U279" s="274"/>
      <c r="V279" s="274"/>
      <c r="W279" s="274"/>
      <c r="X279" s="274"/>
      <c r="Y279" s="274"/>
      <c r="Z279" s="275"/>
      <c r="AA279" s="275"/>
      <c r="AB279" s="275"/>
      <c r="AC279" s="275"/>
      <c r="AD279" s="275"/>
      <c r="AE279" s="275"/>
      <c r="AF279" s="275"/>
      <c r="AG279" s="275"/>
      <c r="AH279" s="274"/>
    </row>
    <row r="280" spans="3:34" x14ac:dyDescent="0.2">
      <c r="C280" s="274"/>
      <c r="D280" s="274"/>
      <c r="E280" s="274"/>
      <c r="F280" s="274"/>
      <c r="G280" s="274"/>
      <c r="H280" s="274"/>
      <c r="I280" s="274"/>
      <c r="J280" s="274"/>
      <c r="K280" s="274"/>
      <c r="L280" s="274"/>
      <c r="M280" s="275"/>
      <c r="N280" s="275"/>
      <c r="O280" s="275"/>
      <c r="P280" s="275"/>
      <c r="Q280" s="275"/>
      <c r="R280" s="276"/>
      <c r="S280" s="277"/>
      <c r="T280" s="274"/>
      <c r="U280" s="274"/>
      <c r="V280" s="274"/>
      <c r="W280" s="274"/>
      <c r="X280" s="274"/>
      <c r="Y280" s="274"/>
      <c r="Z280" s="275"/>
      <c r="AA280" s="275"/>
      <c r="AB280" s="275"/>
      <c r="AC280" s="275"/>
      <c r="AD280" s="275"/>
      <c r="AE280" s="275"/>
      <c r="AF280" s="275"/>
      <c r="AG280" s="275"/>
      <c r="AH280" s="274"/>
    </row>
    <row r="281" spans="3:34" x14ac:dyDescent="0.2">
      <c r="C281" s="274"/>
      <c r="D281" s="274"/>
      <c r="E281" s="274"/>
      <c r="F281" s="274"/>
      <c r="G281" s="274"/>
      <c r="H281" s="274"/>
      <c r="I281" s="274"/>
      <c r="J281" s="274"/>
      <c r="K281" s="274"/>
      <c r="L281" s="274"/>
      <c r="M281" s="275"/>
      <c r="N281" s="275"/>
      <c r="O281" s="275"/>
      <c r="P281" s="275"/>
      <c r="Q281" s="275"/>
      <c r="R281" s="276"/>
      <c r="S281" s="277"/>
      <c r="T281" s="274"/>
      <c r="U281" s="274"/>
      <c r="V281" s="274"/>
      <c r="W281" s="274"/>
      <c r="X281" s="274"/>
      <c r="Y281" s="274"/>
      <c r="Z281" s="275"/>
      <c r="AA281" s="275"/>
      <c r="AB281" s="275"/>
      <c r="AC281" s="275"/>
      <c r="AD281" s="275"/>
      <c r="AE281" s="275"/>
      <c r="AF281" s="275"/>
      <c r="AG281" s="275"/>
      <c r="AH281" s="274"/>
    </row>
    <row r="282" spans="3:34" x14ac:dyDescent="0.2">
      <c r="C282" s="274"/>
      <c r="D282" s="274"/>
      <c r="E282" s="274"/>
      <c r="F282" s="274"/>
      <c r="G282" s="274"/>
      <c r="H282" s="274"/>
      <c r="I282" s="274"/>
      <c r="J282" s="274"/>
      <c r="K282" s="274"/>
      <c r="L282" s="274"/>
      <c r="M282" s="275"/>
      <c r="N282" s="275"/>
      <c r="O282" s="275"/>
      <c r="P282" s="275"/>
      <c r="Q282" s="275"/>
      <c r="R282" s="276"/>
      <c r="S282" s="277"/>
      <c r="T282" s="274"/>
      <c r="U282" s="274"/>
      <c r="V282" s="274"/>
      <c r="W282" s="274"/>
      <c r="X282" s="274"/>
      <c r="Y282" s="274"/>
      <c r="Z282" s="275"/>
      <c r="AA282" s="275"/>
      <c r="AB282" s="275"/>
      <c r="AC282" s="275"/>
      <c r="AD282" s="275"/>
      <c r="AE282" s="275"/>
      <c r="AF282" s="275"/>
      <c r="AG282" s="275"/>
      <c r="AH282" s="274"/>
    </row>
    <row r="283" spans="3:34" x14ac:dyDescent="0.2">
      <c r="C283" s="274"/>
      <c r="D283" s="274"/>
      <c r="E283" s="274"/>
      <c r="F283" s="274"/>
      <c r="G283" s="274"/>
      <c r="H283" s="274"/>
      <c r="I283" s="274"/>
      <c r="J283" s="274"/>
      <c r="K283" s="274"/>
      <c r="L283" s="274"/>
      <c r="M283" s="275"/>
      <c r="N283" s="275"/>
      <c r="O283" s="275"/>
      <c r="P283" s="275"/>
      <c r="Q283" s="275"/>
      <c r="R283" s="276"/>
      <c r="S283" s="277"/>
      <c r="T283" s="274"/>
      <c r="U283" s="274"/>
      <c r="V283" s="274"/>
      <c r="W283" s="274"/>
      <c r="X283" s="274"/>
      <c r="Y283" s="274"/>
      <c r="Z283" s="275"/>
      <c r="AA283" s="275"/>
      <c r="AB283" s="275"/>
      <c r="AC283" s="275"/>
      <c r="AD283" s="275"/>
      <c r="AE283" s="275"/>
      <c r="AF283" s="275"/>
      <c r="AG283" s="275"/>
      <c r="AH283" s="274"/>
    </row>
    <row r="284" spans="3:34" x14ac:dyDescent="0.2">
      <c r="C284" s="274"/>
      <c r="D284" s="274"/>
      <c r="E284" s="274"/>
      <c r="F284" s="274"/>
      <c r="G284" s="274"/>
      <c r="H284" s="274"/>
      <c r="I284" s="274"/>
      <c r="J284" s="274"/>
      <c r="K284" s="274"/>
      <c r="L284" s="274"/>
      <c r="M284" s="275"/>
      <c r="N284" s="275"/>
      <c r="O284" s="275"/>
      <c r="P284" s="275"/>
      <c r="Q284" s="275"/>
      <c r="R284" s="276"/>
      <c r="S284" s="277"/>
      <c r="T284" s="274"/>
      <c r="U284" s="274"/>
      <c r="V284" s="274"/>
      <c r="W284" s="274"/>
      <c r="X284" s="274"/>
      <c r="Y284" s="274"/>
      <c r="Z284" s="275"/>
      <c r="AA284" s="275"/>
      <c r="AB284" s="275"/>
      <c r="AC284" s="275"/>
      <c r="AD284" s="275"/>
      <c r="AE284" s="275"/>
      <c r="AF284" s="275"/>
      <c r="AG284" s="275"/>
      <c r="AH284" s="274"/>
    </row>
    <row r="285" spans="3:34" x14ac:dyDescent="0.2">
      <c r="C285" s="274"/>
      <c r="D285" s="274"/>
      <c r="E285" s="274"/>
      <c r="F285" s="274"/>
      <c r="G285" s="274"/>
      <c r="H285" s="274"/>
      <c r="I285" s="274"/>
      <c r="J285" s="274"/>
      <c r="K285" s="274"/>
      <c r="L285" s="274"/>
      <c r="M285" s="275"/>
      <c r="N285" s="275"/>
      <c r="O285" s="275"/>
      <c r="P285" s="275"/>
      <c r="Q285" s="275"/>
      <c r="R285" s="276"/>
      <c r="S285" s="277"/>
      <c r="T285" s="274"/>
      <c r="U285" s="274"/>
      <c r="V285" s="274"/>
      <c r="W285" s="274"/>
      <c r="X285" s="274"/>
      <c r="Y285" s="274"/>
      <c r="Z285" s="275"/>
      <c r="AA285" s="275"/>
      <c r="AB285" s="275"/>
      <c r="AC285" s="275"/>
      <c r="AD285" s="275"/>
      <c r="AE285" s="275"/>
      <c r="AF285" s="275"/>
      <c r="AG285" s="275"/>
      <c r="AH285" s="274"/>
    </row>
    <row r="286" spans="3:34" x14ac:dyDescent="0.2">
      <c r="C286" s="274"/>
      <c r="D286" s="274"/>
      <c r="E286" s="274"/>
      <c r="F286" s="274"/>
      <c r="G286" s="274"/>
      <c r="H286" s="274"/>
      <c r="I286" s="274"/>
      <c r="J286" s="274"/>
      <c r="K286" s="274"/>
      <c r="L286" s="274"/>
      <c r="M286" s="275"/>
      <c r="N286" s="275"/>
      <c r="O286" s="275"/>
      <c r="P286" s="275"/>
      <c r="Q286" s="275"/>
      <c r="R286" s="276"/>
      <c r="S286" s="277"/>
      <c r="T286" s="274"/>
      <c r="U286" s="274"/>
      <c r="V286" s="274"/>
      <c r="W286" s="274"/>
      <c r="X286" s="274"/>
      <c r="Y286" s="274"/>
      <c r="Z286" s="275"/>
      <c r="AA286" s="275"/>
      <c r="AB286" s="275"/>
      <c r="AC286" s="275"/>
      <c r="AD286" s="275"/>
      <c r="AE286" s="275"/>
      <c r="AF286" s="275"/>
      <c r="AG286" s="275"/>
      <c r="AH286" s="274"/>
    </row>
    <row r="287" spans="3:34" x14ac:dyDescent="0.2">
      <c r="C287" s="274"/>
      <c r="D287" s="274"/>
      <c r="E287" s="274"/>
      <c r="F287" s="274"/>
      <c r="G287" s="274"/>
      <c r="H287" s="274"/>
      <c r="I287" s="274"/>
      <c r="J287" s="274"/>
      <c r="K287" s="274"/>
      <c r="L287" s="274"/>
      <c r="M287" s="275"/>
      <c r="N287" s="275"/>
      <c r="O287" s="275"/>
      <c r="P287" s="275"/>
      <c r="Q287" s="275"/>
      <c r="R287" s="276"/>
      <c r="S287" s="277"/>
      <c r="T287" s="274"/>
      <c r="U287" s="274"/>
      <c r="V287" s="274"/>
      <c r="W287" s="274"/>
      <c r="X287" s="274"/>
      <c r="Y287" s="274"/>
      <c r="Z287" s="275"/>
      <c r="AA287" s="275"/>
      <c r="AB287" s="275"/>
      <c r="AC287" s="275"/>
      <c r="AD287" s="275"/>
      <c r="AE287" s="275"/>
      <c r="AF287" s="275"/>
      <c r="AG287" s="275"/>
      <c r="AH287" s="274"/>
    </row>
    <row r="288" spans="3:34" x14ac:dyDescent="0.2">
      <c r="C288" s="274"/>
      <c r="D288" s="274"/>
      <c r="E288" s="274"/>
      <c r="F288" s="274"/>
      <c r="G288" s="274"/>
      <c r="H288" s="274"/>
      <c r="I288" s="274"/>
      <c r="J288" s="274"/>
      <c r="K288" s="274"/>
      <c r="L288" s="274"/>
      <c r="M288" s="275"/>
      <c r="N288" s="275"/>
      <c r="O288" s="275"/>
      <c r="P288" s="275"/>
      <c r="Q288" s="275"/>
      <c r="R288" s="276"/>
      <c r="S288" s="277"/>
      <c r="T288" s="274"/>
      <c r="U288" s="274"/>
      <c r="V288" s="274"/>
      <c r="W288" s="274"/>
      <c r="X288" s="274"/>
      <c r="Y288" s="274"/>
      <c r="Z288" s="275"/>
      <c r="AA288" s="275"/>
      <c r="AB288" s="275"/>
      <c r="AC288" s="275"/>
      <c r="AD288" s="275"/>
      <c r="AE288" s="275"/>
      <c r="AF288" s="275"/>
      <c r="AG288" s="275"/>
      <c r="AH288" s="274"/>
    </row>
    <row r="289" spans="3:34" x14ac:dyDescent="0.2">
      <c r="C289" s="274"/>
      <c r="D289" s="274"/>
      <c r="E289" s="274"/>
      <c r="F289" s="274"/>
      <c r="G289" s="274"/>
      <c r="H289" s="274"/>
      <c r="I289" s="274"/>
      <c r="J289" s="274"/>
      <c r="K289" s="274"/>
      <c r="L289" s="274"/>
      <c r="M289" s="275"/>
      <c r="N289" s="275"/>
      <c r="O289" s="275"/>
      <c r="P289" s="275"/>
      <c r="Q289" s="275"/>
      <c r="R289" s="276"/>
      <c r="S289" s="277"/>
      <c r="T289" s="274"/>
      <c r="U289" s="274"/>
      <c r="V289" s="274"/>
      <c r="W289" s="274"/>
      <c r="X289" s="274"/>
      <c r="Y289" s="274"/>
      <c r="Z289" s="275"/>
      <c r="AA289" s="275"/>
      <c r="AB289" s="275"/>
      <c r="AC289" s="275"/>
      <c r="AD289" s="275"/>
      <c r="AE289" s="275"/>
      <c r="AF289" s="275"/>
      <c r="AG289" s="275"/>
      <c r="AH289" s="274"/>
    </row>
    <row r="290" spans="3:34" x14ac:dyDescent="0.2">
      <c r="C290" s="274"/>
      <c r="D290" s="274"/>
      <c r="E290" s="274"/>
      <c r="F290" s="274"/>
      <c r="G290" s="274"/>
      <c r="H290" s="274"/>
      <c r="I290" s="274"/>
      <c r="J290" s="274"/>
      <c r="K290" s="274"/>
      <c r="L290" s="274"/>
      <c r="M290" s="275"/>
      <c r="N290" s="275"/>
      <c r="O290" s="275"/>
      <c r="P290" s="275"/>
      <c r="Q290" s="275"/>
      <c r="R290" s="276"/>
      <c r="S290" s="277"/>
      <c r="T290" s="274"/>
      <c r="U290" s="274"/>
      <c r="V290" s="274"/>
      <c r="W290" s="274"/>
      <c r="X290" s="274"/>
      <c r="Y290" s="274"/>
      <c r="Z290" s="275"/>
      <c r="AA290" s="275"/>
      <c r="AB290" s="275"/>
      <c r="AC290" s="275"/>
      <c r="AD290" s="275"/>
      <c r="AE290" s="275"/>
      <c r="AF290" s="275"/>
      <c r="AG290" s="275"/>
      <c r="AH290" s="274"/>
    </row>
    <row r="291" spans="3:34" x14ac:dyDescent="0.2">
      <c r="C291" s="274"/>
      <c r="D291" s="274"/>
      <c r="E291" s="274"/>
      <c r="F291" s="274"/>
      <c r="G291" s="274"/>
      <c r="H291" s="274"/>
      <c r="I291" s="274"/>
      <c r="J291" s="274"/>
      <c r="K291" s="274"/>
      <c r="L291" s="274"/>
      <c r="M291" s="275"/>
      <c r="N291" s="275"/>
      <c r="O291" s="275"/>
      <c r="P291" s="275"/>
      <c r="Q291" s="275"/>
      <c r="R291" s="276"/>
      <c r="S291" s="277"/>
      <c r="T291" s="274"/>
      <c r="U291" s="274"/>
      <c r="V291" s="274"/>
      <c r="W291" s="274"/>
      <c r="X291" s="274"/>
      <c r="Y291" s="274"/>
      <c r="Z291" s="275"/>
      <c r="AA291" s="275"/>
      <c r="AB291" s="275"/>
      <c r="AC291" s="275"/>
      <c r="AD291" s="275"/>
      <c r="AE291" s="275"/>
      <c r="AF291" s="275"/>
      <c r="AG291" s="275"/>
      <c r="AH291" s="274"/>
    </row>
    <row r="292" spans="3:34" x14ac:dyDescent="0.2">
      <c r="C292" s="274"/>
      <c r="D292" s="274"/>
      <c r="E292" s="274"/>
      <c r="F292" s="274"/>
      <c r="G292" s="274"/>
      <c r="H292" s="274"/>
      <c r="I292" s="274"/>
      <c r="J292" s="274"/>
      <c r="K292" s="274"/>
      <c r="L292" s="274"/>
      <c r="M292" s="275"/>
      <c r="N292" s="275"/>
      <c r="O292" s="275"/>
      <c r="P292" s="275"/>
      <c r="Q292" s="275"/>
      <c r="R292" s="276"/>
      <c r="S292" s="277"/>
      <c r="T292" s="274"/>
      <c r="U292" s="274"/>
      <c r="V292" s="274"/>
      <c r="W292" s="274"/>
      <c r="X292" s="274"/>
      <c r="Y292" s="274"/>
      <c r="Z292" s="275"/>
      <c r="AA292" s="275"/>
      <c r="AB292" s="275"/>
      <c r="AC292" s="275"/>
      <c r="AD292" s="275"/>
      <c r="AE292" s="275"/>
      <c r="AF292" s="275"/>
      <c r="AG292" s="275"/>
      <c r="AH292" s="274"/>
    </row>
    <row r="293" spans="3:34" x14ac:dyDescent="0.2">
      <c r="C293" s="274"/>
      <c r="D293" s="274"/>
      <c r="E293" s="274"/>
      <c r="F293" s="274"/>
      <c r="G293" s="274"/>
      <c r="H293" s="274"/>
      <c r="I293" s="274"/>
      <c r="J293" s="274"/>
      <c r="K293" s="274"/>
      <c r="L293" s="274"/>
      <c r="M293" s="275"/>
      <c r="N293" s="275"/>
      <c r="O293" s="275"/>
      <c r="P293" s="275"/>
      <c r="Q293" s="275"/>
      <c r="R293" s="276"/>
      <c r="S293" s="277"/>
      <c r="T293" s="274"/>
      <c r="U293" s="274"/>
      <c r="V293" s="274"/>
      <c r="W293" s="274"/>
      <c r="X293" s="274"/>
      <c r="Y293" s="274"/>
      <c r="Z293" s="275"/>
      <c r="AA293" s="275"/>
      <c r="AB293" s="275"/>
      <c r="AC293" s="275"/>
      <c r="AD293" s="275"/>
      <c r="AE293" s="275"/>
      <c r="AF293" s="275"/>
      <c r="AG293" s="275"/>
      <c r="AH293" s="274"/>
    </row>
    <row r="294" spans="3:34" x14ac:dyDescent="0.2">
      <c r="C294" s="274"/>
      <c r="D294" s="274"/>
      <c r="E294" s="274"/>
      <c r="F294" s="274"/>
      <c r="G294" s="274"/>
      <c r="H294" s="274"/>
      <c r="I294" s="274"/>
      <c r="J294" s="274"/>
      <c r="K294" s="274"/>
      <c r="L294" s="274"/>
      <c r="M294" s="275"/>
      <c r="N294" s="275"/>
      <c r="O294" s="275"/>
      <c r="P294" s="275"/>
      <c r="Q294" s="275"/>
      <c r="R294" s="276"/>
      <c r="S294" s="277"/>
      <c r="T294" s="274"/>
      <c r="U294" s="274"/>
      <c r="V294" s="274"/>
      <c r="W294" s="274"/>
      <c r="X294" s="274"/>
      <c r="Y294" s="274"/>
      <c r="Z294" s="275"/>
      <c r="AA294" s="275"/>
      <c r="AB294" s="275"/>
      <c r="AC294" s="275"/>
      <c r="AD294" s="275"/>
      <c r="AE294" s="275"/>
      <c r="AF294" s="275"/>
      <c r="AG294" s="275"/>
      <c r="AH294" s="274"/>
    </row>
    <row r="295" spans="3:34" x14ac:dyDescent="0.2">
      <c r="C295" s="274"/>
      <c r="D295" s="274"/>
      <c r="E295" s="274"/>
      <c r="F295" s="274"/>
      <c r="G295" s="274"/>
      <c r="H295" s="274"/>
      <c r="I295" s="274"/>
      <c r="J295" s="274"/>
      <c r="K295" s="274"/>
      <c r="L295" s="274"/>
      <c r="M295" s="275"/>
      <c r="N295" s="275"/>
      <c r="O295" s="275"/>
      <c r="P295" s="275"/>
      <c r="Q295" s="275"/>
      <c r="R295" s="276"/>
      <c r="S295" s="277"/>
      <c r="T295" s="274"/>
      <c r="U295" s="274"/>
      <c r="V295" s="274"/>
      <c r="W295" s="274"/>
      <c r="X295" s="274"/>
      <c r="Y295" s="274"/>
      <c r="Z295" s="275"/>
      <c r="AA295" s="275"/>
      <c r="AB295" s="275"/>
      <c r="AC295" s="275"/>
      <c r="AD295" s="275"/>
      <c r="AE295" s="275"/>
      <c r="AF295" s="275"/>
      <c r="AG295" s="275"/>
      <c r="AH295" s="274"/>
    </row>
    <row r="296" spans="3:34" x14ac:dyDescent="0.2">
      <c r="C296" s="274"/>
      <c r="D296" s="274"/>
      <c r="E296" s="274"/>
      <c r="F296" s="274"/>
      <c r="G296" s="274"/>
      <c r="H296" s="274"/>
      <c r="I296" s="274"/>
      <c r="J296" s="274"/>
      <c r="K296" s="274"/>
      <c r="L296" s="274"/>
      <c r="M296" s="275"/>
      <c r="N296" s="275"/>
      <c r="O296" s="275"/>
      <c r="P296" s="275"/>
      <c r="Q296" s="275"/>
      <c r="R296" s="276"/>
      <c r="S296" s="277"/>
      <c r="T296" s="274"/>
      <c r="U296" s="274"/>
      <c r="V296" s="274"/>
      <c r="W296" s="274"/>
      <c r="X296" s="274"/>
      <c r="Y296" s="274"/>
      <c r="Z296" s="275"/>
      <c r="AA296" s="275"/>
      <c r="AB296" s="275"/>
      <c r="AC296" s="275"/>
      <c r="AD296" s="275"/>
      <c r="AE296" s="275"/>
      <c r="AF296" s="275"/>
      <c r="AG296" s="275"/>
      <c r="AH296" s="274"/>
    </row>
    <row r="297" spans="3:34" x14ac:dyDescent="0.2">
      <c r="C297" s="274"/>
      <c r="D297" s="274"/>
      <c r="E297" s="274"/>
      <c r="F297" s="274"/>
      <c r="G297" s="274"/>
      <c r="H297" s="274"/>
      <c r="I297" s="274"/>
      <c r="J297" s="274"/>
      <c r="K297" s="274"/>
      <c r="L297" s="274"/>
      <c r="M297" s="275"/>
      <c r="N297" s="275"/>
      <c r="O297" s="275"/>
      <c r="P297" s="275"/>
      <c r="Q297" s="275"/>
      <c r="R297" s="276"/>
      <c r="S297" s="277"/>
      <c r="T297" s="274"/>
      <c r="U297" s="274"/>
      <c r="V297" s="274"/>
      <c r="W297" s="274"/>
      <c r="X297" s="274"/>
      <c r="Y297" s="274"/>
      <c r="Z297" s="275"/>
      <c r="AA297" s="275"/>
      <c r="AB297" s="275"/>
      <c r="AC297" s="275"/>
      <c r="AD297" s="275"/>
      <c r="AE297" s="275"/>
      <c r="AF297" s="275"/>
      <c r="AG297" s="275"/>
      <c r="AH297" s="274"/>
    </row>
    <row r="298" spans="3:34" x14ac:dyDescent="0.2">
      <c r="C298" s="274"/>
      <c r="D298" s="274"/>
      <c r="E298" s="274"/>
      <c r="F298" s="274"/>
      <c r="G298" s="274"/>
      <c r="H298" s="274"/>
      <c r="I298" s="274"/>
      <c r="J298" s="274"/>
      <c r="K298" s="274"/>
      <c r="L298" s="274"/>
      <c r="M298" s="275"/>
      <c r="N298" s="275"/>
      <c r="O298" s="275"/>
      <c r="P298" s="275"/>
      <c r="Q298" s="275"/>
      <c r="R298" s="276"/>
      <c r="S298" s="277"/>
      <c r="T298" s="274"/>
      <c r="U298" s="274"/>
      <c r="V298" s="274"/>
      <c r="W298" s="274"/>
      <c r="X298" s="274"/>
      <c r="Y298" s="274"/>
      <c r="Z298" s="275"/>
      <c r="AA298" s="275"/>
      <c r="AB298" s="275"/>
      <c r="AC298" s="275"/>
      <c r="AD298" s="275"/>
      <c r="AE298" s="275"/>
      <c r="AF298" s="275"/>
      <c r="AG298" s="275"/>
      <c r="AH298" s="274"/>
    </row>
    <row r="299" spans="3:34" x14ac:dyDescent="0.2">
      <c r="C299" s="274"/>
      <c r="D299" s="274"/>
      <c r="E299" s="274"/>
      <c r="F299" s="274"/>
      <c r="G299" s="274"/>
      <c r="H299" s="274"/>
      <c r="I299" s="274"/>
      <c r="J299" s="274"/>
      <c r="K299" s="274"/>
      <c r="L299" s="274"/>
      <c r="M299" s="275"/>
      <c r="N299" s="275"/>
      <c r="O299" s="275"/>
      <c r="P299" s="275"/>
      <c r="Q299" s="275"/>
      <c r="R299" s="276"/>
      <c r="S299" s="277"/>
      <c r="T299" s="274"/>
      <c r="U299" s="274"/>
      <c r="V299" s="274"/>
      <c r="W299" s="274"/>
      <c r="X299" s="274"/>
      <c r="Y299" s="274"/>
      <c r="Z299" s="275"/>
      <c r="AA299" s="275"/>
      <c r="AB299" s="275"/>
      <c r="AC299" s="275"/>
      <c r="AD299" s="275"/>
      <c r="AE299" s="275"/>
      <c r="AF299" s="275"/>
      <c r="AG299" s="275"/>
      <c r="AH299" s="274"/>
    </row>
    <row r="300" spans="3:34" x14ac:dyDescent="0.2">
      <c r="C300" s="274"/>
      <c r="D300" s="274"/>
      <c r="E300" s="274"/>
      <c r="F300" s="274"/>
      <c r="G300" s="274"/>
      <c r="H300" s="274"/>
      <c r="I300" s="274"/>
      <c r="J300" s="274"/>
      <c r="K300" s="274"/>
      <c r="L300" s="274"/>
      <c r="M300" s="275"/>
      <c r="N300" s="275"/>
      <c r="O300" s="275"/>
      <c r="P300" s="275"/>
      <c r="Q300" s="275"/>
      <c r="R300" s="276"/>
      <c r="S300" s="277"/>
      <c r="T300" s="274"/>
      <c r="U300" s="274"/>
      <c r="V300" s="274"/>
      <c r="W300" s="274"/>
      <c r="X300" s="274"/>
      <c r="Y300" s="274"/>
      <c r="Z300" s="275"/>
      <c r="AA300" s="275"/>
      <c r="AB300" s="275"/>
      <c r="AC300" s="275"/>
      <c r="AD300" s="275"/>
      <c r="AE300" s="275"/>
      <c r="AF300" s="275"/>
      <c r="AG300" s="275"/>
      <c r="AH300" s="274"/>
    </row>
    <row r="301" spans="3:34" x14ac:dyDescent="0.2">
      <c r="C301" s="274"/>
      <c r="D301" s="274"/>
      <c r="E301" s="274"/>
      <c r="F301" s="274"/>
      <c r="G301" s="274"/>
      <c r="H301" s="274"/>
      <c r="I301" s="274"/>
      <c r="J301" s="274"/>
      <c r="K301" s="274"/>
      <c r="L301" s="274"/>
      <c r="M301" s="275"/>
      <c r="N301" s="275"/>
      <c r="O301" s="275"/>
      <c r="P301" s="275"/>
      <c r="Q301" s="275"/>
      <c r="R301" s="276"/>
      <c r="S301" s="277"/>
      <c r="T301" s="274"/>
      <c r="U301" s="274"/>
      <c r="V301" s="274"/>
      <c r="W301" s="274"/>
      <c r="X301" s="274"/>
      <c r="Y301" s="274"/>
      <c r="Z301" s="275"/>
      <c r="AA301" s="275"/>
      <c r="AB301" s="275"/>
      <c r="AC301" s="275"/>
      <c r="AD301" s="275"/>
      <c r="AE301" s="275"/>
      <c r="AF301" s="275"/>
      <c r="AG301" s="275"/>
      <c r="AH301" s="274"/>
    </row>
    <row r="302" spans="3:34" x14ac:dyDescent="0.2">
      <c r="C302" s="274"/>
      <c r="D302" s="274"/>
      <c r="E302" s="274"/>
      <c r="F302" s="274"/>
      <c r="G302" s="274"/>
      <c r="H302" s="274"/>
      <c r="I302" s="274"/>
      <c r="J302" s="274"/>
      <c r="K302" s="274"/>
      <c r="L302" s="274"/>
      <c r="M302" s="275"/>
      <c r="N302" s="275"/>
      <c r="O302" s="275"/>
      <c r="P302" s="275"/>
      <c r="Q302" s="275"/>
      <c r="R302" s="276"/>
      <c r="S302" s="277"/>
      <c r="T302" s="274"/>
      <c r="U302" s="274"/>
      <c r="V302" s="274"/>
      <c r="W302" s="274"/>
      <c r="X302" s="274"/>
      <c r="Y302" s="274"/>
      <c r="Z302" s="275"/>
      <c r="AA302" s="275"/>
      <c r="AB302" s="275"/>
      <c r="AC302" s="275"/>
      <c r="AD302" s="275"/>
      <c r="AE302" s="275"/>
      <c r="AF302" s="275"/>
      <c r="AG302" s="275"/>
      <c r="AH302" s="274"/>
    </row>
    <row r="303" spans="3:34" x14ac:dyDescent="0.2">
      <c r="C303" s="274"/>
      <c r="D303" s="274"/>
      <c r="E303" s="274"/>
      <c r="F303" s="274"/>
      <c r="G303" s="274"/>
      <c r="H303" s="274"/>
      <c r="I303" s="274"/>
      <c r="J303" s="274"/>
      <c r="K303" s="274"/>
      <c r="L303" s="274"/>
      <c r="M303" s="275"/>
      <c r="N303" s="275"/>
      <c r="O303" s="275"/>
      <c r="P303" s="275"/>
      <c r="Q303" s="275"/>
      <c r="R303" s="276"/>
      <c r="S303" s="277"/>
      <c r="T303" s="274"/>
      <c r="U303" s="274"/>
      <c r="V303" s="274"/>
      <c r="W303" s="274"/>
      <c r="X303" s="274"/>
      <c r="Y303" s="274"/>
      <c r="Z303" s="275"/>
      <c r="AA303" s="275"/>
      <c r="AB303" s="275"/>
      <c r="AC303" s="275"/>
      <c r="AD303" s="275"/>
      <c r="AE303" s="275"/>
      <c r="AF303" s="275"/>
      <c r="AG303" s="275"/>
      <c r="AH303" s="274"/>
    </row>
    <row r="304" spans="3:34" x14ac:dyDescent="0.2">
      <c r="C304" s="274"/>
      <c r="D304" s="274"/>
      <c r="E304" s="274"/>
      <c r="F304" s="274"/>
      <c r="G304" s="274"/>
      <c r="H304" s="274"/>
      <c r="I304" s="274"/>
      <c r="J304" s="274"/>
      <c r="K304" s="274"/>
      <c r="L304" s="274"/>
      <c r="M304" s="275"/>
      <c r="N304" s="275"/>
      <c r="O304" s="275"/>
      <c r="P304" s="275"/>
      <c r="Q304" s="275"/>
      <c r="R304" s="276"/>
      <c r="S304" s="277"/>
      <c r="T304" s="274"/>
      <c r="U304" s="274"/>
      <c r="V304" s="274"/>
      <c r="W304" s="274"/>
      <c r="X304" s="274"/>
      <c r="Y304" s="274"/>
      <c r="Z304" s="275"/>
      <c r="AA304" s="275"/>
      <c r="AB304" s="275"/>
      <c r="AC304" s="275"/>
      <c r="AD304" s="275"/>
      <c r="AE304" s="275"/>
      <c r="AF304" s="275"/>
      <c r="AG304" s="275"/>
      <c r="AH304" s="274"/>
    </row>
    <row r="305" spans="3:34" x14ac:dyDescent="0.2">
      <c r="C305" s="274"/>
      <c r="D305" s="274"/>
      <c r="E305" s="274"/>
      <c r="F305" s="274"/>
      <c r="G305" s="274"/>
      <c r="H305" s="274"/>
      <c r="I305" s="274"/>
      <c r="J305" s="274"/>
      <c r="K305" s="274"/>
      <c r="L305" s="274"/>
      <c r="M305" s="275"/>
      <c r="N305" s="275"/>
      <c r="O305" s="275"/>
      <c r="P305" s="275"/>
      <c r="Q305" s="275"/>
      <c r="R305" s="276"/>
      <c r="S305" s="277"/>
      <c r="T305" s="274"/>
      <c r="U305" s="274"/>
      <c r="V305" s="274"/>
      <c r="W305" s="274"/>
      <c r="X305" s="274"/>
      <c r="Y305" s="274"/>
      <c r="Z305" s="275"/>
      <c r="AA305" s="275"/>
      <c r="AB305" s="275"/>
      <c r="AC305" s="275"/>
      <c r="AD305" s="275"/>
      <c r="AE305" s="275"/>
      <c r="AF305" s="275"/>
      <c r="AG305" s="275"/>
      <c r="AH305" s="274"/>
    </row>
    <row r="306" spans="3:34" x14ac:dyDescent="0.2">
      <c r="C306" s="274"/>
      <c r="D306" s="274"/>
      <c r="E306" s="274"/>
      <c r="F306" s="274"/>
      <c r="G306" s="274"/>
      <c r="H306" s="274"/>
      <c r="I306" s="274"/>
      <c r="J306" s="274"/>
      <c r="K306" s="274"/>
      <c r="L306" s="274"/>
      <c r="M306" s="275"/>
      <c r="N306" s="275"/>
      <c r="O306" s="275"/>
      <c r="P306" s="275"/>
      <c r="Q306" s="275"/>
      <c r="R306" s="276"/>
      <c r="S306" s="277"/>
      <c r="T306" s="274"/>
      <c r="U306" s="274"/>
      <c r="V306" s="274"/>
      <c r="W306" s="274"/>
      <c r="X306" s="274"/>
      <c r="Y306" s="274"/>
      <c r="Z306" s="275"/>
      <c r="AA306" s="275"/>
      <c r="AB306" s="275"/>
      <c r="AC306" s="275"/>
      <c r="AD306" s="275"/>
      <c r="AE306" s="275"/>
      <c r="AF306" s="275"/>
      <c r="AG306" s="275"/>
      <c r="AH306" s="274"/>
    </row>
    <row r="307" spans="3:34" x14ac:dyDescent="0.2">
      <c r="C307" s="274"/>
      <c r="D307" s="274"/>
      <c r="E307" s="274"/>
      <c r="F307" s="274"/>
      <c r="G307" s="274"/>
      <c r="H307" s="274"/>
      <c r="I307" s="274"/>
      <c r="J307" s="274"/>
      <c r="K307" s="274"/>
      <c r="L307" s="274"/>
      <c r="M307" s="275"/>
      <c r="N307" s="275"/>
      <c r="O307" s="275"/>
      <c r="P307" s="275"/>
      <c r="Q307" s="275"/>
      <c r="R307" s="276"/>
      <c r="S307" s="277"/>
      <c r="T307" s="274"/>
      <c r="U307" s="274"/>
      <c r="V307" s="274"/>
      <c r="W307" s="274"/>
      <c r="X307" s="274"/>
      <c r="Y307" s="274"/>
      <c r="Z307" s="275"/>
      <c r="AA307" s="275"/>
      <c r="AB307" s="275"/>
      <c r="AC307" s="275"/>
      <c r="AD307" s="275"/>
      <c r="AE307" s="275"/>
      <c r="AF307" s="275"/>
      <c r="AG307" s="275"/>
      <c r="AH307" s="274"/>
    </row>
    <row r="308" spans="3:34" x14ac:dyDescent="0.2">
      <c r="C308" s="274"/>
      <c r="D308" s="274"/>
      <c r="E308" s="274"/>
      <c r="F308" s="274"/>
      <c r="G308" s="274"/>
      <c r="H308" s="274"/>
      <c r="I308" s="274"/>
      <c r="J308" s="274"/>
      <c r="K308" s="274"/>
      <c r="L308" s="274"/>
      <c r="M308" s="275"/>
      <c r="N308" s="275"/>
      <c r="O308" s="275"/>
      <c r="P308" s="275"/>
      <c r="Q308" s="275"/>
      <c r="R308" s="276"/>
      <c r="S308" s="277"/>
      <c r="T308" s="274"/>
      <c r="U308" s="274"/>
      <c r="V308" s="274"/>
      <c r="W308" s="274"/>
      <c r="X308" s="274"/>
      <c r="Y308" s="274"/>
      <c r="Z308" s="275"/>
      <c r="AA308" s="275"/>
      <c r="AB308" s="275"/>
      <c r="AC308" s="275"/>
      <c r="AD308" s="275"/>
      <c r="AE308" s="275"/>
      <c r="AF308" s="275"/>
      <c r="AG308" s="275"/>
      <c r="AH308" s="274"/>
    </row>
    <row r="309" spans="3:34" x14ac:dyDescent="0.2">
      <c r="C309" s="274"/>
      <c r="D309" s="274"/>
      <c r="E309" s="274"/>
      <c r="F309" s="274"/>
      <c r="G309" s="274"/>
      <c r="H309" s="274"/>
      <c r="I309" s="274"/>
      <c r="J309" s="274"/>
      <c r="K309" s="274"/>
      <c r="L309" s="274"/>
      <c r="M309" s="275"/>
      <c r="N309" s="275"/>
      <c r="O309" s="275"/>
      <c r="P309" s="275"/>
      <c r="Q309" s="275"/>
      <c r="R309" s="276"/>
      <c r="S309" s="277"/>
      <c r="T309" s="274"/>
      <c r="U309" s="274"/>
      <c r="V309" s="274"/>
      <c r="W309" s="274"/>
      <c r="X309" s="274"/>
      <c r="Y309" s="274"/>
      <c r="Z309" s="275"/>
      <c r="AA309" s="275"/>
      <c r="AB309" s="275"/>
      <c r="AC309" s="275"/>
      <c r="AD309" s="275"/>
      <c r="AE309" s="275"/>
      <c r="AF309" s="275"/>
      <c r="AG309" s="275"/>
      <c r="AH309" s="274"/>
    </row>
    <row r="310" spans="3:34" x14ac:dyDescent="0.2">
      <c r="C310" s="274"/>
      <c r="D310" s="274"/>
      <c r="E310" s="274"/>
      <c r="F310" s="274"/>
      <c r="G310" s="274"/>
      <c r="H310" s="274"/>
      <c r="I310" s="274"/>
      <c r="J310" s="274"/>
      <c r="K310" s="274"/>
      <c r="L310" s="274"/>
      <c r="M310" s="275"/>
      <c r="N310" s="275"/>
      <c r="O310" s="275"/>
      <c r="P310" s="275"/>
      <c r="Q310" s="275"/>
      <c r="R310" s="276"/>
      <c r="S310" s="277"/>
      <c r="T310" s="274"/>
      <c r="U310" s="274"/>
      <c r="V310" s="274"/>
      <c r="W310" s="274"/>
      <c r="X310" s="274"/>
      <c r="Y310" s="274"/>
      <c r="Z310" s="275"/>
      <c r="AA310" s="275"/>
      <c r="AB310" s="275"/>
      <c r="AC310" s="275"/>
      <c r="AD310" s="275"/>
      <c r="AE310" s="275"/>
      <c r="AF310" s="275"/>
      <c r="AG310" s="275"/>
      <c r="AH310" s="274"/>
    </row>
    <row r="311" spans="3:34" x14ac:dyDescent="0.2">
      <c r="C311" s="274"/>
      <c r="D311" s="274"/>
      <c r="E311" s="274"/>
      <c r="F311" s="274"/>
      <c r="G311" s="274"/>
      <c r="H311" s="274"/>
      <c r="I311" s="274"/>
      <c r="J311" s="274"/>
      <c r="K311" s="274"/>
      <c r="L311" s="274"/>
      <c r="M311" s="275"/>
      <c r="N311" s="275"/>
      <c r="O311" s="275"/>
      <c r="P311" s="275"/>
      <c r="Q311" s="275"/>
      <c r="R311" s="276"/>
      <c r="S311" s="277"/>
      <c r="T311" s="274"/>
      <c r="U311" s="274"/>
      <c r="V311" s="274"/>
      <c r="W311" s="274"/>
      <c r="X311" s="274"/>
      <c r="Y311" s="274"/>
      <c r="Z311" s="275"/>
      <c r="AA311" s="275"/>
      <c r="AB311" s="275"/>
      <c r="AC311" s="275"/>
      <c r="AD311" s="275"/>
      <c r="AE311" s="275"/>
      <c r="AF311" s="275"/>
      <c r="AG311" s="275"/>
      <c r="AH311" s="274"/>
    </row>
    <row r="312" spans="3:34" x14ac:dyDescent="0.2">
      <c r="C312" s="274"/>
      <c r="D312" s="274"/>
      <c r="E312" s="274"/>
      <c r="F312" s="274"/>
      <c r="G312" s="274"/>
      <c r="H312" s="274"/>
      <c r="I312" s="274"/>
      <c r="J312" s="274"/>
      <c r="K312" s="274"/>
      <c r="L312" s="274"/>
      <c r="M312" s="275"/>
      <c r="N312" s="275"/>
      <c r="O312" s="275"/>
      <c r="P312" s="275"/>
      <c r="Q312" s="275"/>
      <c r="R312" s="276"/>
      <c r="S312" s="277"/>
      <c r="T312" s="274"/>
      <c r="U312" s="274"/>
      <c r="V312" s="274"/>
      <c r="W312" s="274"/>
      <c r="X312" s="274"/>
      <c r="Y312" s="274"/>
      <c r="Z312" s="275"/>
      <c r="AA312" s="275"/>
      <c r="AB312" s="275"/>
      <c r="AC312" s="275"/>
      <c r="AD312" s="275"/>
      <c r="AE312" s="275"/>
      <c r="AF312" s="275"/>
      <c r="AG312" s="275"/>
      <c r="AH312" s="274"/>
    </row>
    <row r="313" spans="3:34" x14ac:dyDescent="0.2">
      <c r="C313" s="274"/>
      <c r="D313" s="274"/>
      <c r="E313" s="274"/>
      <c r="F313" s="274"/>
      <c r="G313" s="274"/>
      <c r="H313" s="274"/>
      <c r="I313" s="274"/>
      <c r="J313" s="274"/>
      <c r="K313" s="274"/>
      <c r="L313" s="274"/>
      <c r="M313" s="275"/>
      <c r="N313" s="275"/>
      <c r="O313" s="275"/>
      <c r="P313" s="275"/>
      <c r="Q313" s="275"/>
      <c r="R313" s="276"/>
      <c r="S313" s="277"/>
      <c r="T313" s="274"/>
      <c r="U313" s="274"/>
      <c r="V313" s="274"/>
      <c r="W313" s="274"/>
      <c r="X313" s="274"/>
      <c r="Y313" s="274"/>
      <c r="Z313" s="275"/>
      <c r="AA313" s="275"/>
      <c r="AB313" s="275"/>
      <c r="AC313" s="275"/>
      <c r="AD313" s="275"/>
      <c r="AE313" s="275"/>
      <c r="AF313" s="275"/>
      <c r="AG313" s="275"/>
      <c r="AH313" s="274"/>
    </row>
    <row r="314" spans="3:34" x14ac:dyDescent="0.2">
      <c r="C314" s="274"/>
      <c r="D314" s="274"/>
      <c r="E314" s="274"/>
      <c r="F314" s="274"/>
      <c r="G314" s="274"/>
      <c r="H314" s="274"/>
      <c r="I314" s="274"/>
      <c r="J314" s="274"/>
      <c r="K314" s="274"/>
      <c r="L314" s="274"/>
      <c r="M314" s="275"/>
      <c r="N314" s="275"/>
      <c r="O314" s="275"/>
      <c r="P314" s="275"/>
      <c r="Q314" s="275"/>
      <c r="R314" s="276"/>
      <c r="S314" s="277"/>
      <c r="T314" s="274"/>
      <c r="U314" s="274"/>
      <c r="V314" s="274"/>
      <c r="W314" s="274"/>
      <c r="X314" s="274"/>
      <c r="Y314" s="274"/>
      <c r="Z314" s="275"/>
      <c r="AA314" s="275"/>
      <c r="AB314" s="275"/>
      <c r="AC314" s="275"/>
      <c r="AD314" s="275"/>
      <c r="AE314" s="275"/>
      <c r="AF314" s="275"/>
      <c r="AG314" s="275"/>
      <c r="AH314" s="274"/>
    </row>
    <row r="315" spans="3:34" x14ac:dyDescent="0.2">
      <c r="C315" s="274"/>
      <c r="D315" s="274"/>
      <c r="E315" s="274"/>
      <c r="F315" s="274"/>
      <c r="G315" s="274"/>
      <c r="H315" s="274"/>
      <c r="I315" s="274"/>
      <c r="J315" s="274"/>
      <c r="K315" s="274"/>
      <c r="L315" s="274"/>
      <c r="M315" s="275"/>
      <c r="N315" s="275"/>
      <c r="O315" s="275"/>
      <c r="P315" s="275"/>
      <c r="Q315" s="275"/>
      <c r="R315" s="276"/>
      <c r="S315" s="277"/>
      <c r="T315" s="274"/>
      <c r="U315" s="274"/>
      <c r="V315" s="274"/>
      <c r="W315" s="274"/>
      <c r="X315" s="274"/>
      <c r="Y315" s="274"/>
      <c r="Z315" s="275"/>
      <c r="AA315" s="275"/>
      <c r="AB315" s="275"/>
      <c r="AC315" s="275"/>
      <c r="AD315" s="275"/>
      <c r="AE315" s="275"/>
      <c r="AF315" s="275"/>
      <c r="AG315" s="275"/>
      <c r="AH315" s="274"/>
    </row>
    <row r="316" spans="3:34" x14ac:dyDescent="0.2">
      <c r="C316" s="274"/>
      <c r="D316" s="274"/>
      <c r="E316" s="274"/>
      <c r="F316" s="274"/>
      <c r="G316" s="274"/>
      <c r="H316" s="274"/>
      <c r="I316" s="274"/>
      <c r="J316" s="274"/>
      <c r="K316" s="274"/>
      <c r="L316" s="274"/>
      <c r="M316" s="275"/>
      <c r="N316" s="275"/>
      <c r="O316" s="275"/>
      <c r="P316" s="275"/>
      <c r="Q316" s="275"/>
      <c r="R316" s="276"/>
      <c r="S316" s="277"/>
      <c r="T316" s="274"/>
      <c r="U316" s="274"/>
      <c r="V316" s="274"/>
      <c r="W316" s="274"/>
      <c r="X316" s="274"/>
      <c r="Y316" s="274"/>
      <c r="Z316" s="275"/>
      <c r="AA316" s="275"/>
      <c r="AB316" s="275"/>
      <c r="AC316" s="275"/>
      <c r="AD316" s="275"/>
      <c r="AE316" s="275"/>
      <c r="AF316" s="275"/>
      <c r="AG316" s="275"/>
      <c r="AH316" s="274"/>
    </row>
    <row r="317" spans="3:34" x14ac:dyDescent="0.2">
      <c r="C317" s="274"/>
      <c r="D317" s="274"/>
      <c r="E317" s="274"/>
      <c r="F317" s="274"/>
      <c r="G317" s="274"/>
      <c r="H317" s="274"/>
      <c r="I317" s="274"/>
      <c r="J317" s="274"/>
      <c r="K317" s="274"/>
      <c r="L317" s="274"/>
      <c r="M317" s="275"/>
      <c r="N317" s="275"/>
      <c r="O317" s="275"/>
      <c r="P317" s="275"/>
      <c r="Q317" s="275"/>
      <c r="R317" s="276"/>
      <c r="S317" s="277"/>
      <c r="T317" s="274"/>
      <c r="U317" s="274"/>
      <c r="V317" s="274"/>
      <c r="W317" s="274"/>
      <c r="X317" s="274"/>
      <c r="Y317" s="274"/>
      <c r="Z317" s="275"/>
      <c r="AA317" s="275"/>
      <c r="AB317" s="275"/>
      <c r="AC317" s="275"/>
      <c r="AD317" s="275"/>
      <c r="AE317" s="275"/>
      <c r="AF317" s="275"/>
      <c r="AG317" s="275"/>
      <c r="AH317" s="274"/>
    </row>
    <row r="318" spans="3:34" x14ac:dyDescent="0.2">
      <c r="C318" s="274"/>
      <c r="D318" s="274"/>
      <c r="E318" s="274"/>
      <c r="F318" s="274"/>
      <c r="G318" s="274"/>
      <c r="H318" s="274"/>
      <c r="I318" s="274"/>
      <c r="J318" s="274"/>
      <c r="K318" s="274"/>
      <c r="L318" s="274"/>
      <c r="M318" s="275"/>
      <c r="N318" s="275"/>
      <c r="O318" s="275"/>
      <c r="P318" s="275"/>
      <c r="Q318" s="275"/>
      <c r="R318" s="276"/>
      <c r="S318" s="277"/>
      <c r="T318" s="274"/>
      <c r="U318" s="274"/>
      <c r="V318" s="274"/>
      <c r="W318" s="274"/>
      <c r="X318" s="274"/>
      <c r="Y318" s="274"/>
      <c r="Z318" s="275"/>
      <c r="AA318" s="275"/>
      <c r="AB318" s="275"/>
      <c r="AC318" s="275"/>
      <c r="AD318" s="275"/>
      <c r="AE318" s="275"/>
      <c r="AF318" s="275"/>
      <c r="AG318" s="275"/>
      <c r="AH318" s="274"/>
    </row>
    <row r="319" spans="3:34" x14ac:dyDescent="0.2">
      <c r="C319" s="274"/>
      <c r="D319" s="274"/>
      <c r="E319" s="274"/>
      <c r="F319" s="274"/>
      <c r="G319" s="274"/>
      <c r="H319" s="274"/>
      <c r="I319" s="274"/>
      <c r="J319" s="274"/>
      <c r="K319" s="274"/>
      <c r="L319" s="274"/>
      <c r="M319" s="275"/>
      <c r="N319" s="275"/>
      <c r="O319" s="275"/>
      <c r="P319" s="275"/>
      <c r="Q319" s="275"/>
      <c r="R319" s="276"/>
      <c r="S319" s="277"/>
      <c r="T319" s="274"/>
      <c r="U319" s="274"/>
      <c r="V319" s="274"/>
      <c r="W319" s="274"/>
      <c r="X319" s="274"/>
      <c r="Y319" s="274"/>
      <c r="Z319" s="275"/>
      <c r="AA319" s="275"/>
      <c r="AB319" s="275"/>
      <c r="AC319" s="275"/>
      <c r="AD319" s="275"/>
      <c r="AE319" s="275"/>
      <c r="AF319" s="275"/>
      <c r="AG319" s="275"/>
      <c r="AH319" s="274"/>
    </row>
    <row r="320" spans="3:34" x14ac:dyDescent="0.2">
      <c r="C320" s="274"/>
      <c r="D320" s="274"/>
      <c r="E320" s="274"/>
      <c r="F320" s="274"/>
      <c r="G320" s="274"/>
      <c r="H320" s="274"/>
      <c r="I320" s="274"/>
      <c r="J320" s="274"/>
      <c r="K320" s="274"/>
      <c r="L320" s="274"/>
      <c r="M320" s="275"/>
      <c r="N320" s="275"/>
      <c r="O320" s="275"/>
      <c r="P320" s="275"/>
      <c r="Q320" s="275"/>
      <c r="R320" s="276"/>
      <c r="S320" s="277"/>
      <c r="T320" s="274"/>
      <c r="U320" s="274"/>
      <c r="V320" s="274"/>
      <c r="W320" s="274"/>
      <c r="X320" s="274"/>
      <c r="Y320" s="274"/>
      <c r="Z320" s="275"/>
      <c r="AA320" s="275"/>
      <c r="AB320" s="275"/>
      <c r="AC320" s="275"/>
      <c r="AD320" s="275"/>
      <c r="AE320" s="275"/>
      <c r="AF320" s="275"/>
      <c r="AG320" s="275"/>
      <c r="AH320" s="274"/>
    </row>
    <row r="321" spans="3:34" x14ac:dyDescent="0.2">
      <c r="C321" s="274"/>
      <c r="D321" s="274"/>
      <c r="E321" s="274"/>
      <c r="F321" s="274"/>
      <c r="G321" s="274"/>
      <c r="H321" s="274"/>
      <c r="I321" s="274"/>
      <c r="J321" s="274"/>
      <c r="K321" s="274"/>
      <c r="L321" s="274"/>
      <c r="M321" s="275"/>
      <c r="N321" s="275"/>
      <c r="O321" s="275"/>
      <c r="P321" s="275"/>
      <c r="Q321" s="275"/>
      <c r="R321" s="276"/>
      <c r="S321" s="277"/>
      <c r="T321" s="274"/>
      <c r="U321" s="274"/>
      <c r="V321" s="274"/>
      <c r="W321" s="274"/>
      <c r="X321" s="274"/>
      <c r="Y321" s="274"/>
      <c r="Z321" s="275"/>
      <c r="AA321" s="275"/>
      <c r="AB321" s="275"/>
      <c r="AC321" s="275"/>
      <c r="AD321" s="275"/>
      <c r="AE321" s="275"/>
      <c r="AF321" s="275"/>
      <c r="AG321" s="275"/>
      <c r="AH321" s="274"/>
    </row>
    <row r="322" spans="3:34" x14ac:dyDescent="0.2">
      <c r="C322" s="274"/>
      <c r="D322" s="274"/>
      <c r="E322" s="274"/>
      <c r="F322" s="274"/>
      <c r="G322" s="274"/>
      <c r="H322" s="274"/>
      <c r="I322" s="274"/>
      <c r="J322" s="274"/>
      <c r="K322" s="274"/>
      <c r="L322" s="274"/>
      <c r="M322" s="275"/>
      <c r="N322" s="275"/>
      <c r="O322" s="275"/>
      <c r="P322" s="275"/>
      <c r="Q322" s="275"/>
      <c r="R322" s="276"/>
      <c r="S322" s="277"/>
      <c r="T322" s="274"/>
      <c r="U322" s="274"/>
      <c r="V322" s="274"/>
      <c r="W322" s="274"/>
      <c r="X322" s="274"/>
      <c r="Y322" s="274"/>
      <c r="Z322" s="275"/>
      <c r="AA322" s="275"/>
      <c r="AB322" s="275"/>
      <c r="AC322" s="275"/>
      <c r="AD322" s="275"/>
      <c r="AE322" s="275"/>
      <c r="AF322" s="275"/>
      <c r="AG322" s="275"/>
      <c r="AH322" s="274"/>
    </row>
    <row r="323" spans="3:34" x14ac:dyDescent="0.2">
      <c r="C323" s="274"/>
      <c r="D323" s="274"/>
      <c r="E323" s="274"/>
      <c r="F323" s="274"/>
      <c r="G323" s="274"/>
      <c r="H323" s="274"/>
      <c r="I323" s="274"/>
      <c r="J323" s="274"/>
      <c r="K323" s="274"/>
      <c r="L323" s="274"/>
      <c r="M323" s="275"/>
      <c r="N323" s="275"/>
      <c r="O323" s="275"/>
      <c r="P323" s="275"/>
      <c r="Q323" s="275"/>
      <c r="R323" s="276"/>
      <c r="S323" s="277"/>
      <c r="T323" s="274"/>
      <c r="U323" s="274"/>
      <c r="V323" s="274"/>
      <c r="W323" s="274"/>
      <c r="X323" s="274"/>
      <c r="Y323" s="274"/>
      <c r="Z323" s="275"/>
      <c r="AA323" s="275"/>
      <c r="AB323" s="275"/>
      <c r="AC323" s="275"/>
      <c r="AD323" s="275"/>
      <c r="AE323" s="275"/>
      <c r="AF323" s="275"/>
      <c r="AG323" s="275"/>
      <c r="AH323" s="274"/>
    </row>
    <row r="324" spans="3:34" x14ac:dyDescent="0.2">
      <c r="C324" s="274"/>
      <c r="D324" s="274"/>
      <c r="E324" s="274"/>
      <c r="F324" s="274"/>
      <c r="G324" s="274"/>
      <c r="H324" s="274"/>
      <c r="I324" s="274"/>
      <c r="J324" s="274"/>
      <c r="K324" s="274"/>
      <c r="L324" s="274"/>
      <c r="M324" s="275"/>
      <c r="N324" s="275"/>
      <c r="O324" s="275"/>
      <c r="P324" s="275"/>
      <c r="Q324" s="275"/>
      <c r="R324" s="276"/>
      <c r="S324" s="277"/>
      <c r="T324" s="274"/>
      <c r="U324" s="274"/>
      <c r="V324" s="274"/>
      <c r="W324" s="274"/>
      <c r="X324" s="274"/>
      <c r="Y324" s="274"/>
      <c r="Z324" s="275"/>
      <c r="AA324" s="275"/>
      <c r="AB324" s="275"/>
      <c r="AC324" s="275"/>
      <c r="AD324" s="275"/>
      <c r="AE324" s="275"/>
      <c r="AF324" s="275"/>
      <c r="AG324" s="275"/>
      <c r="AH324" s="274"/>
    </row>
    <row r="325" spans="3:34" x14ac:dyDescent="0.2">
      <c r="C325" s="274"/>
      <c r="D325" s="274"/>
      <c r="E325" s="274"/>
      <c r="F325" s="274"/>
      <c r="G325" s="274"/>
      <c r="H325" s="274"/>
      <c r="I325" s="274"/>
      <c r="J325" s="274"/>
      <c r="K325" s="274"/>
      <c r="L325" s="274"/>
      <c r="M325" s="275"/>
      <c r="N325" s="275"/>
      <c r="O325" s="275"/>
      <c r="P325" s="275"/>
      <c r="Q325" s="275"/>
      <c r="R325" s="276"/>
      <c r="S325" s="277"/>
      <c r="T325" s="274"/>
      <c r="U325" s="274"/>
      <c r="V325" s="274"/>
      <c r="W325" s="274"/>
      <c r="X325" s="274"/>
      <c r="Y325" s="274"/>
      <c r="Z325" s="275"/>
      <c r="AA325" s="275"/>
      <c r="AB325" s="275"/>
      <c r="AC325" s="275"/>
      <c r="AD325" s="275"/>
      <c r="AE325" s="275"/>
      <c r="AF325" s="275"/>
      <c r="AG325" s="275"/>
      <c r="AH325" s="274"/>
    </row>
    <row r="326" spans="3:34" x14ac:dyDescent="0.2">
      <c r="C326" s="274"/>
      <c r="D326" s="274"/>
      <c r="E326" s="274"/>
      <c r="F326" s="274"/>
      <c r="G326" s="274"/>
      <c r="H326" s="274"/>
      <c r="I326" s="274"/>
      <c r="J326" s="274"/>
      <c r="K326" s="274"/>
      <c r="L326" s="274"/>
      <c r="M326" s="275"/>
      <c r="N326" s="275"/>
      <c r="O326" s="275"/>
      <c r="P326" s="275"/>
      <c r="Q326" s="275"/>
      <c r="R326" s="276"/>
      <c r="S326" s="277"/>
      <c r="T326" s="274"/>
      <c r="U326" s="274"/>
      <c r="V326" s="274"/>
      <c r="W326" s="274"/>
      <c r="X326" s="274"/>
      <c r="Y326" s="274"/>
      <c r="Z326" s="275"/>
      <c r="AA326" s="275"/>
      <c r="AB326" s="275"/>
      <c r="AC326" s="275"/>
      <c r="AD326" s="275"/>
      <c r="AE326" s="275"/>
      <c r="AF326" s="275"/>
      <c r="AG326" s="275"/>
      <c r="AH326" s="274"/>
    </row>
    <row r="327" spans="3:34" x14ac:dyDescent="0.2">
      <c r="C327" s="274"/>
      <c r="D327" s="274"/>
      <c r="E327" s="274"/>
      <c r="F327" s="274"/>
      <c r="G327" s="274"/>
      <c r="H327" s="274"/>
      <c r="I327" s="274"/>
      <c r="J327" s="274"/>
      <c r="K327" s="274"/>
      <c r="L327" s="274"/>
      <c r="M327" s="275"/>
      <c r="N327" s="275"/>
      <c r="O327" s="275"/>
      <c r="P327" s="275"/>
      <c r="Q327" s="275"/>
      <c r="R327" s="276"/>
      <c r="S327" s="277"/>
      <c r="T327" s="274"/>
      <c r="U327" s="274"/>
      <c r="V327" s="274"/>
      <c r="W327" s="274"/>
      <c r="X327" s="274"/>
      <c r="Y327" s="274"/>
      <c r="Z327" s="275"/>
      <c r="AA327" s="275"/>
      <c r="AB327" s="275"/>
      <c r="AC327" s="275"/>
      <c r="AD327" s="275"/>
      <c r="AE327" s="275"/>
      <c r="AF327" s="275"/>
      <c r="AG327" s="275"/>
      <c r="AH327" s="274"/>
    </row>
    <row r="328" spans="3:34" x14ac:dyDescent="0.2">
      <c r="C328" s="274"/>
      <c r="D328" s="274"/>
      <c r="E328" s="274"/>
      <c r="F328" s="274"/>
      <c r="G328" s="274"/>
      <c r="H328" s="274"/>
      <c r="I328" s="274"/>
      <c r="J328" s="274"/>
      <c r="K328" s="274"/>
      <c r="L328" s="274"/>
      <c r="M328" s="275"/>
      <c r="N328" s="275"/>
      <c r="O328" s="275"/>
      <c r="P328" s="275"/>
      <c r="Q328" s="275"/>
      <c r="R328" s="276"/>
      <c r="S328" s="277"/>
      <c r="T328" s="274"/>
      <c r="U328" s="274"/>
      <c r="V328" s="274"/>
      <c r="W328" s="274"/>
      <c r="X328" s="274"/>
      <c r="Y328" s="274"/>
      <c r="Z328" s="275"/>
      <c r="AA328" s="275"/>
      <c r="AB328" s="275"/>
      <c r="AC328" s="275"/>
      <c r="AD328" s="275"/>
      <c r="AE328" s="275"/>
      <c r="AF328" s="275"/>
      <c r="AG328" s="275"/>
      <c r="AH328" s="274"/>
    </row>
    <row r="329" spans="3:34" x14ac:dyDescent="0.2">
      <c r="C329" s="274"/>
      <c r="D329" s="274"/>
      <c r="E329" s="274"/>
      <c r="F329" s="274"/>
      <c r="G329" s="274"/>
      <c r="H329" s="274"/>
      <c r="I329" s="274"/>
      <c r="J329" s="274"/>
      <c r="K329" s="274"/>
      <c r="L329" s="274"/>
      <c r="M329" s="275"/>
      <c r="N329" s="275"/>
      <c r="O329" s="275"/>
      <c r="P329" s="275"/>
      <c r="Q329" s="275"/>
      <c r="R329" s="276"/>
      <c r="S329" s="277"/>
      <c r="T329" s="274"/>
      <c r="U329" s="274"/>
      <c r="V329" s="274"/>
      <c r="W329" s="274"/>
      <c r="X329" s="274"/>
      <c r="Y329" s="274"/>
      <c r="Z329" s="275"/>
      <c r="AA329" s="275"/>
      <c r="AB329" s="275"/>
      <c r="AC329" s="275"/>
      <c r="AD329" s="275"/>
      <c r="AE329" s="275"/>
      <c r="AF329" s="275"/>
      <c r="AG329" s="275"/>
      <c r="AH329" s="274"/>
    </row>
    <row r="330" spans="3:34" x14ac:dyDescent="0.2">
      <c r="C330" s="274"/>
      <c r="D330" s="274"/>
      <c r="E330" s="274"/>
      <c r="F330" s="274"/>
      <c r="G330" s="274"/>
      <c r="H330" s="274"/>
      <c r="I330" s="274"/>
      <c r="J330" s="274"/>
      <c r="K330" s="274"/>
      <c r="L330" s="274"/>
      <c r="M330" s="275"/>
      <c r="N330" s="275"/>
      <c r="O330" s="275"/>
      <c r="P330" s="275"/>
      <c r="Q330" s="275"/>
      <c r="R330" s="276"/>
      <c r="S330" s="277"/>
      <c r="T330" s="274"/>
      <c r="U330" s="274"/>
      <c r="V330" s="274"/>
      <c r="W330" s="274"/>
      <c r="X330" s="274"/>
      <c r="Y330" s="274"/>
      <c r="Z330" s="275"/>
      <c r="AA330" s="275"/>
      <c r="AB330" s="275"/>
      <c r="AC330" s="275"/>
      <c r="AD330" s="275"/>
      <c r="AE330" s="275"/>
      <c r="AF330" s="275"/>
      <c r="AG330" s="275"/>
      <c r="AH330" s="274"/>
    </row>
    <row r="331" spans="3:34" x14ac:dyDescent="0.2">
      <c r="C331" s="274"/>
      <c r="D331" s="274"/>
      <c r="E331" s="274"/>
      <c r="F331" s="274"/>
      <c r="G331" s="274"/>
      <c r="H331" s="274"/>
      <c r="I331" s="274"/>
      <c r="J331" s="274"/>
      <c r="K331" s="274"/>
      <c r="L331" s="274"/>
      <c r="M331" s="275"/>
      <c r="N331" s="275"/>
      <c r="O331" s="275"/>
      <c r="P331" s="275"/>
      <c r="Q331" s="275"/>
      <c r="R331" s="276"/>
      <c r="S331" s="277"/>
      <c r="T331" s="274"/>
      <c r="U331" s="274"/>
      <c r="V331" s="274"/>
      <c r="W331" s="274"/>
      <c r="X331" s="274"/>
      <c r="Y331" s="274"/>
      <c r="Z331" s="275"/>
      <c r="AA331" s="275"/>
      <c r="AB331" s="275"/>
      <c r="AC331" s="275"/>
      <c r="AD331" s="275"/>
      <c r="AE331" s="275"/>
      <c r="AF331" s="275"/>
      <c r="AG331" s="275"/>
      <c r="AH331" s="274"/>
    </row>
    <row r="332" spans="3:34" x14ac:dyDescent="0.2">
      <c r="C332" s="274"/>
      <c r="D332" s="274"/>
      <c r="E332" s="274"/>
      <c r="F332" s="274"/>
      <c r="G332" s="274"/>
      <c r="H332" s="274"/>
      <c r="I332" s="274"/>
      <c r="J332" s="274"/>
      <c r="K332" s="274"/>
      <c r="L332" s="274"/>
      <c r="M332" s="275"/>
      <c r="N332" s="275"/>
      <c r="O332" s="275"/>
      <c r="P332" s="275"/>
      <c r="Q332" s="275"/>
      <c r="R332" s="276"/>
      <c r="S332" s="277"/>
      <c r="T332" s="274"/>
      <c r="U332" s="274"/>
      <c r="V332" s="274"/>
      <c r="W332" s="274"/>
      <c r="X332" s="274"/>
      <c r="Y332" s="274"/>
      <c r="Z332" s="275"/>
      <c r="AA332" s="275"/>
      <c r="AB332" s="275"/>
      <c r="AC332" s="275"/>
      <c r="AD332" s="275"/>
      <c r="AE332" s="275"/>
      <c r="AF332" s="275"/>
      <c r="AG332" s="275"/>
      <c r="AH332" s="274"/>
    </row>
    <row r="333" spans="3:34" x14ac:dyDescent="0.2">
      <c r="C333" s="274"/>
      <c r="D333" s="274"/>
      <c r="E333" s="274"/>
      <c r="F333" s="274"/>
      <c r="G333" s="274"/>
      <c r="H333" s="274"/>
      <c r="I333" s="274"/>
      <c r="J333" s="274"/>
      <c r="K333" s="274"/>
      <c r="L333" s="274"/>
      <c r="M333" s="275"/>
      <c r="N333" s="275"/>
      <c r="O333" s="275"/>
      <c r="P333" s="275"/>
      <c r="Q333" s="275"/>
      <c r="R333" s="276"/>
      <c r="S333" s="277"/>
      <c r="T333" s="274"/>
      <c r="U333" s="274"/>
      <c r="V333" s="274"/>
      <c r="W333" s="274"/>
      <c r="X333" s="274"/>
      <c r="Y333" s="274"/>
      <c r="Z333" s="275"/>
      <c r="AA333" s="275"/>
      <c r="AB333" s="275"/>
      <c r="AC333" s="275"/>
      <c r="AD333" s="275"/>
      <c r="AE333" s="275"/>
      <c r="AF333" s="275"/>
      <c r="AG333" s="275"/>
      <c r="AH333" s="274"/>
    </row>
    <row r="334" spans="3:34" x14ac:dyDescent="0.2">
      <c r="C334" s="274"/>
      <c r="D334" s="274"/>
      <c r="E334" s="274"/>
      <c r="F334" s="274"/>
      <c r="G334" s="274"/>
      <c r="H334" s="274"/>
      <c r="I334" s="274"/>
      <c r="J334" s="274"/>
      <c r="K334" s="274"/>
      <c r="L334" s="274"/>
      <c r="M334" s="275"/>
      <c r="N334" s="275"/>
      <c r="O334" s="275"/>
      <c r="P334" s="275"/>
      <c r="Q334" s="275"/>
      <c r="R334" s="276"/>
      <c r="S334" s="277"/>
      <c r="T334" s="274"/>
      <c r="U334" s="274"/>
      <c r="V334" s="274"/>
      <c r="W334" s="274"/>
      <c r="X334" s="274"/>
      <c r="Y334" s="274"/>
      <c r="Z334" s="275"/>
      <c r="AA334" s="275"/>
      <c r="AB334" s="275"/>
      <c r="AC334" s="275"/>
      <c r="AD334" s="275"/>
      <c r="AE334" s="275"/>
      <c r="AF334" s="275"/>
      <c r="AG334" s="275"/>
      <c r="AH334" s="274"/>
    </row>
    <row r="335" spans="3:34" x14ac:dyDescent="0.2">
      <c r="C335" s="274"/>
      <c r="D335" s="274"/>
      <c r="E335" s="274"/>
      <c r="F335" s="274"/>
      <c r="G335" s="274"/>
      <c r="H335" s="274"/>
      <c r="I335" s="274"/>
      <c r="J335" s="274"/>
      <c r="K335" s="274"/>
      <c r="L335" s="274"/>
      <c r="M335" s="275"/>
      <c r="N335" s="275"/>
      <c r="O335" s="275"/>
      <c r="P335" s="275"/>
      <c r="Q335" s="275"/>
      <c r="R335" s="276"/>
      <c r="S335" s="277"/>
      <c r="T335" s="274"/>
      <c r="U335" s="274"/>
      <c r="V335" s="274"/>
      <c r="W335" s="274"/>
      <c r="X335" s="274"/>
      <c r="Y335" s="274"/>
      <c r="Z335" s="275"/>
      <c r="AA335" s="275"/>
      <c r="AB335" s="275"/>
      <c r="AC335" s="275"/>
      <c r="AD335" s="275"/>
      <c r="AE335" s="275"/>
      <c r="AF335" s="275"/>
      <c r="AG335" s="275"/>
      <c r="AH335" s="274"/>
    </row>
    <row r="336" spans="3:34" x14ac:dyDescent="0.2">
      <c r="C336" s="274"/>
      <c r="D336" s="274"/>
      <c r="E336" s="274"/>
      <c r="F336" s="274"/>
      <c r="G336" s="274"/>
      <c r="H336" s="274"/>
      <c r="I336" s="274"/>
      <c r="J336" s="274"/>
      <c r="K336" s="274"/>
      <c r="L336" s="274"/>
      <c r="M336" s="275"/>
      <c r="N336" s="275"/>
      <c r="O336" s="275"/>
      <c r="P336" s="275"/>
      <c r="Q336" s="275"/>
      <c r="R336" s="276"/>
      <c r="S336" s="277"/>
      <c r="T336" s="274"/>
      <c r="U336" s="274"/>
      <c r="V336" s="274"/>
      <c r="W336" s="274"/>
      <c r="X336" s="274"/>
      <c r="Y336" s="274"/>
      <c r="Z336" s="275"/>
      <c r="AA336" s="275"/>
      <c r="AB336" s="275"/>
      <c r="AC336" s="275"/>
      <c r="AD336" s="275"/>
      <c r="AE336" s="275"/>
      <c r="AF336" s="275"/>
      <c r="AG336" s="275"/>
      <c r="AH336" s="274"/>
    </row>
    <row r="337" spans="3:34" x14ac:dyDescent="0.2">
      <c r="C337" s="274"/>
      <c r="D337" s="274"/>
      <c r="E337" s="274"/>
      <c r="F337" s="274"/>
      <c r="G337" s="274"/>
      <c r="H337" s="274"/>
      <c r="I337" s="274"/>
      <c r="J337" s="274"/>
      <c r="K337" s="274"/>
      <c r="L337" s="274"/>
      <c r="M337" s="275"/>
      <c r="N337" s="275"/>
      <c r="O337" s="275"/>
      <c r="P337" s="275"/>
      <c r="Q337" s="275"/>
      <c r="R337" s="276"/>
      <c r="S337" s="277"/>
      <c r="T337" s="274"/>
      <c r="U337" s="274"/>
      <c r="V337" s="274"/>
      <c r="W337" s="274"/>
      <c r="X337" s="274"/>
      <c r="Y337" s="274"/>
      <c r="Z337" s="275"/>
      <c r="AA337" s="275"/>
      <c r="AB337" s="275"/>
      <c r="AC337" s="275"/>
      <c r="AD337" s="275"/>
      <c r="AE337" s="275"/>
      <c r="AF337" s="275"/>
      <c r="AG337" s="275"/>
      <c r="AH337" s="274"/>
    </row>
    <row r="338" spans="3:34" x14ac:dyDescent="0.2">
      <c r="C338" s="274"/>
      <c r="D338" s="274"/>
      <c r="E338" s="274"/>
      <c r="F338" s="274"/>
      <c r="G338" s="274"/>
      <c r="H338" s="274"/>
      <c r="I338" s="274"/>
      <c r="J338" s="274"/>
      <c r="K338" s="274"/>
      <c r="L338" s="274"/>
      <c r="M338" s="275"/>
      <c r="N338" s="275"/>
      <c r="O338" s="275"/>
      <c r="P338" s="275"/>
      <c r="Q338" s="275"/>
      <c r="R338" s="276"/>
      <c r="S338" s="277"/>
      <c r="T338" s="274"/>
      <c r="U338" s="274"/>
      <c r="V338" s="274"/>
      <c r="W338" s="274"/>
      <c r="X338" s="274"/>
      <c r="Y338" s="274"/>
      <c r="Z338" s="275"/>
      <c r="AA338" s="275"/>
      <c r="AB338" s="275"/>
      <c r="AC338" s="275"/>
      <c r="AD338" s="275"/>
      <c r="AE338" s="275"/>
      <c r="AF338" s="275"/>
      <c r="AG338" s="275"/>
      <c r="AH338" s="274"/>
    </row>
    <row r="339" spans="3:34" x14ac:dyDescent="0.2">
      <c r="C339" s="274"/>
      <c r="D339" s="274"/>
      <c r="E339" s="274"/>
      <c r="F339" s="274"/>
      <c r="G339" s="274"/>
      <c r="H339" s="274"/>
      <c r="I339" s="274"/>
      <c r="J339" s="274"/>
      <c r="K339" s="274"/>
      <c r="L339" s="274"/>
      <c r="M339" s="275"/>
      <c r="N339" s="275"/>
      <c r="O339" s="275"/>
      <c r="P339" s="275"/>
      <c r="Q339" s="275"/>
      <c r="R339" s="276"/>
      <c r="S339" s="277"/>
      <c r="T339" s="274"/>
      <c r="U339" s="274"/>
      <c r="V339" s="274"/>
      <c r="W339" s="274"/>
      <c r="X339" s="274"/>
      <c r="Y339" s="274"/>
      <c r="Z339" s="275"/>
      <c r="AA339" s="275"/>
      <c r="AB339" s="275"/>
      <c r="AC339" s="275"/>
      <c r="AD339" s="275"/>
      <c r="AE339" s="275"/>
      <c r="AF339" s="275"/>
      <c r="AG339" s="275"/>
      <c r="AH339" s="274"/>
    </row>
    <row r="340" spans="3:34" x14ac:dyDescent="0.2">
      <c r="C340" s="274"/>
      <c r="D340" s="274"/>
      <c r="E340" s="274"/>
      <c r="F340" s="274"/>
      <c r="G340" s="274"/>
      <c r="H340" s="274"/>
      <c r="I340" s="274"/>
      <c r="J340" s="274"/>
      <c r="K340" s="274"/>
      <c r="L340" s="274"/>
      <c r="M340" s="275"/>
      <c r="N340" s="275"/>
      <c r="O340" s="275"/>
      <c r="P340" s="275"/>
      <c r="Q340" s="275"/>
      <c r="R340" s="276"/>
      <c r="S340" s="277"/>
      <c r="T340" s="274"/>
      <c r="U340" s="274"/>
      <c r="V340" s="274"/>
      <c r="W340" s="274"/>
      <c r="X340" s="274"/>
      <c r="Y340" s="274"/>
      <c r="Z340" s="275"/>
      <c r="AA340" s="275"/>
      <c r="AB340" s="275"/>
      <c r="AC340" s="275"/>
      <c r="AD340" s="275"/>
      <c r="AE340" s="275"/>
      <c r="AF340" s="275"/>
      <c r="AG340" s="275"/>
      <c r="AH340" s="274"/>
    </row>
    <row r="341" spans="3:34" x14ac:dyDescent="0.2">
      <c r="C341" s="274"/>
      <c r="D341" s="274"/>
      <c r="E341" s="274"/>
      <c r="F341" s="274"/>
      <c r="G341" s="274"/>
      <c r="H341" s="274"/>
      <c r="I341" s="274"/>
      <c r="J341" s="274"/>
      <c r="K341" s="274"/>
      <c r="L341" s="274"/>
      <c r="M341" s="275"/>
      <c r="N341" s="275"/>
      <c r="O341" s="275"/>
      <c r="P341" s="275"/>
      <c r="Q341" s="275"/>
      <c r="R341" s="276"/>
      <c r="S341" s="277"/>
      <c r="T341" s="274"/>
      <c r="U341" s="274"/>
      <c r="V341" s="274"/>
      <c r="W341" s="274"/>
      <c r="X341" s="274"/>
      <c r="Y341" s="274"/>
      <c r="Z341" s="275"/>
      <c r="AA341" s="275"/>
      <c r="AB341" s="275"/>
      <c r="AC341" s="275"/>
      <c r="AD341" s="275"/>
      <c r="AE341" s="275"/>
      <c r="AF341" s="275"/>
      <c r="AG341" s="275"/>
      <c r="AH341" s="274"/>
    </row>
    <row r="342" spans="3:34" x14ac:dyDescent="0.2">
      <c r="C342" s="274"/>
      <c r="D342" s="274"/>
      <c r="E342" s="274"/>
      <c r="F342" s="274"/>
      <c r="G342" s="274"/>
      <c r="H342" s="274"/>
      <c r="I342" s="274"/>
      <c r="J342" s="274"/>
      <c r="K342" s="274"/>
      <c r="L342" s="274"/>
      <c r="M342" s="275"/>
      <c r="N342" s="275"/>
      <c r="O342" s="275"/>
      <c r="P342" s="275"/>
      <c r="Q342" s="275"/>
      <c r="R342" s="276"/>
      <c r="S342" s="277"/>
      <c r="T342" s="274"/>
      <c r="U342" s="274"/>
      <c r="V342" s="274"/>
      <c r="W342" s="274"/>
      <c r="X342" s="274"/>
      <c r="Y342" s="274"/>
      <c r="Z342" s="275"/>
      <c r="AA342" s="275"/>
      <c r="AB342" s="275"/>
      <c r="AC342" s="275"/>
      <c r="AD342" s="275"/>
      <c r="AE342" s="275"/>
      <c r="AF342" s="275"/>
      <c r="AG342" s="275"/>
      <c r="AH342" s="274"/>
    </row>
    <row r="343" spans="3:34" x14ac:dyDescent="0.2">
      <c r="C343" s="274"/>
      <c r="D343" s="274"/>
      <c r="E343" s="274"/>
      <c r="F343" s="274"/>
      <c r="G343" s="274"/>
      <c r="H343" s="274"/>
      <c r="I343" s="274"/>
      <c r="J343" s="274"/>
      <c r="K343" s="274"/>
      <c r="L343" s="274"/>
      <c r="M343" s="275"/>
      <c r="N343" s="275"/>
      <c r="O343" s="275"/>
      <c r="P343" s="275"/>
      <c r="Q343" s="275"/>
      <c r="R343" s="276"/>
      <c r="S343" s="277"/>
      <c r="T343" s="274"/>
      <c r="U343" s="274"/>
      <c r="V343" s="274"/>
      <c r="W343" s="274"/>
      <c r="X343" s="274"/>
      <c r="Y343" s="274"/>
      <c r="Z343" s="275"/>
      <c r="AA343" s="275"/>
      <c r="AB343" s="275"/>
      <c r="AC343" s="275"/>
      <c r="AD343" s="275"/>
      <c r="AE343" s="275"/>
      <c r="AF343" s="275"/>
      <c r="AG343" s="275"/>
      <c r="AH343" s="274"/>
    </row>
    <row r="344" spans="3:34" x14ac:dyDescent="0.2">
      <c r="C344" s="274"/>
      <c r="D344" s="274"/>
      <c r="E344" s="274"/>
      <c r="F344" s="274"/>
      <c r="G344" s="274"/>
      <c r="H344" s="274"/>
      <c r="I344" s="274"/>
      <c r="J344" s="274"/>
      <c r="K344" s="274"/>
      <c r="L344" s="274"/>
      <c r="M344" s="275"/>
      <c r="N344" s="275"/>
      <c r="O344" s="275"/>
      <c r="P344" s="275"/>
      <c r="Q344" s="275"/>
      <c r="R344" s="276"/>
      <c r="S344" s="277"/>
      <c r="T344" s="274"/>
      <c r="U344" s="274"/>
      <c r="V344" s="274"/>
      <c r="W344" s="274"/>
      <c r="X344" s="274"/>
      <c r="Y344" s="274"/>
      <c r="Z344" s="275"/>
      <c r="AA344" s="275"/>
      <c r="AB344" s="275"/>
      <c r="AC344" s="275"/>
      <c r="AD344" s="275"/>
      <c r="AE344" s="275"/>
      <c r="AF344" s="275"/>
      <c r="AG344" s="275"/>
      <c r="AH344" s="274"/>
    </row>
    <row r="345" spans="3:34" x14ac:dyDescent="0.2">
      <c r="C345" s="274"/>
      <c r="D345" s="274"/>
      <c r="E345" s="274"/>
      <c r="F345" s="274"/>
      <c r="G345" s="274"/>
      <c r="H345" s="274"/>
      <c r="I345" s="274"/>
      <c r="J345" s="274"/>
      <c r="K345" s="274"/>
      <c r="L345" s="274"/>
      <c r="M345" s="275"/>
      <c r="N345" s="275"/>
      <c r="O345" s="275"/>
      <c r="P345" s="275"/>
      <c r="Q345" s="275"/>
      <c r="R345" s="276"/>
      <c r="S345" s="277"/>
      <c r="T345" s="274"/>
      <c r="U345" s="274"/>
      <c r="V345" s="274"/>
      <c r="W345" s="274"/>
      <c r="X345" s="274"/>
      <c r="Y345" s="274"/>
      <c r="Z345" s="275"/>
      <c r="AA345" s="275"/>
      <c r="AB345" s="275"/>
      <c r="AC345" s="275"/>
      <c r="AD345" s="275"/>
      <c r="AE345" s="275"/>
      <c r="AF345" s="275"/>
      <c r="AG345" s="275"/>
      <c r="AH345" s="274"/>
    </row>
    <row r="346" spans="3:34" x14ac:dyDescent="0.2">
      <c r="C346" s="274"/>
      <c r="D346" s="274"/>
      <c r="E346" s="274"/>
      <c r="F346" s="274"/>
      <c r="G346" s="274"/>
      <c r="H346" s="274"/>
      <c r="I346" s="274"/>
      <c r="J346" s="274"/>
      <c r="K346" s="274"/>
      <c r="L346" s="274"/>
      <c r="M346" s="275"/>
      <c r="N346" s="275"/>
      <c r="O346" s="275"/>
      <c r="P346" s="275"/>
      <c r="Q346" s="275"/>
      <c r="R346" s="276"/>
      <c r="S346" s="277"/>
      <c r="T346" s="274"/>
      <c r="U346" s="274"/>
      <c r="V346" s="274"/>
      <c r="W346" s="274"/>
      <c r="X346" s="274"/>
      <c r="Y346" s="274"/>
      <c r="Z346" s="275"/>
      <c r="AA346" s="275"/>
      <c r="AB346" s="275"/>
      <c r="AC346" s="275"/>
      <c r="AD346" s="275"/>
      <c r="AE346" s="275"/>
      <c r="AF346" s="275"/>
      <c r="AG346" s="275"/>
      <c r="AH346" s="274"/>
    </row>
    <row r="347" spans="3:34" x14ac:dyDescent="0.2">
      <c r="C347" s="274"/>
      <c r="D347" s="274"/>
      <c r="E347" s="274"/>
      <c r="F347" s="274"/>
      <c r="G347" s="274"/>
      <c r="H347" s="274"/>
      <c r="I347" s="274"/>
      <c r="J347" s="274"/>
      <c r="K347" s="274"/>
      <c r="L347" s="274"/>
      <c r="M347" s="275"/>
      <c r="N347" s="275"/>
      <c r="O347" s="275"/>
      <c r="P347" s="275"/>
      <c r="Q347" s="275"/>
      <c r="R347" s="276"/>
      <c r="S347" s="277"/>
      <c r="T347" s="274"/>
      <c r="U347" s="274"/>
      <c r="V347" s="274"/>
      <c r="W347" s="274"/>
      <c r="X347" s="274"/>
      <c r="Y347" s="274"/>
      <c r="Z347" s="275"/>
      <c r="AA347" s="275"/>
      <c r="AB347" s="275"/>
      <c r="AC347" s="275"/>
      <c r="AD347" s="275"/>
      <c r="AE347" s="275"/>
      <c r="AF347" s="275"/>
      <c r="AG347" s="275"/>
      <c r="AH347" s="274"/>
    </row>
    <row r="348" spans="3:34" x14ac:dyDescent="0.2">
      <c r="C348" s="274"/>
      <c r="D348" s="274"/>
      <c r="E348" s="274"/>
      <c r="F348" s="274"/>
      <c r="G348" s="274"/>
      <c r="H348" s="274"/>
      <c r="I348" s="274"/>
      <c r="J348" s="274"/>
      <c r="K348" s="274"/>
      <c r="L348" s="274"/>
      <c r="M348" s="275"/>
      <c r="N348" s="275"/>
      <c r="O348" s="275"/>
      <c r="P348" s="275"/>
      <c r="Q348" s="275"/>
      <c r="R348" s="276"/>
      <c r="S348" s="277"/>
      <c r="T348" s="274"/>
      <c r="U348" s="274"/>
      <c r="V348" s="274"/>
      <c r="W348" s="274"/>
      <c r="X348" s="274"/>
      <c r="Y348" s="274"/>
      <c r="Z348" s="275"/>
      <c r="AA348" s="275"/>
      <c r="AB348" s="275"/>
      <c r="AC348" s="275"/>
      <c r="AD348" s="275"/>
      <c r="AE348" s="275"/>
      <c r="AF348" s="275"/>
      <c r="AG348" s="275"/>
      <c r="AH348" s="274"/>
    </row>
    <row r="349" spans="3:34" x14ac:dyDescent="0.2">
      <c r="C349" s="274"/>
      <c r="D349" s="274"/>
      <c r="E349" s="274"/>
      <c r="F349" s="274"/>
      <c r="G349" s="274"/>
      <c r="H349" s="274"/>
      <c r="I349" s="274"/>
      <c r="J349" s="274"/>
      <c r="K349" s="274"/>
      <c r="L349" s="274"/>
      <c r="M349" s="275"/>
      <c r="N349" s="275"/>
      <c r="O349" s="275"/>
      <c r="P349" s="275"/>
      <c r="Q349" s="275"/>
      <c r="R349" s="276"/>
      <c r="S349" s="277"/>
      <c r="T349" s="274"/>
      <c r="U349" s="274"/>
      <c r="V349" s="274"/>
      <c r="W349" s="274"/>
      <c r="X349" s="274"/>
      <c r="Y349" s="274"/>
      <c r="Z349" s="275"/>
      <c r="AA349" s="275"/>
      <c r="AB349" s="275"/>
      <c r="AC349" s="275"/>
      <c r="AD349" s="275"/>
      <c r="AE349" s="275"/>
      <c r="AF349" s="275"/>
      <c r="AG349" s="275"/>
      <c r="AH349" s="274"/>
    </row>
    <row r="350" spans="3:34" x14ac:dyDescent="0.2">
      <c r="C350" s="274"/>
      <c r="D350" s="274"/>
      <c r="E350" s="274"/>
      <c r="F350" s="274"/>
      <c r="G350" s="274"/>
      <c r="H350" s="274"/>
      <c r="I350" s="274"/>
      <c r="J350" s="274"/>
      <c r="K350" s="274"/>
      <c r="L350" s="274"/>
      <c r="M350" s="275"/>
      <c r="N350" s="275"/>
      <c r="O350" s="275"/>
      <c r="P350" s="275"/>
      <c r="Q350" s="275"/>
      <c r="R350" s="276"/>
      <c r="S350" s="277"/>
      <c r="T350" s="274"/>
      <c r="U350" s="274"/>
      <c r="V350" s="274"/>
      <c r="W350" s="274"/>
      <c r="X350" s="274"/>
      <c r="Y350" s="274"/>
      <c r="Z350" s="275"/>
      <c r="AA350" s="275"/>
      <c r="AB350" s="275"/>
      <c r="AC350" s="275"/>
      <c r="AD350" s="275"/>
      <c r="AE350" s="275"/>
      <c r="AF350" s="275"/>
      <c r="AG350" s="275"/>
      <c r="AH350" s="274"/>
    </row>
    <row r="351" spans="3:34" x14ac:dyDescent="0.2">
      <c r="C351" s="274"/>
      <c r="D351" s="274"/>
      <c r="E351" s="274"/>
      <c r="F351" s="274"/>
      <c r="G351" s="274"/>
      <c r="H351" s="274"/>
      <c r="I351" s="274"/>
      <c r="J351" s="274"/>
      <c r="K351" s="274"/>
      <c r="L351" s="274"/>
      <c r="M351" s="275"/>
      <c r="N351" s="275"/>
      <c r="O351" s="275"/>
      <c r="P351" s="275"/>
      <c r="Q351" s="275"/>
      <c r="R351" s="276"/>
      <c r="S351" s="277"/>
      <c r="T351" s="274"/>
      <c r="U351" s="274"/>
      <c r="V351" s="274"/>
      <c r="W351" s="274"/>
      <c r="X351" s="274"/>
      <c r="Y351" s="274"/>
      <c r="Z351" s="275"/>
      <c r="AA351" s="275"/>
      <c r="AB351" s="275"/>
      <c r="AC351" s="275"/>
      <c r="AD351" s="275"/>
      <c r="AE351" s="275"/>
      <c r="AF351" s="275"/>
      <c r="AG351" s="275"/>
      <c r="AH351" s="274"/>
    </row>
    <row r="352" spans="3:34" x14ac:dyDescent="0.2">
      <c r="C352" s="274"/>
      <c r="D352" s="274"/>
      <c r="E352" s="274"/>
      <c r="F352" s="274"/>
      <c r="G352" s="274"/>
      <c r="H352" s="274"/>
      <c r="I352" s="274"/>
      <c r="J352" s="274"/>
      <c r="K352" s="274"/>
      <c r="L352" s="274"/>
      <c r="M352" s="275"/>
      <c r="N352" s="275"/>
      <c r="O352" s="275"/>
      <c r="P352" s="275"/>
      <c r="Q352" s="275"/>
      <c r="R352" s="276"/>
      <c r="S352" s="277"/>
      <c r="T352" s="274"/>
      <c r="U352" s="274"/>
      <c r="V352" s="274"/>
      <c r="W352" s="274"/>
      <c r="X352" s="274"/>
      <c r="Y352" s="274"/>
      <c r="Z352" s="275"/>
      <c r="AA352" s="275"/>
      <c r="AB352" s="275"/>
      <c r="AC352" s="275"/>
      <c r="AD352" s="275"/>
      <c r="AE352" s="275"/>
      <c r="AF352" s="275"/>
      <c r="AG352" s="275"/>
      <c r="AH352" s="274"/>
    </row>
    <row r="353" spans="3:34" x14ac:dyDescent="0.2">
      <c r="C353" s="274"/>
      <c r="D353" s="274"/>
      <c r="E353" s="274"/>
      <c r="F353" s="274"/>
      <c r="G353" s="274"/>
      <c r="H353" s="274"/>
      <c r="I353" s="274"/>
      <c r="J353" s="274"/>
      <c r="K353" s="274"/>
      <c r="L353" s="274"/>
      <c r="M353" s="275"/>
      <c r="N353" s="275"/>
      <c r="O353" s="275"/>
      <c r="P353" s="275"/>
      <c r="Q353" s="275"/>
      <c r="R353" s="276"/>
      <c r="S353" s="277"/>
      <c r="T353" s="274"/>
      <c r="U353" s="274"/>
      <c r="V353" s="274"/>
      <c r="W353" s="274"/>
      <c r="X353" s="274"/>
      <c r="Y353" s="274"/>
      <c r="Z353" s="275"/>
      <c r="AA353" s="275"/>
      <c r="AB353" s="275"/>
      <c r="AC353" s="275"/>
      <c r="AD353" s="275"/>
      <c r="AE353" s="275"/>
      <c r="AF353" s="275"/>
      <c r="AG353" s="275"/>
      <c r="AH353" s="274"/>
    </row>
    <row r="354" spans="3:34" x14ac:dyDescent="0.2">
      <c r="C354" s="274"/>
      <c r="D354" s="274"/>
      <c r="E354" s="274"/>
      <c r="F354" s="274"/>
      <c r="G354" s="274"/>
      <c r="H354" s="274"/>
      <c r="I354" s="274"/>
      <c r="J354" s="274"/>
      <c r="K354" s="274"/>
      <c r="L354" s="274"/>
      <c r="M354" s="275"/>
      <c r="N354" s="275"/>
      <c r="O354" s="275"/>
      <c r="P354" s="275"/>
      <c r="Q354" s="275"/>
      <c r="R354" s="276"/>
      <c r="S354" s="277"/>
      <c r="T354" s="274"/>
      <c r="U354" s="274"/>
      <c r="V354" s="274"/>
      <c r="W354" s="274"/>
      <c r="X354" s="274"/>
      <c r="Y354" s="274"/>
      <c r="Z354" s="275"/>
      <c r="AA354" s="275"/>
      <c r="AB354" s="275"/>
      <c r="AC354" s="275"/>
      <c r="AD354" s="275"/>
      <c r="AE354" s="275"/>
      <c r="AF354" s="275"/>
      <c r="AG354" s="275"/>
      <c r="AH354" s="274"/>
    </row>
    <row r="355" spans="3:34" x14ac:dyDescent="0.2">
      <c r="C355" s="274"/>
      <c r="D355" s="274"/>
      <c r="E355" s="274"/>
      <c r="F355" s="274"/>
      <c r="G355" s="274"/>
      <c r="H355" s="274"/>
      <c r="I355" s="274"/>
      <c r="J355" s="274"/>
      <c r="K355" s="274"/>
      <c r="L355" s="274"/>
      <c r="M355" s="275"/>
      <c r="N355" s="275"/>
      <c r="O355" s="275"/>
      <c r="P355" s="275"/>
      <c r="Q355" s="275"/>
      <c r="R355" s="276"/>
      <c r="S355" s="277"/>
      <c r="T355" s="274"/>
      <c r="U355" s="274"/>
      <c r="V355" s="274"/>
      <c r="W355" s="274"/>
      <c r="X355" s="274"/>
      <c r="Y355" s="274"/>
      <c r="Z355" s="275"/>
      <c r="AA355" s="275"/>
      <c r="AB355" s="275"/>
      <c r="AC355" s="275"/>
      <c r="AD355" s="275"/>
      <c r="AE355" s="275"/>
      <c r="AF355" s="275"/>
      <c r="AG355" s="275"/>
      <c r="AH355" s="274"/>
    </row>
    <row r="356" spans="3:34" x14ac:dyDescent="0.2">
      <c r="C356" s="274"/>
      <c r="D356" s="274"/>
      <c r="E356" s="274"/>
      <c r="F356" s="274"/>
      <c r="G356" s="274"/>
      <c r="H356" s="274"/>
      <c r="I356" s="274"/>
      <c r="J356" s="274"/>
      <c r="K356" s="274"/>
      <c r="L356" s="274"/>
      <c r="M356" s="275"/>
      <c r="N356" s="275"/>
      <c r="O356" s="275"/>
      <c r="P356" s="275"/>
      <c r="Q356" s="275"/>
      <c r="R356" s="276"/>
      <c r="S356" s="277"/>
      <c r="T356" s="274"/>
      <c r="U356" s="274"/>
      <c r="V356" s="274"/>
      <c r="W356" s="274"/>
      <c r="X356" s="274"/>
      <c r="Y356" s="274"/>
      <c r="Z356" s="275"/>
      <c r="AA356" s="275"/>
      <c r="AB356" s="275"/>
      <c r="AC356" s="275"/>
      <c r="AD356" s="275"/>
      <c r="AE356" s="275"/>
      <c r="AF356" s="275"/>
      <c r="AG356" s="275"/>
      <c r="AH356" s="274"/>
    </row>
    <row r="357" spans="3:34" x14ac:dyDescent="0.2">
      <c r="C357" s="274"/>
      <c r="D357" s="274"/>
      <c r="E357" s="274"/>
      <c r="F357" s="274"/>
      <c r="G357" s="274"/>
      <c r="H357" s="274"/>
      <c r="I357" s="274"/>
      <c r="J357" s="274"/>
      <c r="K357" s="274"/>
      <c r="L357" s="274"/>
      <c r="M357" s="275"/>
      <c r="N357" s="275"/>
      <c r="O357" s="275"/>
      <c r="P357" s="275"/>
      <c r="Q357" s="275"/>
      <c r="R357" s="276"/>
      <c r="S357" s="277"/>
      <c r="T357" s="274"/>
      <c r="U357" s="274"/>
      <c r="V357" s="274"/>
      <c r="W357" s="274"/>
      <c r="X357" s="274"/>
      <c r="Y357" s="274"/>
      <c r="Z357" s="275"/>
      <c r="AA357" s="275"/>
      <c r="AB357" s="275"/>
      <c r="AC357" s="275"/>
      <c r="AD357" s="275"/>
      <c r="AE357" s="275"/>
      <c r="AF357" s="275"/>
      <c r="AG357" s="275"/>
      <c r="AH357" s="274"/>
    </row>
  </sheetData>
  <sheetProtection formatCells="0" formatColumns="0" formatRows="0" insertColumns="0" insertRows="0" insertHyperlinks="0" deleteColumns="0" deleteRows="0" sort="0" autoFilter="0" pivotTables="0"/>
  <autoFilter ref="C4:H62"/>
  <mergeCells count="9">
    <mergeCell ref="Z3:AG3"/>
    <mergeCell ref="B55:B62"/>
    <mergeCell ref="G2:K2"/>
    <mergeCell ref="L2:Y2"/>
    <mergeCell ref="C3:G3"/>
    <mergeCell ref="H3:K3"/>
    <mergeCell ref="L3:S3"/>
    <mergeCell ref="T3:V3"/>
    <mergeCell ref="W3:Y3"/>
  </mergeCells>
  <dataValidations count="4">
    <dataValidation type="list" allowBlank="1" showInputMessage="1" showErrorMessage="1" sqref="J5:J12 J27:J49 J14:J24 J51:J62">
      <formula1>$C$71:$C$73</formula1>
    </dataValidation>
    <dataValidation type="list" allowBlank="1" showInputMessage="1" showErrorMessage="1" sqref="J13 J25">
      <formula1>$C$58:$C$61</formula1>
    </dataValidation>
    <dataValidation type="list" allowBlank="1" showInputMessage="1" showErrorMessage="1" sqref="J26">
      <formula1>$C$57:$C$60</formula1>
    </dataValidation>
    <dataValidation type="list" allowBlank="1" showInputMessage="1" showErrorMessage="1" sqref="J50">
      <formula1>$C$56:$C$58</formula1>
    </dataValidation>
  </dataValidations>
  <pageMargins left="0.7" right="0.7" top="0.75" bottom="0.75" header="0.3" footer="0.3"/>
  <pageSetup paperSize="9" scale="20" fitToHeight="0"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4"/>
  <sheetViews>
    <sheetView workbookViewId="0">
      <selection activeCell="L2" sqref="L2"/>
    </sheetView>
  </sheetViews>
  <sheetFormatPr defaultRowHeight="15" x14ac:dyDescent="0.25"/>
  <cols>
    <col min="12" max="12" width="16.28515625" customWidth="1"/>
    <col min="14" max="14" width="17.140625" customWidth="1"/>
  </cols>
  <sheetData>
    <row r="2" spans="2:14" x14ac:dyDescent="0.25">
      <c r="E2" t="s">
        <v>302</v>
      </c>
      <c r="H2" t="s">
        <v>299</v>
      </c>
      <c r="L2" t="s">
        <v>260</v>
      </c>
      <c r="N2" t="s">
        <v>264</v>
      </c>
    </row>
    <row r="3" spans="2:14" x14ac:dyDescent="0.25">
      <c r="B3" t="s">
        <v>18</v>
      </c>
      <c r="E3" t="s">
        <v>66</v>
      </c>
      <c r="H3" t="s">
        <v>300</v>
      </c>
      <c r="L3" t="s">
        <v>261</v>
      </c>
      <c r="N3" t="s">
        <v>265</v>
      </c>
    </row>
    <row r="4" spans="2:14" x14ac:dyDescent="0.25">
      <c r="B4" t="s">
        <v>19</v>
      </c>
      <c r="E4" t="s">
        <v>301</v>
      </c>
      <c r="H4" t="s">
        <v>91</v>
      </c>
      <c r="L4" t="s">
        <v>297</v>
      </c>
      <c r="N4" t="s">
        <v>266</v>
      </c>
    </row>
    <row r="5" spans="2:14" x14ac:dyDescent="0.25">
      <c r="B5" t="s">
        <v>21</v>
      </c>
      <c r="E5" t="s">
        <v>65</v>
      </c>
      <c r="H5" t="s">
        <v>298</v>
      </c>
      <c r="L5" t="s">
        <v>262</v>
      </c>
      <c r="N5" t="s">
        <v>267</v>
      </c>
    </row>
    <row r="6" spans="2:14" x14ac:dyDescent="0.25">
      <c r="B6" t="s">
        <v>20</v>
      </c>
      <c r="N6" t="s">
        <v>268</v>
      </c>
    </row>
    <row r="7" spans="2:14" x14ac:dyDescent="0.25">
      <c r="N7" t="s">
        <v>273</v>
      </c>
    </row>
    <row r="8" spans="2:14" x14ac:dyDescent="0.25">
      <c r="B8" t="s">
        <v>467</v>
      </c>
      <c r="N8" t="s">
        <v>274</v>
      </c>
    </row>
    <row r="9" spans="2:14" x14ac:dyDescent="0.25">
      <c r="B9" t="s">
        <v>478</v>
      </c>
      <c r="N9" t="s">
        <v>275</v>
      </c>
    </row>
    <row r="10" spans="2:14" x14ac:dyDescent="0.25">
      <c r="B10" t="s">
        <v>468</v>
      </c>
      <c r="N10" t="s">
        <v>276</v>
      </c>
    </row>
    <row r="11" spans="2:14" x14ac:dyDescent="0.25">
      <c r="E11" s="10" t="e">
        <f>DATE+DATE(2013,1,1)</f>
        <v>#NAME?</v>
      </c>
      <c r="N11" t="s">
        <v>322</v>
      </c>
    </row>
    <row r="13" spans="2:14" x14ac:dyDescent="0.25">
      <c r="B13" t="s">
        <v>218</v>
      </c>
    </row>
    <row r="14" spans="2:14" x14ac:dyDescent="0.25">
      <c r="B14" t="s">
        <v>226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Guide</vt:lpstr>
      <vt:lpstr>Snapshot</vt:lpstr>
      <vt:lpstr>SituationAnalysis</vt:lpstr>
      <vt:lpstr>Funds analysis</vt:lpstr>
      <vt:lpstr>Cluster indicator</vt:lpstr>
      <vt:lpstr>Database</vt:lpstr>
      <vt:lpstr>Agency funds received</vt:lpstr>
      <vt:lpstr>List</vt:lpstr>
      <vt:lpstr>'Agency funds received'!List</vt:lpstr>
      <vt:lpstr>Database!Print_Area</vt:lpstr>
      <vt:lpstr>Snapshot!Print_Area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MSB</dc:creator>
  <cp:lastModifiedBy>UNHCRuser</cp:lastModifiedBy>
  <cp:lastPrinted>2015-06-23T10:01:28Z</cp:lastPrinted>
  <dcterms:created xsi:type="dcterms:W3CDTF">2012-10-21T05:17:59Z</dcterms:created>
  <dcterms:modified xsi:type="dcterms:W3CDTF">2015-06-24T02:32:17Z</dcterms:modified>
</cp:coreProperties>
</file>